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8.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comments7.xml" ContentType="application/vnd.openxmlformats-officedocument.spreadsheetml.comments+xml"/>
  <Override PartName="/xl/comments6.xml" ContentType="application/vnd.openxmlformats-officedocument.spreadsheetml.comments+xml"/>
  <Override PartName="/xl/comments10.xml" ContentType="application/vnd.openxmlformats-officedocument.spreadsheetml.comments+xml"/>
  <Override PartName="/xl/comments15.xml" ContentType="application/vnd.openxmlformats-officedocument.spreadsheetml.comments+xml"/>
  <Override PartName="/xl/comments13.xml" ContentType="application/vnd.openxmlformats-officedocument.spreadsheetml.comments+xml"/>
  <Override PartName="/xl/comments16.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7.xml" ContentType="application/vnd.openxmlformats-officedocument.spreadsheetml.comments+xml"/>
  <Override PartName="/xl/comments14.xml" ContentType="application/vnd.openxmlformats-officedocument.spreadsheetml.comments+xml"/>
  <Override PartName="/xl/comments9.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scasey\Documents\VIMAL\"/>
    </mc:Choice>
  </mc:AlternateContent>
  <xr:revisionPtr revIDLastSave="0" documentId="8_{C5FD9F04-16A4-495F-B947-AB09C87FD31F}" xr6:coauthVersionLast="47" xr6:coauthVersionMax="47" xr10:uidLastSave="{00000000-0000-0000-0000-000000000000}"/>
  <bookViews>
    <workbookView xWindow="1500" yWindow="1500" windowWidth="17280" windowHeight="8964" xr2:uid="{00000000-000D-0000-FFFF-FFFF00000000}"/>
  </bookViews>
  <sheets>
    <sheet name="Summary" sheetId="1" r:id="rId1"/>
    <sheet name="EGU_By_Fuel_Type" sheetId="3" r:id="rId2"/>
    <sheet name="Severstal" sheetId="4" r:id="rId3"/>
    <sheet name="Luke" sheetId="5" r:id="rId4"/>
    <sheet name="EGU Details" sheetId="6" r:id="rId5"/>
    <sheet name="Imported Electricity " sheetId="7" r:id="rId6"/>
    <sheet name="Residential" sheetId="11" r:id="rId7"/>
    <sheet name="Commercial" sheetId="12" r:id="rId8"/>
    <sheet name="Industrial" sheetId="13" r:id="rId9"/>
    <sheet name="On_Road_Transportation" sheetId="9" r:id="rId10"/>
    <sheet name="Non_Road_Transportation" sheetId="8" r:id="rId11"/>
    <sheet name="Others_Transportation" sheetId="10" r:id="rId12"/>
    <sheet name="Natural Gas and Oil" sheetId="22" r:id="rId13"/>
    <sheet name="Mining" sheetId="23" r:id="rId14"/>
    <sheet name="Cement" sheetId="15" r:id="rId15"/>
    <sheet name="LimeT&amp;DSodaODS" sheetId="14" r:id="rId16"/>
    <sheet name="Iron And Steel" sheetId="17" r:id="rId17"/>
    <sheet name="Ammonia &amp; Urea Consumption" sheetId="16" r:id="rId18"/>
    <sheet name="Agricultural" sheetId="25" r:id="rId19"/>
    <sheet name="Agriculture_Liming" sheetId="26" r:id="rId20"/>
    <sheet name="Incinerators" sheetId="20" r:id="rId21"/>
    <sheet name="Landfills" sheetId="18" r:id="rId22"/>
    <sheet name="LFGTE" sheetId="19" r:id="rId23"/>
    <sheet name="Wastewater" sheetId="24" r:id="rId24"/>
    <sheet name="OpenBurn" sheetId="21" r:id="rId25"/>
    <sheet name="Land_Use" sheetId="2" r:id="rId26"/>
  </sheets>
  <definedNames>
    <definedName name="_Key1">#REF!</definedName>
    <definedName name="_Sort">#REF!</definedName>
    <definedName name="CementCorrectionFactor">#REF!</definedName>
    <definedName name="CH4GWP">#REF!</definedName>
    <definedName name="CoalCCs">#REF!</definedName>
    <definedName name="CoalGrowth">#REF!</definedName>
    <definedName name="data">#REF!</definedName>
    <definedName name="ElecProj">#REF!</definedName>
    <definedName name="EntFermEFs">#REF!</definedName>
    <definedName name="EntFermEFs2">#REF!</definedName>
    <definedName name="EPS">#REF!</definedName>
    <definedName name="EPSFraction">#REF!</definedName>
    <definedName name="FCFchoice">#REF!</definedName>
    <definedName name="FertData">#REF!</definedName>
    <definedName name="FertTypes">#REF!</definedName>
    <definedName name="FFFactors">#REF!</definedName>
    <definedName name="FullName">#REF!</definedName>
    <definedName name="GasProj">#REF!</definedName>
    <definedName name="GWP">#REF!</definedName>
    <definedName name="GWPCH4">#REF!</definedName>
    <definedName name="GWPN2O">#REF!</definedName>
    <definedName name="HTML1_1">#REF!</definedName>
    <definedName name="HTML1_12">#REF!</definedName>
    <definedName name="HTML1_3">#REF!</definedName>
    <definedName name="HTML1_4">#REF!</definedName>
    <definedName name="IndustrialPercent">#REF!</definedName>
    <definedName name="kg.MT">#REF!</definedName>
    <definedName name="LiquidEF">#REF!</definedName>
    <definedName name="MCFs">#REF!</definedName>
    <definedName name="MMFactors">#REF!</definedName>
    <definedName name="MT_per_T">#REF!</definedName>
    <definedName name="N20GWP">#REF!</definedName>
    <definedName name="N2OGWP">#REF!</definedName>
    <definedName name="NetOutElecExports">#REF!</definedName>
    <definedName name="NEU">#REF!</definedName>
    <definedName name="NGCH4meth">#REF!</definedName>
    <definedName name="nobedEF">#REF!</definedName>
    <definedName name="open">#REF!</definedName>
    <definedName name="OxidationFactor">#REF!</definedName>
    <definedName name="PopGrid">#REF!</definedName>
    <definedName name="SelectedState">#REF!</definedName>
    <definedName name="Short_metric">#REF!</definedName>
    <definedName name="SolidEF">#REF!</definedName>
    <definedName name="State">#REF!</definedName>
    <definedName name="StateChoice">#REF!</definedName>
    <definedName name="StateList">#REF!</definedName>
    <definedName name="States">#REF!</definedName>
    <definedName name="StatFactors">#REF!</definedName>
    <definedName name="StorageFactors">#REF!</definedName>
    <definedName name="TransData">#REF!</definedName>
    <definedName name="TransProj">#REF!</definedName>
    <definedName name="UFactor">#REF!</definedName>
    <definedName name="Units">#REF!</definedName>
    <definedName name="VersionDate">#REF!</definedName>
    <definedName name="VersionNumber">#REF!</definedName>
    <definedName name="VolPercent">#REF!</definedName>
    <definedName name="VS_BeefReplace">#REF!</definedName>
    <definedName name="VS_BeefReplace2">#REF!</definedName>
    <definedName name="VS_feedlotheifer">#REF!</definedName>
    <definedName name="VS_feedlotheifer2">#REF!</definedName>
    <definedName name="VS_feedlotsteer">#REF!</definedName>
    <definedName name="VS_feedlotsteer2">#REF!</definedName>
    <definedName name="VS_NOFcows">#REF!</definedName>
    <definedName name="VS_NOFcows2">#REF!</definedName>
    <definedName name="VS_NOFheifers">#REF!</definedName>
    <definedName name="VS_NOFheifers2">#REF!</definedName>
    <definedName name="VS_NOFsteers">#REF!</definedName>
    <definedName name="VS_NOFsteers2">#REF!</definedName>
    <definedName name="VT_mi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3" i="1" l="1"/>
  <c r="D181" i="1"/>
  <c r="D180" i="1"/>
  <c r="D179" i="1" s="1"/>
  <c r="D178" i="1"/>
  <c r="D177" i="1"/>
  <c r="D175" i="1" s="1"/>
  <c r="D176" i="1"/>
  <c r="D174" i="1"/>
  <c r="D173" i="1"/>
  <c r="D172" i="1"/>
  <c r="D171" i="1"/>
  <c r="D167" i="1"/>
  <c r="D166" i="1"/>
  <c r="D165" i="1"/>
  <c r="D164" i="1"/>
  <c r="D163" i="1"/>
  <c r="D162" i="1"/>
  <c r="D161" i="1"/>
  <c r="D160" i="1"/>
  <c r="D159" i="1"/>
  <c r="D158" i="1"/>
  <c r="D157" i="1"/>
  <c r="D156" i="1"/>
  <c r="D155" i="1"/>
  <c r="D154" i="1"/>
  <c r="D153" i="1"/>
  <c r="D152" i="1"/>
  <c r="D151" i="1" s="1"/>
  <c r="D150" i="1"/>
  <c r="D149" i="1"/>
  <c r="D148" i="1"/>
  <c r="D147" i="1" s="1"/>
  <c r="D146" i="1"/>
  <c r="D145" i="1"/>
  <c r="D144" i="1"/>
  <c r="D143" i="1" s="1"/>
  <c r="D142" i="1"/>
  <c r="D141" i="1"/>
  <c r="D140" i="1"/>
  <c r="D139" i="1" s="1"/>
  <c r="D138" i="1"/>
  <c r="D137" i="1"/>
  <c r="D136" i="1"/>
  <c r="D135" i="1" s="1"/>
  <c r="D134" i="1"/>
  <c r="D133" i="1"/>
  <c r="D132" i="1"/>
  <c r="D131" i="1" s="1"/>
  <c r="D129" i="1"/>
  <c r="D128" i="1"/>
  <c r="D126" i="1" s="1"/>
  <c r="D127" i="1"/>
  <c r="D125" i="1"/>
  <c r="D124" i="1"/>
  <c r="D123" i="1"/>
  <c r="D122" i="1" s="1"/>
  <c r="D121" i="1"/>
  <c r="D120" i="1"/>
  <c r="D118" i="1" s="1"/>
  <c r="D119" i="1"/>
  <c r="D117" i="1"/>
  <c r="D116" i="1"/>
  <c r="D115" i="1"/>
  <c r="D114" i="1" s="1"/>
  <c r="D112" i="1"/>
  <c r="D111" i="1"/>
  <c r="D109" i="1"/>
  <c r="D108" i="1"/>
  <c r="D107" i="1"/>
  <c r="D106" i="1" s="1"/>
  <c r="D105" i="1"/>
  <c r="D104" i="1"/>
  <c r="D102" i="1" s="1"/>
  <c r="D103" i="1"/>
  <c r="D101" i="1"/>
  <c r="D100" i="1"/>
  <c r="D99" i="1"/>
  <c r="D98" i="1" s="1"/>
  <c r="D97" i="1"/>
  <c r="D96" i="1"/>
  <c r="D94" i="1" s="1"/>
  <c r="D95" i="1"/>
  <c r="D92" i="1"/>
  <c r="D89" i="1" s="1"/>
  <c r="D91" i="1"/>
  <c r="D90" i="1"/>
  <c r="D88" i="1"/>
  <c r="D87" i="1"/>
  <c r="D86" i="1"/>
  <c r="D85" i="1"/>
  <c r="D84" i="1"/>
  <c r="D81" i="1" s="1"/>
  <c r="D80" i="1" s="1"/>
  <c r="D83" i="1"/>
  <c r="D82"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s="1"/>
  <c r="D46" i="1"/>
  <c r="D45" i="1"/>
  <c r="D44" i="1"/>
  <c r="D43" i="1" s="1"/>
  <c r="D42" i="1"/>
  <c r="D41" i="1"/>
  <c r="D40" i="1"/>
  <c r="D39" i="1" s="1"/>
  <c r="D38" i="1"/>
  <c r="D37" i="1"/>
  <c r="D36" i="1"/>
  <c r="D35" i="1" s="1"/>
  <c r="D34" i="1"/>
  <c r="D33" i="1"/>
  <c r="D32" i="1"/>
  <c r="D31" i="1" s="1"/>
  <c r="D30" i="1" s="1"/>
  <c r="D29" i="1"/>
  <c r="D28" i="1"/>
  <c r="D25" i="1" s="1"/>
  <c r="D27" i="1"/>
  <c r="D26" i="1"/>
  <c r="D24" i="1"/>
  <c r="D23" i="1"/>
  <c r="D22" i="1"/>
  <c r="D21" i="1"/>
  <c r="D20" i="1"/>
  <c r="D17" i="1" s="1"/>
  <c r="D12" i="1" s="1"/>
  <c r="D11" i="1" s="1"/>
  <c r="D10" i="1" s="1"/>
  <c r="D19" i="1"/>
  <c r="D18" i="1"/>
  <c r="D16" i="1"/>
  <c r="D15" i="1"/>
  <c r="D14" i="1"/>
  <c r="D13" i="1"/>
  <c r="D110" i="1" l="1"/>
  <c r="D93" i="1" s="1"/>
  <c r="D170" i="1"/>
  <c r="D130" i="1"/>
  <c r="D168" i="1" l="1"/>
  <c r="D182" i="1" s="1"/>
  <c r="F22" i="26" l="1"/>
  <c r="G22" i="26" s="1"/>
  <c r="F21" i="26"/>
  <c r="G21" i="26" s="1"/>
  <c r="G23" i="26" s="1"/>
  <c r="G9" i="26"/>
  <c r="F9" i="26"/>
  <c r="E234" i="25"/>
  <c r="I222" i="25"/>
  <c r="W222" i="25" s="1"/>
  <c r="Y222" i="25" s="1"/>
  <c r="I221" i="25"/>
  <c r="W221" i="25" s="1"/>
  <c r="Y221" i="25" s="1"/>
  <c r="I220" i="25"/>
  <c r="W220" i="25" s="1"/>
  <c r="Y220" i="25" s="1"/>
  <c r="W219" i="25"/>
  <c r="Y219" i="25" s="1"/>
  <c r="I219" i="25"/>
  <c r="W218" i="25"/>
  <c r="Y218" i="25" s="1"/>
  <c r="I218" i="25"/>
  <c r="W217" i="25"/>
  <c r="Y217" i="25" s="1"/>
  <c r="I216" i="25"/>
  <c r="W216" i="25" s="1"/>
  <c r="Y216" i="25" s="1"/>
  <c r="Y215" i="25"/>
  <c r="I215" i="25"/>
  <c r="W215" i="25" s="1"/>
  <c r="W214" i="25"/>
  <c r="I214" i="25"/>
  <c r="I207" i="25"/>
  <c r="W207" i="25" s="1"/>
  <c r="Y207" i="25" s="1"/>
  <c r="I206" i="25"/>
  <c r="W206" i="25" s="1"/>
  <c r="Y206" i="25" s="1"/>
  <c r="I205" i="25"/>
  <c r="W205" i="25" s="1"/>
  <c r="Y205" i="25" s="1"/>
  <c r="W204" i="25"/>
  <c r="Y204" i="25" s="1"/>
  <c r="I204" i="25"/>
  <c r="W203" i="25"/>
  <c r="Y203" i="25" s="1"/>
  <c r="I203" i="25"/>
  <c r="W202" i="25"/>
  <c r="Y202" i="25" s="1"/>
  <c r="I201" i="25"/>
  <c r="W201" i="25" s="1"/>
  <c r="Y201" i="25" s="1"/>
  <c r="I200" i="25"/>
  <c r="W200" i="25" s="1"/>
  <c r="Y200" i="25" s="1"/>
  <c r="W199" i="25"/>
  <c r="I199" i="25"/>
  <c r="O184" i="25"/>
  <c r="U184" i="25" s="1"/>
  <c r="K184" i="25"/>
  <c r="I184" i="25"/>
  <c r="U183" i="25"/>
  <c r="O183" i="25"/>
  <c r="I183" i="25"/>
  <c r="K183" i="25" s="1"/>
  <c r="S182" i="25"/>
  <c r="O182" i="25"/>
  <c r="U182" i="25" s="1"/>
  <c r="M182" i="25"/>
  <c r="K182" i="25"/>
  <c r="I182" i="25"/>
  <c r="U181" i="25"/>
  <c r="O181" i="25"/>
  <c r="M181" i="25"/>
  <c r="S181" i="25" s="1"/>
  <c r="K181" i="25"/>
  <c r="I181" i="25"/>
  <c r="U179" i="25"/>
  <c r="O179" i="25"/>
  <c r="M179" i="25"/>
  <c r="S179" i="25" s="1"/>
  <c r="I179" i="25"/>
  <c r="K179" i="25" s="1"/>
  <c r="S178" i="25"/>
  <c r="M178" i="25"/>
  <c r="K178" i="25"/>
  <c r="I178" i="25"/>
  <c r="M177" i="25"/>
  <c r="S177" i="25" s="1"/>
  <c r="I177" i="25"/>
  <c r="K177" i="25" s="1"/>
  <c r="S176" i="25"/>
  <c r="M176" i="25"/>
  <c r="K176" i="25"/>
  <c r="I176" i="25"/>
  <c r="M175" i="25"/>
  <c r="S175" i="25" s="1"/>
  <c r="I175" i="25"/>
  <c r="K175" i="25" s="1"/>
  <c r="O172" i="25"/>
  <c r="U172" i="25" s="1"/>
  <c r="M172" i="25"/>
  <c r="S172" i="25" s="1"/>
  <c r="I172" i="25"/>
  <c r="K172" i="25" s="1"/>
  <c r="S171" i="25"/>
  <c r="O171" i="25"/>
  <c r="U171" i="25" s="1"/>
  <c r="M171" i="25"/>
  <c r="K171" i="25"/>
  <c r="I171" i="25"/>
  <c r="U170" i="25"/>
  <c r="O170" i="25"/>
  <c r="M170" i="25"/>
  <c r="S170" i="25" s="1"/>
  <c r="K170" i="25"/>
  <c r="I170" i="25"/>
  <c r="U169" i="25"/>
  <c r="O169" i="25"/>
  <c r="M169" i="25"/>
  <c r="S169" i="25" s="1"/>
  <c r="I169" i="25"/>
  <c r="K169" i="25" s="1"/>
  <c r="O168" i="25"/>
  <c r="U168" i="25" s="1"/>
  <c r="M168" i="25"/>
  <c r="S168" i="25" s="1"/>
  <c r="I168" i="25"/>
  <c r="K168" i="25" s="1"/>
  <c r="O166" i="25"/>
  <c r="U166" i="25" s="1"/>
  <c r="K166" i="25"/>
  <c r="I166" i="25"/>
  <c r="U165" i="25"/>
  <c r="O165" i="25"/>
  <c r="I165" i="25"/>
  <c r="K165" i="25" s="1"/>
  <c r="O164" i="25"/>
  <c r="U164" i="25" s="1"/>
  <c r="I164" i="25"/>
  <c r="K164" i="25" s="1"/>
  <c r="U163" i="25"/>
  <c r="O163" i="25"/>
  <c r="I163" i="25"/>
  <c r="K163" i="25" s="1"/>
  <c r="U162" i="25"/>
  <c r="O162" i="25"/>
  <c r="K162" i="25"/>
  <c r="I162" i="25"/>
  <c r="M161" i="25"/>
  <c r="S161" i="25" s="1"/>
  <c r="I161" i="25"/>
  <c r="K161" i="25" s="1"/>
  <c r="M160" i="25"/>
  <c r="S160" i="25" s="1"/>
  <c r="K160" i="25"/>
  <c r="I160" i="25"/>
  <c r="Q158" i="25"/>
  <c r="O158" i="25"/>
  <c r="U158" i="25" s="1"/>
  <c r="I158" i="25"/>
  <c r="K158" i="25" s="1"/>
  <c r="AQ157" i="25"/>
  <c r="M158" i="25" s="1"/>
  <c r="S158" i="25" s="1"/>
  <c r="U157" i="25"/>
  <c r="Q157" i="25"/>
  <c r="Q185" i="25" s="1"/>
  <c r="O157" i="25"/>
  <c r="M157" i="25"/>
  <c r="I157" i="25"/>
  <c r="I185" i="25" s="1"/>
  <c r="W161" i="25" s="1"/>
  <c r="W162" i="25" s="1"/>
  <c r="O191" i="25" s="1"/>
  <c r="C135" i="25"/>
  <c r="E132" i="25"/>
  <c r="E131" i="25"/>
  <c r="E130" i="25"/>
  <c r="E129" i="25"/>
  <c r="E128" i="25"/>
  <c r="E127" i="25"/>
  <c r="E125" i="25" s="1"/>
  <c r="E133" i="25" s="1"/>
  <c r="E126" i="25"/>
  <c r="E124" i="25"/>
  <c r="M124" i="25" s="1"/>
  <c r="C124" i="25"/>
  <c r="K116" i="25"/>
  <c r="W116" i="25" s="1"/>
  <c r="K115" i="25"/>
  <c r="W115" i="25" s="1"/>
  <c r="K114" i="25"/>
  <c r="W114" i="25" s="1"/>
  <c r="K113" i="25"/>
  <c r="W113" i="25" s="1"/>
  <c r="K112" i="25"/>
  <c r="W112" i="25" s="1"/>
  <c r="K111" i="25"/>
  <c r="W111" i="25" s="1"/>
  <c r="K110" i="25"/>
  <c r="S110" i="25" s="1"/>
  <c r="S109" i="25"/>
  <c r="K109" i="25"/>
  <c r="W109" i="25" s="1"/>
  <c r="K108" i="25"/>
  <c r="S107" i="25"/>
  <c r="K107" i="25"/>
  <c r="W107" i="25" s="1"/>
  <c r="W106" i="25"/>
  <c r="K106" i="25"/>
  <c r="S106" i="25" s="1"/>
  <c r="W105" i="25"/>
  <c r="S105" i="25"/>
  <c r="K105" i="25"/>
  <c r="S104" i="25"/>
  <c r="K104" i="25"/>
  <c r="S103" i="25"/>
  <c r="K103" i="25"/>
  <c r="K102" i="25"/>
  <c r="S102" i="25" s="1"/>
  <c r="S101" i="25"/>
  <c r="K101" i="25"/>
  <c r="S100" i="25"/>
  <c r="K100" i="25"/>
  <c r="S99" i="25"/>
  <c r="K99" i="25"/>
  <c r="K98" i="25"/>
  <c r="S98" i="25" s="1"/>
  <c r="K97" i="25"/>
  <c r="S97" i="25" s="1"/>
  <c r="W96" i="25"/>
  <c r="K96" i="25"/>
  <c r="O89" i="25"/>
  <c r="C245" i="25" s="1"/>
  <c r="M89" i="25"/>
  <c r="K89" i="25"/>
  <c r="I89" i="25"/>
  <c r="G89" i="25"/>
  <c r="O88" i="25"/>
  <c r="M88" i="25"/>
  <c r="I88" i="25"/>
  <c r="E88" i="25"/>
  <c r="O85" i="25"/>
  <c r="M85" i="25"/>
  <c r="I85" i="25"/>
  <c r="E85" i="25"/>
  <c r="O84" i="25"/>
  <c r="M84" i="25"/>
  <c r="I84" i="25"/>
  <c r="E84" i="25"/>
  <c r="O83" i="25"/>
  <c r="M83" i="25"/>
  <c r="I83" i="25"/>
  <c r="G83" i="25"/>
  <c r="E83" i="25"/>
  <c r="O82" i="25"/>
  <c r="M82" i="25"/>
  <c r="K82" i="25"/>
  <c r="I82" i="25"/>
  <c r="G82" i="25"/>
  <c r="E82" i="25"/>
  <c r="O81" i="25"/>
  <c r="M81" i="25"/>
  <c r="K81" i="25"/>
  <c r="I81" i="25"/>
  <c r="G81" i="25"/>
  <c r="E81" i="25"/>
  <c r="O78" i="25"/>
  <c r="M78" i="25"/>
  <c r="K78" i="25"/>
  <c r="I78" i="25"/>
  <c r="G78" i="25"/>
  <c r="E78" i="25"/>
  <c r="O77" i="25"/>
  <c r="M77" i="25"/>
  <c r="K77" i="25"/>
  <c r="I77" i="25"/>
  <c r="G77" i="25"/>
  <c r="E77" i="25"/>
  <c r="O76" i="25"/>
  <c r="M76" i="25"/>
  <c r="K76" i="25"/>
  <c r="I76" i="25"/>
  <c r="G76" i="25"/>
  <c r="E76" i="25"/>
  <c r="O75" i="25"/>
  <c r="M75" i="25"/>
  <c r="K75" i="25"/>
  <c r="I75" i="25"/>
  <c r="G75" i="25"/>
  <c r="E75" i="25"/>
  <c r="O74" i="25"/>
  <c r="M74" i="25"/>
  <c r="K74" i="25"/>
  <c r="I74" i="25"/>
  <c r="G74" i="25"/>
  <c r="E74" i="25"/>
  <c r="O72" i="25"/>
  <c r="M72" i="25"/>
  <c r="I72" i="25"/>
  <c r="E72" i="25"/>
  <c r="O71" i="25"/>
  <c r="M71" i="25"/>
  <c r="I71" i="25"/>
  <c r="O69" i="25"/>
  <c r="M69" i="25"/>
  <c r="K69" i="25"/>
  <c r="I69" i="25"/>
  <c r="G69" i="25"/>
  <c r="E69" i="25"/>
  <c r="O68" i="25"/>
  <c r="M68" i="25"/>
  <c r="K68" i="25"/>
  <c r="I68" i="25"/>
  <c r="G68" i="25"/>
  <c r="E68" i="25"/>
  <c r="I60" i="25"/>
  <c r="O60" i="25" s="1"/>
  <c r="Q60" i="25" s="1"/>
  <c r="S60" i="25" s="1"/>
  <c r="I59" i="25"/>
  <c r="O59" i="25" s="1"/>
  <c r="Q59" i="25" s="1"/>
  <c r="S59" i="25" s="1"/>
  <c r="I58" i="25"/>
  <c r="O58" i="25" s="1"/>
  <c r="Q58" i="25" s="1"/>
  <c r="S58" i="25" s="1"/>
  <c r="I57" i="25"/>
  <c r="O57" i="25" s="1"/>
  <c r="Q57" i="25" s="1"/>
  <c r="S57" i="25" s="1"/>
  <c r="I55" i="25"/>
  <c r="O55" i="25" s="1"/>
  <c r="Q55" i="25" s="1"/>
  <c r="S55" i="25" s="1"/>
  <c r="I54" i="25"/>
  <c r="O54" i="25" s="1"/>
  <c r="Q54" i="25" s="1"/>
  <c r="S54" i="25" s="1"/>
  <c r="I53" i="25"/>
  <c r="O53" i="25" s="1"/>
  <c r="Q53" i="25" s="1"/>
  <c r="S53" i="25" s="1"/>
  <c r="I52" i="25"/>
  <c r="O52" i="25" s="1"/>
  <c r="Q52" i="25" s="1"/>
  <c r="S52" i="25" s="1"/>
  <c r="I51" i="25"/>
  <c r="O51" i="25" s="1"/>
  <c r="Q51" i="25" s="1"/>
  <c r="S51" i="25" s="1"/>
  <c r="I48" i="25"/>
  <c r="O48" i="25" s="1"/>
  <c r="Q48" i="25" s="1"/>
  <c r="S48" i="25" s="1"/>
  <c r="I47" i="25"/>
  <c r="O47" i="25" s="1"/>
  <c r="Q47" i="25" s="1"/>
  <c r="S47" i="25" s="1"/>
  <c r="I46" i="25"/>
  <c r="O46" i="25" s="1"/>
  <c r="Q46" i="25" s="1"/>
  <c r="S46" i="25" s="1"/>
  <c r="I45" i="25"/>
  <c r="O45" i="25" s="1"/>
  <c r="Q45" i="25" s="1"/>
  <c r="S45" i="25" s="1"/>
  <c r="I44" i="25"/>
  <c r="O44" i="25" s="1"/>
  <c r="Q44" i="25" s="1"/>
  <c r="S44" i="25" s="1"/>
  <c r="I42" i="25"/>
  <c r="O42" i="25" s="1"/>
  <c r="Q42" i="25" s="1"/>
  <c r="S42" i="25" s="1"/>
  <c r="I41" i="25"/>
  <c r="O41" i="25" s="1"/>
  <c r="Q41" i="25" s="1"/>
  <c r="S41" i="25" s="1"/>
  <c r="I40" i="25"/>
  <c r="O40" i="25" s="1"/>
  <c r="Q40" i="25" s="1"/>
  <c r="S40" i="25" s="1"/>
  <c r="I39" i="25"/>
  <c r="O39" i="25" s="1"/>
  <c r="Q39" i="25" s="1"/>
  <c r="S39" i="25" s="1"/>
  <c r="I38" i="25"/>
  <c r="O38" i="25" s="1"/>
  <c r="Q38" i="25" s="1"/>
  <c r="S38" i="25" s="1"/>
  <c r="I37" i="25"/>
  <c r="O37" i="25" s="1"/>
  <c r="Q37" i="25" s="1"/>
  <c r="S37" i="25" s="1"/>
  <c r="I36" i="25"/>
  <c r="O36" i="25" s="1"/>
  <c r="Q36" i="25" s="1"/>
  <c r="S36" i="25" s="1"/>
  <c r="I35" i="25"/>
  <c r="O35" i="25" s="1"/>
  <c r="Q35" i="25" s="1"/>
  <c r="S35" i="25" s="1"/>
  <c r="I33" i="25"/>
  <c r="O33" i="25" s="1"/>
  <c r="Q33" i="25" s="1"/>
  <c r="S33" i="25" s="1"/>
  <c r="I32" i="25"/>
  <c r="O32" i="25" s="1"/>
  <c r="G24" i="25"/>
  <c r="I24" i="25" s="1"/>
  <c r="G23" i="25"/>
  <c r="I23" i="25" s="1"/>
  <c r="G22" i="25"/>
  <c r="I22" i="25" s="1"/>
  <c r="G21" i="25"/>
  <c r="I21" i="25" s="1"/>
  <c r="G19" i="25"/>
  <c r="I19" i="25" s="1"/>
  <c r="G18" i="25"/>
  <c r="I18" i="25" s="1"/>
  <c r="G17" i="25"/>
  <c r="I17" i="25" s="1"/>
  <c r="G16" i="25"/>
  <c r="I16" i="25" s="1"/>
  <c r="G15" i="25"/>
  <c r="I15" i="25" s="1"/>
  <c r="G14" i="25"/>
  <c r="I14" i="25" s="1"/>
  <c r="G13" i="25"/>
  <c r="I13" i="25" s="1"/>
  <c r="G12" i="25"/>
  <c r="I12" i="25" s="1"/>
  <c r="G11" i="25"/>
  <c r="I11" i="25" s="1"/>
  <c r="I9" i="25"/>
  <c r="G9" i="25"/>
  <c r="Z9" i="25"/>
  <c r="G8" i="25"/>
  <c r="I8" i="25" s="1"/>
  <c r="Z8" i="25"/>
  <c r="Q87" i="25" s="1"/>
  <c r="S87" i="25" s="1"/>
  <c r="U87" i="25" s="1"/>
  <c r="I7" i="25"/>
  <c r="G7" i="25"/>
  <c r="Z7" i="25"/>
  <c r="U57" i="25" s="1"/>
  <c r="W57" i="25" s="1"/>
  <c r="G6" i="25"/>
  <c r="Z6" i="25"/>
  <c r="C48" i="24"/>
  <c r="C47" i="24"/>
  <c r="M10" i="24" s="1"/>
  <c r="C46" i="24"/>
  <c r="U22" i="24" s="1"/>
  <c r="C45" i="24"/>
  <c r="W22" i="24"/>
  <c r="O22" i="24"/>
  <c r="S22" i="24" s="1"/>
  <c r="AE16" i="24"/>
  <c r="AC16" i="24"/>
  <c r="Y16" i="24"/>
  <c r="W16" i="24"/>
  <c r="M16" i="24"/>
  <c r="Q10" i="24"/>
  <c r="O10" i="24"/>
  <c r="K10" i="24"/>
  <c r="O16" i="24" s="1"/>
  <c r="Q16" i="24" s="1"/>
  <c r="U5" i="24"/>
  <c r="O5" i="24"/>
  <c r="C63" i="23"/>
  <c r="J29" i="23"/>
  <c r="J28" i="23"/>
  <c r="C62" i="23" s="1"/>
  <c r="J27" i="23"/>
  <c r="C61" i="23" s="1"/>
  <c r="H15" i="23"/>
  <c r="J15" i="23" s="1"/>
  <c r="D15" i="23"/>
  <c r="H13" i="23"/>
  <c r="J13" i="23" s="1"/>
  <c r="D13" i="23"/>
  <c r="S11" i="23"/>
  <c r="S10" i="23"/>
  <c r="S9" i="23"/>
  <c r="H28" i="23" s="1"/>
  <c r="C55" i="23" s="1"/>
  <c r="H9" i="23"/>
  <c r="J9" i="23" s="1"/>
  <c r="D9" i="23"/>
  <c r="S8" i="23"/>
  <c r="L6" i="23"/>
  <c r="J6" i="23"/>
  <c r="C71" i="22"/>
  <c r="C69" i="22"/>
  <c r="H69" i="22" s="1"/>
  <c r="E49" i="22"/>
  <c r="C49" i="22"/>
  <c r="C48" i="22"/>
  <c r="E48" i="22" s="1"/>
  <c r="E47" i="22"/>
  <c r="E33" i="22"/>
  <c r="E32" i="22"/>
  <c r="F32" i="22" s="1"/>
  <c r="E31" i="22"/>
  <c r="E30" i="22"/>
  <c r="E27" i="22"/>
  <c r="E26" i="22"/>
  <c r="E25" i="22"/>
  <c r="E24" i="22"/>
  <c r="L11" i="22"/>
  <c r="L10" i="22"/>
  <c r="I69" i="22" s="1"/>
  <c r="E84" i="1" s="1"/>
  <c r="L9" i="22"/>
  <c r="F48" i="22" s="1"/>
  <c r="F9" i="22"/>
  <c r="L8" i="22"/>
  <c r="E8" i="22"/>
  <c r="AC45" i="20"/>
  <c r="AC44" i="20"/>
  <c r="AC43" i="20"/>
  <c r="AC42" i="20"/>
  <c r="Q35" i="20"/>
  <c r="U35" i="20" s="1"/>
  <c r="M35" i="20"/>
  <c r="E35" i="20"/>
  <c r="D35" i="20"/>
  <c r="C35" i="20"/>
  <c r="F35" i="20" s="1"/>
  <c r="K32" i="20"/>
  <c r="K33" i="20" s="1"/>
  <c r="Y29" i="20"/>
  <c r="T29" i="20"/>
  <c r="S29" i="20"/>
  <c r="R29" i="20"/>
  <c r="Q29" i="20"/>
  <c r="U29" i="20" s="1"/>
  <c r="M29" i="20"/>
  <c r="F29" i="20"/>
  <c r="E29" i="20"/>
  <c r="D29" i="20"/>
  <c r="C29" i="20"/>
  <c r="T26" i="20"/>
  <c r="T27" i="20" s="1"/>
  <c r="L26" i="20"/>
  <c r="T23" i="20"/>
  <c r="S23" i="20"/>
  <c r="U23" i="20" s="1"/>
  <c r="R23" i="20"/>
  <c r="M23" i="20"/>
  <c r="F23" i="20"/>
  <c r="D23" i="20"/>
  <c r="C23" i="20"/>
  <c r="Y21" i="20"/>
  <c r="T21" i="20"/>
  <c r="S21" i="20"/>
  <c r="R21" i="20"/>
  <c r="Q21" i="20"/>
  <c r="L21" i="20"/>
  <c r="K21" i="20"/>
  <c r="J21" i="20"/>
  <c r="F21" i="20"/>
  <c r="L17" i="20"/>
  <c r="L19" i="20" s="1"/>
  <c r="J17" i="20"/>
  <c r="J19" i="20" s="1"/>
  <c r="C17" i="20"/>
  <c r="C19" i="20" s="1"/>
  <c r="Y13" i="20"/>
  <c r="Y32" i="20" s="1"/>
  <c r="Y33" i="20" s="1"/>
  <c r="T13" i="20"/>
  <c r="R13" i="20"/>
  <c r="L13" i="20"/>
  <c r="L32" i="20" s="1"/>
  <c r="L33" i="20" s="1"/>
  <c r="K13" i="20"/>
  <c r="K26" i="20" s="1"/>
  <c r="J13" i="20"/>
  <c r="J32" i="20" s="1"/>
  <c r="J33" i="20" s="1"/>
  <c r="E13" i="20"/>
  <c r="D13" i="20"/>
  <c r="C13" i="20"/>
  <c r="C32" i="20" s="1"/>
  <c r="C33" i="20" s="1"/>
  <c r="T9" i="20"/>
  <c r="S9" i="20"/>
  <c r="S13" i="20" s="1"/>
  <c r="R9" i="20"/>
  <c r="Q9" i="20"/>
  <c r="Q13" i="20" s="1"/>
  <c r="M9" i="20"/>
  <c r="F9" i="20"/>
  <c r="P65" i="19"/>
  <c r="L65" i="19"/>
  <c r="Q65" i="19" s="1"/>
  <c r="K65" i="19"/>
  <c r="J65" i="19"/>
  <c r="I65" i="19"/>
  <c r="M65" i="19" s="1"/>
  <c r="T65" i="19" s="1"/>
  <c r="C65" i="19"/>
  <c r="Z63" i="19"/>
  <c r="P63" i="19"/>
  <c r="K63" i="19"/>
  <c r="J63" i="19"/>
  <c r="I63" i="19"/>
  <c r="L63" i="19" s="1"/>
  <c r="Q63" i="19" s="1"/>
  <c r="F63" i="19"/>
  <c r="C63" i="19"/>
  <c r="P61" i="19"/>
  <c r="I61" i="19" s="1"/>
  <c r="M61" i="19" s="1"/>
  <c r="T61" i="19" s="1"/>
  <c r="K61" i="19"/>
  <c r="J61" i="19"/>
  <c r="P59" i="19"/>
  <c r="I59" i="19" s="1"/>
  <c r="K59" i="19"/>
  <c r="J59" i="19"/>
  <c r="Z57" i="19"/>
  <c r="P57" i="19"/>
  <c r="L57" i="19"/>
  <c r="Q57" i="19" s="1"/>
  <c r="K57" i="19"/>
  <c r="J57" i="19"/>
  <c r="C57" i="19"/>
  <c r="I57" i="19" s="1"/>
  <c r="X55" i="19"/>
  <c r="P55" i="19"/>
  <c r="K55" i="19"/>
  <c r="J55" i="19"/>
  <c r="C55" i="19"/>
  <c r="Y53" i="19"/>
  <c r="P53" i="19"/>
  <c r="K53" i="19"/>
  <c r="J53" i="19"/>
  <c r="I53" i="19"/>
  <c r="F53" i="19"/>
  <c r="P51" i="19"/>
  <c r="L51" i="19"/>
  <c r="Q51" i="19" s="1"/>
  <c r="K51" i="19"/>
  <c r="J51" i="19"/>
  <c r="I51" i="19"/>
  <c r="C51" i="19"/>
  <c r="X51" i="19" s="1"/>
  <c r="X49" i="19"/>
  <c r="P49" i="19"/>
  <c r="K49" i="19"/>
  <c r="J49" i="19"/>
  <c r="F49" i="19"/>
  <c r="C49" i="19"/>
  <c r="I49" i="19" s="1"/>
  <c r="P46" i="19"/>
  <c r="K46" i="19"/>
  <c r="I46" i="19"/>
  <c r="F46" i="19"/>
  <c r="R46" i="19" s="1"/>
  <c r="D46" i="19"/>
  <c r="J46" i="19" s="1"/>
  <c r="N46" i="19" s="1"/>
  <c r="U46" i="19" s="1"/>
  <c r="C46" i="19"/>
  <c r="Z44" i="19"/>
  <c r="P44" i="19"/>
  <c r="J44" i="19"/>
  <c r="F44" i="19"/>
  <c r="E44" i="19"/>
  <c r="K44" i="19" s="1"/>
  <c r="O44" i="19" s="1"/>
  <c r="V44" i="19" s="1"/>
  <c r="C44" i="19"/>
  <c r="I44" i="19" s="1"/>
  <c r="P42" i="19"/>
  <c r="J42" i="19"/>
  <c r="I42" i="19"/>
  <c r="E42" i="19"/>
  <c r="C42" i="19"/>
  <c r="X42" i="19" s="1"/>
  <c r="P40" i="19"/>
  <c r="J40" i="19"/>
  <c r="N40" i="19" s="1"/>
  <c r="U40" i="19" s="1"/>
  <c r="E40" i="19"/>
  <c r="F40" i="19" s="1"/>
  <c r="C40" i="19"/>
  <c r="I40" i="19" s="1"/>
  <c r="P38" i="19"/>
  <c r="J38" i="19"/>
  <c r="I38" i="19"/>
  <c r="E38" i="19"/>
  <c r="C38" i="19"/>
  <c r="P36" i="19"/>
  <c r="K36" i="19"/>
  <c r="J36" i="19"/>
  <c r="E36" i="19"/>
  <c r="C36" i="19"/>
  <c r="P34" i="19"/>
  <c r="K34" i="19"/>
  <c r="J34" i="19"/>
  <c r="I34" i="19"/>
  <c r="E34" i="19"/>
  <c r="F34" i="19" s="1"/>
  <c r="P32" i="19"/>
  <c r="O32" i="19"/>
  <c r="V32" i="19" s="1"/>
  <c r="K32" i="19"/>
  <c r="J32" i="19"/>
  <c r="I32" i="19"/>
  <c r="L32" i="19" s="1"/>
  <c r="Q32" i="19" s="1"/>
  <c r="R32" i="19" s="1"/>
  <c r="F32" i="19"/>
  <c r="P30" i="19"/>
  <c r="K30" i="19"/>
  <c r="O30" i="19" s="1"/>
  <c r="V30" i="19" s="1"/>
  <c r="J30" i="19"/>
  <c r="I30" i="19"/>
  <c r="L30" i="19" s="1"/>
  <c r="F30" i="19"/>
  <c r="P28" i="19"/>
  <c r="M28" i="19"/>
  <c r="T28" i="19" s="1"/>
  <c r="K28" i="19"/>
  <c r="O28" i="19" s="1"/>
  <c r="V28" i="19" s="1"/>
  <c r="I28" i="19"/>
  <c r="F28" i="19"/>
  <c r="E28" i="19"/>
  <c r="D28" i="19"/>
  <c r="J28" i="19" s="1"/>
  <c r="X26" i="19"/>
  <c r="O26" i="19"/>
  <c r="K26" i="19"/>
  <c r="J26" i="19"/>
  <c r="N26" i="19" s="1"/>
  <c r="U26" i="19" s="1"/>
  <c r="I26" i="19"/>
  <c r="F26" i="19"/>
  <c r="G7" i="19"/>
  <c r="Y59" i="19" s="1"/>
  <c r="C86" i="18"/>
  <c r="C85" i="18"/>
  <c r="C84" i="18"/>
  <c r="V88" i="18" s="1"/>
  <c r="C83" i="18"/>
  <c r="J77" i="18"/>
  <c r="T75" i="18"/>
  <c r="R75" i="18"/>
  <c r="Q75" i="18"/>
  <c r="M75" i="18"/>
  <c r="O75" i="18" s="1"/>
  <c r="P75" i="18" s="1"/>
  <c r="R74" i="18"/>
  <c r="G74" i="18"/>
  <c r="E74" i="18"/>
  <c r="R72" i="18"/>
  <c r="O72" i="18"/>
  <c r="P72" i="18" s="1"/>
  <c r="M72" i="18"/>
  <c r="Q72" i="18" s="1"/>
  <c r="G72" i="18"/>
  <c r="E72" i="18"/>
  <c r="T70" i="18"/>
  <c r="U70" i="18" s="1"/>
  <c r="V70" i="18" s="1"/>
  <c r="R70" i="18"/>
  <c r="G70" i="18"/>
  <c r="E70" i="18"/>
  <c r="T69" i="18"/>
  <c r="U69" i="18" s="1"/>
  <c r="V69" i="18" s="1"/>
  <c r="R69" i="18"/>
  <c r="G69" i="18"/>
  <c r="E69" i="18"/>
  <c r="T68" i="18"/>
  <c r="U68" i="18" s="1"/>
  <c r="V68" i="18" s="1"/>
  <c r="R68" i="18"/>
  <c r="G68" i="18"/>
  <c r="R66" i="18"/>
  <c r="G66" i="18"/>
  <c r="E66" i="18"/>
  <c r="R64" i="18"/>
  <c r="G64" i="18"/>
  <c r="U63" i="18"/>
  <c r="V63" i="18" s="1"/>
  <c r="T63" i="18"/>
  <c r="R63" i="18"/>
  <c r="G63" i="18"/>
  <c r="T61" i="18"/>
  <c r="U61" i="18" s="1"/>
  <c r="V61" i="18" s="1"/>
  <c r="R61" i="18"/>
  <c r="G61" i="18"/>
  <c r="E61" i="18"/>
  <c r="G60" i="18"/>
  <c r="E60" i="18"/>
  <c r="R59" i="18"/>
  <c r="T59" i="18" s="1"/>
  <c r="U59" i="18" s="1"/>
  <c r="V59" i="18" s="1"/>
  <c r="Q59" i="18"/>
  <c r="P59" i="18"/>
  <c r="O59" i="18"/>
  <c r="M59" i="18"/>
  <c r="G59" i="18"/>
  <c r="E59" i="18"/>
  <c r="R58" i="18"/>
  <c r="T58" i="18" s="1"/>
  <c r="M58" i="18"/>
  <c r="Q58" i="18" s="1"/>
  <c r="G58" i="18"/>
  <c r="E58" i="18"/>
  <c r="R56" i="18"/>
  <c r="T56" i="18" s="1"/>
  <c r="U56" i="18" s="1"/>
  <c r="V56" i="18" s="1"/>
  <c r="G56" i="18"/>
  <c r="E56" i="18"/>
  <c r="R54" i="18"/>
  <c r="T54" i="18" s="1"/>
  <c r="U54" i="18" s="1"/>
  <c r="M54" i="18"/>
  <c r="G54" i="18"/>
  <c r="E54" i="18"/>
  <c r="R52" i="18"/>
  <c r="T52" i="18" s="1"/>
  <c r="M52" i="18"/>
  <c r="Q52" i="18" s="1"/>
  <c r="U51" i="18"/>
  <c r="R51" i="18"/>
  <c r="T51" i="18" s="1"/>
  <c r="M51" i="18"/>
  <c r="R49" i="18"/>
  <c r="T49" i="18" s="1"/>
  <c r="U49" i="18" s="1"/>
  <c r="M49" i="18"/>
  <c r="G49" i="18"/>
  <c r="E49" i="18"/>
  <c r="R47" i="18"/>
  <c r="T47" i="18" s="1"/>
  <c r="G47" i="18"/>
  <c r="E47" i="18"/>
  <c r="R46" i="18"/>
  <c r="T46" i="18" s="1"/>
  <c r="G46" i="18"/>
  <c r="E46" i="18"/>
  <c r="R44" i="18"/>
  <c r="T44" i="18" s="1"/>
  <c r="G44" i="18"/>
  <c r="E44" i="18"/>
  <c r="R43" i="18"/>
  <c r="T43" i="18" s="1"/>
  <c r="M43" i="18"/>
  <c r="Q43" i="18" s="1"/>
  <c r="G43" i="18"/>
  <c r="E43" i="18"/>
  <c r="R42" i="18"/>
  <c r="T42" i="18" s="1"/>
  <c r="U42" i="18" s="1"/>
  <c r="V42" i="18" s="1"/>
  <c r="G42" i="18"/>
  <c r="E42" i="18"/>
  <c r="U41" i="18"/>
  <c r="Q40" i="18"/>
  <c r="K40" i="18"/>
  <c r="M40" i="18" s="1"/>
  <c r="O40" i="18" s="1"/>
  <c r="P40" i="18" s="1"/>
  <c r="E40" i="18"/>
  <c r="T39" i="18"/>
  <c r="R39" i="18"/>
  <c r="U39" i="18" s="1"/>
  <c r="V39" i="18" s="1"/>
  <c r="G39" i="18"/>
  <c r="E39" i="18"/>
  <c r="T37" i="18"/>
  <c r="R37" i="18"/>
  <c r="G37" i="18"/>
  <c r="E37" i="18"/>
  <c r="T36" i="18"/>
  <c r="R36" i="18"/>
  <c r="U36" i="18" s="1"/>
  <c r="V36" i="18" s="1"/>
  <c r="Q36" i="18"/>
  <c r="M36" i="18"/>
  <c r="O36" i="18" s="1"/>
  <c r="P36" i="18" s="1"/>
  <c r="G36" i="18"/>
  <c r="E36" i="18"/>
  <c r="R34" i="18"/>
  <c r="Q34" i="18"/>
  <c r="O34" i="18"/>
  <c r="P34" i="18" s="1"/>
  <c r="M34" i="18"/>
  <c r="E34" i="18"/>
  <c r="R32" i="18"/>
  <c r="T32" i="18" s="1"/>
  <c r="M32" i="18"/>
  <c r="Q32" i="18" s="1"/>
  <c r="G32" i="18"/>
  <c r="E32" i="18"/>
  <c r="R31" i="18"/>
  <c r="T31" i="18" s="1"/>
  <c r="U31" i="18" s="1"/>
  <c r="V31" i="18" s="1"/>
  <c r="G31" i="18"/>
  <c r="E31" i="18"/>
  <c r="R29" i="18"/>
  <c r="T29" i="18" s="1"/>
  <c r="U29" i="18" s="1"/>
  <c r="M29" i="18"/>
  <c r="K29" i="18"/>
  <c r="J29" i="18"/>
  <c r="D29" i="18"/>
  <c r="T27" i="18"/>
  <c r="R27" i="18"/>
  <c r="U27" i="18" s="1"/>
  <c r="V27" i="18" s="1"/>
  <c r="G27" i="18"/>
  <c r="E27" i="18"/>
  <c r="V26" i="18"/>
  <c r="T26" i="18"/>
  <c r="R26" i="18"/>
  <c r="U26" i="18" s="1"/>
  <c r="G26" i="18"/>
  <c r="E26" i="18"/>
  <c r="K24" i="18"/>
  <c r="J24" i="18"/>
  <c r="T23" i="18"/>
  <c r="R23" i="18"/>
  <c r="U23" i="18" s="1"/>
  <c r="Q23" i="18"/>
  <c r="O23" i="18"/>
  <c r="P23" i="18" s="1"/>
  <c r="M23" i="18"/>
  <c r="G23" i="18"/>
  <c r="E23" i="18"/>
  <c r="T21" i="18"/>
  <c r="R21" i="18"/>
  <c r="M21" i="18"/>
  <c r="Q21" i="18" s="1"/>
  <c r="G21" i="18"/>
  <c r="E21" i="18"/>
  <c r="K19" i="18"/>
  <c r="R19" i="18" s="1"/>
  <c r="J19" i="18"/>
  <c r="Q18" i="18"/>
  <c r="O18" i="18"/>
  <c r="P18" i="18" s="1"/>
  <c r="M18" i="18"/>
  <c r="K18" i="18"/>
  <c r="R18" i="18" s="1"/>
  <c r="J18" i="18"/>
  <c r="V17" i="18"/>
  <c r="T17" i="18"/>
  <c r="R17" i="18"/>
  <c r="U17" i="18" s="1"/>
  <c r="G17" i="18"/>
  <c r="E17" i="18"/>
  <c r="T16" i="18"/>
  <c r="R16" i="18"/>
  <c r="Q16" i="18"/>
  <c r="M16" i="18"/>
  <c r="O16" i="18" s="1"/>
  <c r="P16" i="18" s="1"/>
  <c r="G16" i="18"/>
  <c r="E16" i="18"/>
  <c r="R15" i="18"/>
  <c r="G15" i="18"/>
  <c r="E15" i="18"/>
  <c r="R14" i="18"/>
  <c r="G14" i="18"/>
  <c r="E14" i="18"/>
  <c r="R12" i="18"/>
  <c r="G12" i="18"/>
  <c r="E12" i="18"/>
  <c r="R11" i="18"/>
  <c r="Q11" i="18"/>
  <c r="O11" i="18"/>
  <c r="M11" i="18"/>
  <c r="G11" i="18"/>
  <c r="E11" i="18"/>
  <c r="G20" i="17"/>
  <c r="F20" i="17"/>
  <c r="G19" i="17"/>
  <c r="F19" i="17"/>
  <c r="G18" i="17"/>
  <c r="G16" i="17"/>
  <c r="G14" i="17"/>
  <c r="G10" i="17"/>
  <c r="G9" i="17"/>
  <c r="I8" i="16"/>
  <c r="J8" i="16" s="1"/>
  <c r="I7" i="16"/>
  <c r="G7" i="16"/>
  <c r="G76" i="15"/>
  <c r="I74" i="15"/>
  <c r="H74" i="15"/>
  <c r="I70" i="15"/>
  <c r="H70" i="15"/>
  <c r="G70" i="15"/>
  <c r="H65" i="15"/>
  <c r="H76" i="15" s="1"/>
  <c r="G65" i="15"/>
  <c r="G61" i="15"/>
  <c r="G63" i="15" s="1"/>
  <c r="G74" i="15" s="1"/>
  <c r="I53" i="15"/>
  <c r="I72" i="15" s="1"/>
  <c r="H53" i="15"/>
  <c r="G53" i="15"/>
  <c r="G72" i="15" s="1"/>
  <c r="D51" i="15"/>
  <c r="D49" i="15"/>
  <c r="D47" i="15"/>
  <c r="I35" i="15"/>
  <c r="H35" i="15"/>
  <c r="G35" i="15"/>
  <c r="G33" i="15"/>
  <c r="I28" i="15"/>
  <c r="I39" i="15" s="1"/>
  <c r="H28" i="15"/>
  <c r="H39" i="15" s="1"/>
  <c r="G28" i="15"/>
  <c r="G39" i="15" s="1"/>
  <c r="G12" i="15"/>
  <c r="G18" i="15" s="1"/>
  <c r="G22" i="15" s="1"/>
  <c r="G37" i="15" s="1"/>
  <c r="I10" i="15"/>
  <c r="I18" i="15" s="1"/>
  <c r="I33" i="15" s="1"/>
  <c r="H10" i="15"/>
  <c r="H18" i="15" s="1"/>
  <c r="H33" i="15" s="1"/>
  <c r="D48" i="14"/>
  <c r="J33" i="14"/>
  <c r="L33" i="14" s="1"/>
  <c r="D57" i="14" s="1"/>
  <c r="H28" i="14"/>
  <c r="L23" i="14"/>
  <c r="D52" i="14" s="1"/>
  <c r="L18" i="14"/>
  <c r="J18" i="14" s="1"/>
  <c r="AH17" i="14"/>
  <c r="AG17" i="14"/>
  <c r="AF17" i="14"/>
  <c r="AE17" i="14"/>
  <c r="AD17" i="14"/>
  <c r="AC17" i="14"/>
  <c r="AB17" i="14"/>
  <c r="AA17" i="14"/>
  <c r="Z17" i="14"/>
  <c r="Y17" i="14"/>
  <c r="X17" i="14"/>
  <c r="W17" i="14"/>
  <c r="V17" i="14"/>
  <c r="U17" i="14"/>
  <c r="L17" i="14"/>
  <c r="J17" i="14" s="1"/>
  <c r="H17" i="14"/>
  <c r="AI16" i="14"/>
  <c r="D13" i="14"/>
  <c r="J13" i="14" s="1"/>
  <c r="J12" i="14"/>
  <c r="H12" i="14" s="1"/>
  <c r="P10" i="14"/>
  <c r="J28" i="14" s="1"/>
  <c r="L28" i="14" s="1"/>
  <c r="D55" i="14" s="1"/>
  <c r="E117" i="1" s="1"/>
  <c r="P9" i="14"/>
  <c r="P8" i="14"/>
  <c r="J8" i="14"/>
  <c r="H8" i="14" s="1"/>
  <c r="P7" i="14"/>
  <c r="J7" i="14"/>
  <c r="H7" i="14" s="1"/>
  <c r="D6" i="14"/>
  <c r="J6" i="14" s="1"/>
  <c r="F123" i="13"/>
  <c r="E122" i="13"/>
  <c r="F121" i="13"/>
  <c r="E121" i="13"/>
  <c r="E119" i="13"/>
  <c r="E117" i="13"/>
  <c r="E114" i="13"/>
  <c r="E112" i="13"/>
  <c r="E111" i="13"/>
  <c r="E110" i="13"/>
  <c r="E109" i="13"/>
  <c r="E106" i="13"/>
  <c r="E103" i="13"/>
  <c r="E102" i="13"/>
  <c r="G92" i="13"/>
  <c r="G91" i="13"/>
  <c r="E91" i="13"/>
  <c r="G90" i="13"/>
  <c r="E90" i="13"/>
  <c r="G89" i="13"/>
  <c r="E88" i="13"/>
  <c r="G88" i="13" s="1"/>
  <c r="G87" i="13"/>
  <c r="E86" i="13"/>
  <c r="G86" i="13" s="1"/>
  <c r="G85" i="13"/>
  <c r="G84" i="13"/>
  <c r="G83" i="13"/>
  <c r="E83" i="13"/>
  <c r="G82" i="13"/>
  <c r="E81" i="13"/>
  <c r="G81" i="13" s="1"/>
  <c r="E80" i="13"/>
  <c r="G80" i="13" s="1"/>
  <c r="E79" i="13"/>
  <c r="G79" i="13" s="1"/>
  <c r="E78" i="13"/>
  <c r="G78" i="13" s="1"/>
  <c r="G77" i="13"/>
  <c r="G76" i="13"/>
  <c r="G75" i="13"/>
  <c r="E75" i="13"/>
  <c r="G74" i="13"/>
  <c r="G73" i="13"/>
  <c r="E72" i="13"/>
  <c r="G72" i="13" s="1"/>
  <c r="E71" i="13"/>
  <c r="G71" i="13" s="1"/>
  <c r="G70" i="13"/>
  <c r="G61" i="13"/>
  <c r="E60" i="13"/>
  <c r="G60" i="13" s="1"/>
  <c r="G59" i="13"/>
  <c r="E59" i="13"/>
  <c r="G58" i="13"/>
  <c r="E57" i="13"/>
  <c r="G57" i="13" s="1"/>
  <c r="G56" i="13"/>
  <c r="G55" i="13"/>
  <c r="E55" i="13"/>
  <c r="G54" i="13"/>
  <c r="G53" i="13"/>
  <c r="E52" i="13"/>
  <c r="G52" i="13" s="1"/>
  <c r="G51" i="13"/>
  <c r="G50" i="13"/>
  <c r="E50" i="13"/>
  <c r="G49" i="13"/>
  <c r="E49" i="13"/>
  <c r="G48" i="13"/>
  <c r="E48" i="13"/>
  <c r="G47" i="13"/>
  <c r="E47" i="13"/>
  <c r="G46" i="13"/>
  <c r="G45" i="13"/>
  <c r="G44" i="13"/>
  <c r="E44" i="13"/>
  <c r="G43" i="13"/>
  <c r="G42" i="13"/>
  <c r="G41" i="13"/>
  <c r="E41" i="13"/>
  <c r="G40" i="13"/>
  <c r="E40" i="13"/>
  <c r="G39" i="13"/>
  <c r="E29" i="13"/>
  <c r="G29" i="13" s="1"/>
  <c r="J29" i="13" s="1"/>
  <c r="K29" i="13" s="1"/>
  <c r="F122" i="13" s="1"/>
  <c r="E28" i="13"/>
  <c r="G28" i="13" s="1"/>
  <c r="J28" i="13" s="1"/>
  <c r="K28" i="13" s="1"/>
  <c r="J27" i="13"/>
  <c r="K27" i="13" s="1"/>
  <c r="F120" i="13" s="1"/>
  <c r="G27" i="13"/>
  <c r="G26" i="13"/>
  <c r="J26" i="13" s="1"/>
  <c r="K26" i="13" s="1"/>
  <c r="F119" i="13" s="1"/>
  <c r="E26" i="13"/>
  <c r="G25" i="13"/>
  <c r="J25" i="13" s="1"/>
  <c r="K25" i="13" s="1"/>
  <c r="F118" i="13" s="1"/>
  <c r="E24" i="13"/>
  <c r="G24" i="13" s="1"/>
  <c r="J24" i="13" s="1"/>
  <c r="K24" i="13" s="1"/>
  <c r="F117" i="13" s="1"/>
  <c r="J23" i="13"/>
  <c r="K23" i="13" s="1"/>
  <c r="F116" i="13" s="1"/>
  <c r="G23" i="13"/>
  <c r="G22" i="13"/>
  <c r="J22" i="13" s="1"/>
  <c r="K22" i="13" s="1"/>
  <c r="F115" i="13" s="1"/>
  <c r="E21" i="13"/>
  <c r="G21" i="13" s="1"/>
  <c r="J21" i="13" s="1"/>
  <c r="K21" i="13" s="1"/>
  <c r="F114" i="13" s="1"/>
  <c r="J20" i="13"/>
  <c r="K20" i="13" s="1"/>
  <c r="F113" i="13" s="1"/>
  <c r="G20" i="13"/>
  <c r="G19" i="13"/>
  <c r="J19" i="13" s="1"/>
  <c r="K19" i="13" s="1"/>
  <c r="F112" i="13" s="1"/>
  <c r="E19" i="13"/>
  <c r="G18" i="13"/>
  <c r="J18" i="13" s="1"/>
  <c r="K18" i="13" s="1"/>
  <c r="F111" i="13" s="1"/>
  <c r="E18" i="13"/>
  <c r="G17" i="13"/>
  <c r="J17" i="13" s="1"/>
  <c r="K17" i="13" s="1"/>
  <c r="F110" i="13" s="1"/>
  <c r="E17" i="13"/>
  <c r="E16" i="13"/>
  <c r="G16" i="13" s="1"/>
  <c r="J16" i="13" s="1"/>
  <c r="K16" i="13" s="1"/>
  <c r="F109" i="13" s="1"/>
  <c r="Q15" i="13"/>
  <c r="G15" i="13"/>
  <c r="J15" i="13" s="1"/>
  <c r="K15" i="13" s="1"/>
  <c r="F108" i="13" s="1"/>
  <c r="Q14" i="13"/>
  <c r="H51" i="13" s="1"/>
  <c r="G14" i="13"/>
  <c r="J14" i="13" s="1"/>
  <c r="K14" i="13" s="1"/>
  <c r="F107" i="13" s="1"/>
  <c r="Q13" i="13"/>
  <c r="H84" i="13" s="1"/>
  <c r="I84" i="13" s="1"/>
  <c r="G115" i="13" s="1"/>
  <c r="K13" i="13"/>
  <c r="F106" i="13" s="1"/>
  <c r="E40" i="1" s="1"/>
  <c r="G13" i="13"/>
  <c r="J13" i="13" s="1"/>
  <c r="E13" i="13"/>
  <c r="Q12" i="13"/>
  <c r="J12" i="13"/>
  <c r="K12" i="13" s="1"/>
  <c r="F105" i="13" s="1"/>
  <c r="G12" i="13"/>
  <c r="G11" i="13"/>
  <c r="J11" i="13" s="1"/>
  <c r="K11" i="13" s="1"/>
  <c r="F104" i="13" s="1"/>
  <c r="E10" i="13"/>
  <c r="G10" i="13" s="1"/>
  <c r="J10" i="13" s="1"/>
  <c r="K10" i="13" s="1"/>
  <c r="F103" i="13" s="1"/>
  <c r="J9" i="13"/>
  <c r="K9" i="13" s="1"/>
  <c r="F102" i="13" s="1"/>
  <c r="E9" i="13"/>
  <c r="G9" i="13" s="1"/>
  <c r="J8" i="13"/>
  <c r="G8" i="13"/>
  <c r="E44" i="12"/>
  <c r="E43" i="12"/>
  <c r="E42" i="12"/>
  <c r="E41" i="12"/>
  <c r="E40" i="12"/>
  <c r="E39" i="12"/>
  <c r="E38" i="12"/>
  <c r="E37" i="12"/>
  <c r="E29" i="12"/>
  <c r="E28" i="12"/>
  <c r="E27" i="12"/>
  <c r="E26" i="12"/>
  <c r="E25" i="12"/>
  <c r="E24" i="12"/>
  <c r="E23" i="12"/>
  <c r="E22" i="12"/>
  <c r="G15" i="12"/>
  <c r="F14" i="12"/>
  <c r="G14" i="12" s="1"/>
  <c r="D60" i="12" s="1"/>
  <c r="F13" i="12"/>
  <c r="G13" i="12" s="1"/>
  <c r="D59" i="12" s="1"/>
  <c r="F12" i="12"/>
  <c r="G12" i="12" s="1"/>
  <c r="D58" i="12" s="1"/>
  <c r="F11" i="12"/>
  <c r="G11" i="12" s="1"/>
  <c r="D57" i="12" s="1"/>
  <c r="G10" i="12"/>
  <c r="D56" i="12" s="1"/>
  <c r="F10" i="12"/>
  <c r="L9" i="12"/>
  <c r="F9" i="12"/>
  <c r="G9" i="12" s="1"/>
  <c r="D55" i="12" s="1"/>
  <c r="L8" i="12"/>
  <c r="F29" i="12" s="1"/>
  <c r="G29" i="12" s="1"/>
  <c r="F61" i="12" s="1"/>
  <c r="G8" i="12"/>
  <c r="D54" i="12" s="1"/>
  <c r="F8" i="12"/>
  <c r="L7" i="12"/>
  <c r="F41" i="12" s="1"/>
  <c r="G41" i="12" s="1"/>
  <c r="E58" i="12" s="1"/>
  <c r="L6" i="12"/>
  <c r="E36" i="11"/>
  <c r="E35" i="11"/>
  <c r="E34" i="11"/>
  <c r="E33" i="11"/>
  <c r="E32" i="11"/>
  <c r="E31" i="11"/>
  <c r="E23" i="11"/>
  <c r="E22" i="11"/>
  <c r="E21" i="11"/>
  <c r="E20" i="11"/>
  <c r="E19" i="11"/>
  <c r="E18" i="11"/>
  <c r="F11" i="11"/>
  <c r="G11" i="11" s="1"/>
  <c r="C50" i="11" s="1"/>
  <c r="L10" i="11"/>
  <c r="F10" i="11"/>
  <c r="G10" i="11" s="1"/>
  <c r="C49" i="11" s="1"/>
  <c r="L9" i="11"/>
  <c r="F23" i="11" s="1"/>
  <c r="G23" i="11" s="1"/>
  <c r="D51" i="11" s="1"/>
  <c r="F9" i="11"/>
  <c r="G9" i="11" s="1"/>
  <c r="C48" i="11" s="1"/>
  <c r="L8" i="11"/>
  <c r="F35" i="11" s="1"/>
  <c r="G35" i="11" s="1"/>
  <c r="E50" i="11" s="1"/>
  <c r="F8" i="11"/>
  <c r="G8" i="11" s="1"/>
  <c r="C47" i="11" s="1"/>
  <c r="L7" i="11"/>
  <c r="G7" i="11"/>
  <c r="F7" i="11"/>
  <c r="C45" i="10"/>
  <c r="I45" i="10" s="1"/>
  <c r="O45" i="10" s="1"/>
  <c r="Q45" i="10" s="1"/>
  <c r="S45" i="10" s="1"/>
  <c r="C58" i="10" s="1"/>
  <c r="O40" i="10"/>
  <c r="E35" i="10"/>
  <c r="K35" i="10" s="1"/>
  <c r="M35" i="10" s="1"/>
  <c r="O35" i="10" s="1"/>
  <c r="C57" i="10" s="1"/>
  <c r="AA34" i="10"/>
  <c r="AC34" i="10" s="1"/>
  <c r="C34" i="10"/>
  <c r="C24" i="10"/>
  <c r="T24" i="10" s="1"/>
  <c r="V24" i="10" s="1"/>
  <c r="E23" i="10"/>
  <c r="V22" i="10"/>
  <c r="T22" i="10"/>
  <c r="E22" i="10"/>
  <c r="K22" i="10" s="1"/>
  <c r="M22" i="10" s="1"/>
  <c r="O22" i="10" s="1"/>
  <c r="S11" i="10"/>
  <c r="S10" i="10"/>
  <c r="E10" i="10"/>
  <c r="C35" i="10" s="1"/>
  <c r="S9" i="10"/>
  <c r="C9" i="10"/>
  <c r="S8" i="10"/>
  <c r="C8" i="10"/>
  <c r="E7" i="10"/>
  <c r="E6" i="10"/>
  <c r="C23" i="10" s="1"/>
  <c r="E5" i="10"/>
  <c r="C22" i="10" s="1"/>
  <c r="V52" i="9"/>
  <c r="V51" i="9"/>
  <c r="V50" i="9"/>
  <c r="V49" i="9"/>
  <c r="C41" i="9"/>
  <c r="C40" i="9"/>
  <c r="L36" i="9"/>
  <c r="C54" i="9" s="1"/>
  <c r="K36" i="9"/>
  <c r="C55" i="9" s="1"/>
  <c r="G34" i="9"/>
  <c r="F34" i="9"/>
  <c r="E34" i="9"/>
  <c r="D34" i="9"/>
  <c r="C34" i="9"/>
  <c r="J4784" i="8"/>
  <c r="I4784" i="8"/>
  <c r="J4783" i="8"/>
  <c r="D11" i="8" s="1"/>
  <c r="F11" i="8" s="1"/>
  <c r="I4783" i="8"/>
  <c r="J4782" i="8"/>
  <c r="I4782" i="8"/>
  <c r="J4781" i="8"/>
  <c r="I4781" i="8"/>
  <c r="J4780" i="8"/>
  <c r="I4780" i="8"/>
  <c r="C8" i="8" s="1"/>
  <c r="J4778" i="8"/>
  <c r="J4777" i="8"/>
  <c r="I4777" i="8"/>
  <c r="J4776" i="8"/>
  <c r="H4776" i="8"/>
  <c r="H4778" i="8" s="1"/>
  <c r="E4776" i="8"/>
  <c r="E4778" i="8" s="1"/>
  <c r="D13" i="8"/>
  <c r="F12" i="8"/>
  <c r="D12" i="8"/>
  <c r="C12" i="8"/>
  <c r="C11" i="8"/>
  <c r="D10" i="8"/>
  <c r="F10" i="8" s="1"/>
  <c r="C10" i="8"/>
  <c r="I9" i="8"/>
  <c r="D9" i="8"/>
  <c r="F9" i="8" s="1"/>
  <c r="C9" i="8"/>
  <c r="I8" i="8"/>
  <c r="D8" i="8"/>
  <c r="F8" i="8" s="1"/>
  <c r="I7" i="8"/>
  <c r="E9" i="8" s="1"/>
  <c r="E54" i="1" s="1"/>
  <c r="I6" i="8"/>
  <c r="I84" i="7"/>
  <c r="H84" i="7"/>
  <c r="N68" i="7"/>
  <c r="P57" i="7"/>
  <c r="P84" i="7" s="1"/>
  <c r="I57" i="7"/>
  <c r="H57" i="7"/>
  <c r="I64" i="7" s="1"/>
  <c r="E57" i="7"/>
  <c r="E84" i="7" s="1"/>
  <c r="D57" i="7"/>
  <c r="D84" i="7" s="1"/>
  <c r="S50" i="7"/>
  <c r="R50" i="7"/>
  <c r="Q50" i="7"/>
  <c r="Q57" i="7" s="1"/>
  <c r="Q84" i="7" s="1"/>
  <c r="P50" i="7"/>
  <c r="O50" i="7"/>
  <c r="N50" i="7"/>
  <c r="N57" i="7" s="1"/>
  <c r="N84" i="7" s="1"/>
  <c r="M50" i="7"/>
  <c r="M57" i="7" s="1"/>
  <c r="M84" i="7" s="1"/>
  <c r="J50" i="7"/>
  <c r="J57" i="7" s="1"/>
  <c r="J84" i="7" s="1"/>
  <c r="I50" i="7"/>
  <c r="E50" i="7"/>
  <c r="L49" i="7"/>
  <c r="L50" i="7" s="1"/>
  <c r="L57" i="7" s="1"/>
  <c r="L84" i="7" s="1"/>
  <c r="K49" i="7"/>
  <c r="K50" i="7" s="1"/>
  <c r="K57" i="7" s="1"/>
  <c r="K84" i="7" s="1"/>
  <c r="J49" i="7"/>
  <c r="I49" i="7"/>
  <c r="H49" i="7"/>
  <c r="H50" i="7" s="1"/>
  <c r="G49" i="7"/>
  <c r="G50" i="7" s="1"/>
  <c r="G57" i="7" s="1"/>
  <c r="G84" i="7" s="1"/>
  <c r="F49" i="7"/>
  <c r="F50" i="7" s="1"/>
  <c r="F57" i="7" s="1"/>
  <c r="F84" i="7" s="1"/>
  <c r="E49" i="7"/>
  <c r="D49" i="7"/>
  <c r="D50" i="7" s="1"/>
  <c r="C49" i="7"/>
  <c r="C50" i="7" s="1"/>
  <c r="C57" i="7" s="1"/>
  <c r="C84" i="7" s="1"/>
  <c r="L38" i="7"/>
  <c r="I38" i="7"/>
  <c r="H38" i="7"/>
  <c r="G38" i="7"/>
  <c r="E38" i="7"/>
  <c r="D38" i="7"/>
  <c r="Q32" i="7"/>
  <c r="Q38" i="7" s="1"/>
  <c r="P32" i="7"/>
  <c r="P38" i="7" s="1"/>
  <c r="M32" i="7"/>
  <c r="M38" i="7" s="1"/>
  <c r="L32" i="7"/>
  <c r="J32" i="7"/>
  <c r="J38" i="7" s="1"/>
  <c r="I32" i="7"/>
  <c r="H32" i="7"/>
  <c r="G32" i="7"/>
  <c r="F32" i="7"/>
  <c r="F38" i="7" s="1"/>
  <c r="E32" i="7"/>
  <c r="D32" i="7"/>
  <c r="C32" i="7"/>
  <c r="C38" i="7" s="1"/>
  <c r="S27" i="7"/>
  <c r="R27" i="7"/>
  <c r="R32" i="7" s="1"/>
  <c r="Q27" i="7"/>
  <c r="P27" i="7"/>
  <c r="O27" i="7"/>
  <c r="N27" i="7"/>
  <c r="M27" i="7"/>
  <c r="K27" i="7"/>
  <c r="S344" i="6"/>
  <c r="S343" i="6"/>
  <c r="S342" i="6"/>
  <c r="S341" i="6"/>
  <c r="J341" i="6"/>
  <c r="F341" i="6"/>
  <c r="S340" i="6"/>
  <c r="J337" i="6"/>
  <c r="S335" i="6"/>
  <c r="S334" i="6"/>
  <c r="S333" i="6"/>
  <c r="S332" i="6"/>
  <c r="J324" i="6"/>
  <c r="J323" i="6"/>
  <c r="J322" i="6"/>
  <c r="J321" i="6"/>
  <c r="J320" i="6"/>
  <c r="J316" i="6"/>
  <c r="J315" i="6"/>
  <c r="J314" i="6"/>
  <c r="J313" i="6"/>
  <c r="J312" i="6"/>
  <c r="J311" i="6"/>
  <c r="J310" i="6"/>
  <c r="J309" i="6"/>
  <c r="J304" i="6"/>
  <c r="J303" i="6"/>
  <c r="J302" i="6"/>
  <c r="O305" i="6" s="1"/>
  <c r="J301" i="6"/>
  <c r="J296" i="6"/>
  <c r="J295" i="6"/>
  <c r="J294" i="6"/>
  <c r="J293" i="6"/>
  <c r="J288" i="6"/>
  <c r="J287" i="6"/>
  <c r="J286" i="6"/>
  <c r="J285" i="6"/>
  <c r="J284" i="6"/>
  <c r="J283" i="6"/>
  <c r="J282" i="6"/>
  <c r="J281" i="6"/>
  <c r="J276" i="6"/>
  <c r="J275" i="6"/>
  <c r="J274" i="6"/>
  <c r="J273" i="6"/>
  <c r="J272" i="6"/>
  <c r="J271" i="6"/>
  <c r="J270" i="6"/>
  <c r="J269" i="6"/>
  <c r="J268" i="6"/>
  <c r="J267" i="6"/>
  <c r="J262" i="6"/>
  <c r="F261" i="6"/>
  <c r="F260" i="6"/>
  <c r="F259" i="6"/>
  <c r="F258" i="6"/>
  <c r="J253" i="6"/>
  <c r="F253" i="6"/>
  <c r="F252" i="6"/>
  <c r="J252" i="6" s="1"/>
  <c r="J251" i="6"/>
  <c r="F251" i="6"/>
  <c r="F250" i="6"/>
  <c r="J250" i="6" s="1"/>
  <c r="F245" i="6"/>
  <c r="J245" i="6" s="1"/>
  <c r="F244" i="6"/>
  <c r="J244" i="6" s="1"/>
  <c r="J243" i="6"/>
  <c r="F243" i="6"/>
  <c r="F242" i="6"/>
  <c r="J242" i="6" s="1"/>
  <c r="F241" i="6"/>
  <c r="J241" i="6" s="1"/>
  <c r="F240" i="6"/>
  <c r="J240" i="6" s="1"/>
  <c r="J239" i="6"/>
  <c r="F239" i="6"/>
  <c r="F238" i="6"/>
  <c r="J238" i="6" s="1"/>
  <c r="J233" i="6"/>
  <c r="K232" i="6"/>
  <c r="F232" i="6"/>
  <c r="K231" i="6"/>
  <c r="L231" i="6" s="1"/>
  <c r="F231" i="6"/>
  <c r="J229" i="6"/>
  <c r="K228" i="6"/>
  <c r="L228" i="6" s="1"/>
  <c r="F228" i="6"/>
  <c r="K227" i="6"/>
  <c r="F227" i="6"/>
  <c r="J221" i="6"/>
  <c r="J220" i="6"/>
  <c r="J219" i="6"/>
  <c r="J218" i="6"/>
  <c r="J217" i="6"/>
  <c r="J216" i="6"/>
  <c r="J215" i="6"/>
  <c r="J214" i="6"/>
  <c r="M211" i="6"/>
  <c r="J211" i="6"/>
  <c r="M210" i="6"/>
  <c r="L210" i="6"/>
  <c r="J210" i="6"/>
  <c r="M209" i="6"/>
  <c r="L209" i="6"/>
  <c r="J209" i="6"/>
  <c r="J212" i="6" s="1"/>
  <c r="L211" i="6" s="1"/>
  <c r="J206" i="6"/>
  <c r="J205" i="6"/>
  <c r="J204" i="6"/>
  <c r="O198" i="6"/>
  <c r="M197" i="6"/>
  <c r="L197" i="6"/>
  <c r="J197" i="6"/>
  <c r="J196" i="6"/>
  <c r="N195" i="6"/>
  <c r="L194" i="6"/>
  <c r="L193" i="6"/>
  <c r="K193" i="6"/>
  <c r="J193" i="6"/>
  <c r="M193" i="6" s="1"/>
  <c r="M194" i="6" s="1"/>
  <c r="M192" i="6"/>
  <c r="L192" i="6"/>
  <c r="K192" i="6"/>
  <c r="J192" i="6"/>
  <c r="J194" i="6" s="1"/>
  <c r="M187" i="6"/>
  <c r="L187" i="6"/>
  <c r="J187" i="6"/>
  <c r="J184" i="6"/>
  <c r="M183" i="6"/>
  <c r="J183" i="6"/>
  <c r="L183" i="6" s="1"/>
  <c r="M180" i="6"/>
  <c r="J180" i="6"/>
  <c r="M179" i="6"/>
  <c r="L179" i="6"/>
  <c r="J179" i="6"/>
  <c r="J178" i="6"/>
  <c r="L175" i="6"/>
  <c r="K175" i="6"/>
  <c r="J175" i="6"/>
  <c r="M175" i="6" s="1"/>
  <c r="M174" i="6"/>
  <c r="M176" i="6" s="1"/>
  <c r="L174" i="6"/>
  <c r="K174" i="6"/>
  <c r="J174" i="6"/>
  <c r="J176" i="6" s="1"/>
  <c r="F169" i="6"/>
  <c r="J169" i="6" s="1"/>
  <c r="J164" i="6"/>
  <c r="J162" i="6"/>
  <c r="M160" i="6"/>
  <c r="L160" i="6"/>
  <c r="J160" i="6"/>
  <c r="J159" i="6"/>
  <c r="K159" i="6" s="1"/>
  <c r="J158" i="6"/>
  <c r="F153" i="6"/>
  <c r="J153" i="6" s="1"/>
  <c r="J151" i="6"/>
  <c r="F151" i="6"/>
  <c r="J149" i="6"/>
  <c r="F149" i="6"/>
  <c r="J147" i="6"/>
  <c r="F147" i="6"/>
  <c r="J140" i="6"/>
  <c r="F140" i="6"/>
  <c r="M139" i="6"/>
  <c r="F139" i="6"/>
  <c r="J139" i="6" s="1"/>
  <c r="L140" i="6" s="1"/>
  <c r="J137" i="6"/>
  <c r="J136" i="6"/>
  <c r="F136" i="6"/>
  <c r="M135" i="6"/>
  <c r="L135" i="6"/>
  <c r="J135" i="6"/>
  <c r="F135" i="6"/>
  <c r="J133" i="6"/>
  <c r="F133" i="6"/>
  <c r="F131" i="6"/>
  <c r="J131" i="6" s="1"/>
  <c r="F129" i="6"/>
  <c r="J129" i="6" s="1"/>
  <c r="J127" i="6"/>
  <c r="F127" i="6"/>
  <c r="F124" i="6"/>
  <c r="J124" i="6" s="1"/>
  <c r="K123" i="6"/>
  <c r="J123" i="6"/>
  <c r="F123" i="6"/>
  <c r="J118" i="6"/>
  <c r="M116" i="6"/>
  <c r="L116" i="6"/>
  <c r="J115" i="6"/>
  <c r="K115" i="6" s="1"/>
  <c r="K114" i="6"/>
  <c r="J114" i="6"/>
  <c r="J116" i="6" s="1"/>
  <c r="M112" i="6"/>
  <c r="L112" i="6"/>
  <c r="J112" i="6"/>
  <c r="J111" i="6"/>
  <c r="K111" i="6" s="1"/>
  <c r="J110" i="6"/>
  <c r="K110" i="6" s="1"/>
  <c r="M108" i="6"/>
  <c r="L108" i="6"/>
  <c r="J107" i="6"/>
  <c r="J106" i="6"/>
  <c r="K106" i="6" s="1"/>
  <c r="M104" i="6"/>
  <c r="L104" i="6"/>
  <c r="J104" i="6"/>
  <c r="K103" i="6"/>
  <c r="J103" i="6"/>
  <c r="J102" i="6"/>
  <c r="L97" i="6"/>
  <c r="M96" i="6"/>
  <c r="L96" i="6"/>
  <c r="K96" i="6"/>
  <c r="J96" i="6"/>
  <c r="L95" i="6"/>
  <c r="K95" i="6"/>
  <c r="J95" i="6"/>
  <c r="M95" i="6" s="1"/>
  <c r="M97" i="6" s="1"/>
  <c r="M90" i="6"/>
  <c r="J90" i="6"/>
  <c r="L90" i="6" s="1"/>
  <c r="J89" i="6"/>
  <c r="M88" i="6"/>
  <c r="J88" i="6"/>
  <c r="L88" i="6" s="1"/>
  <c r="L85" i="6"/>
  <c r="K85" i="6"/>
  <c r="M85" i="6" s="1"/>
  <c r="J85" i="6"/>
  <c r="M84" i="6"/>
  <c r="M86" i="6" s="1"/>
  <c r="L84" i="6"/>
  <c r="L86" i="6" s="1"/>
  <c r="K84" i="6"/>
  <c r="J84" i="6"/>
  <c r="J86" i="6" s="1"/>
  <c r="J81" i="6"/>
  <c r="K80" i="6"/>
  <c r="J80" i="6"/>
  <c r="M77" i="6"/>
  <c r="J77" i="6"/>
  <c r="K76" i="6"/>
  <c r="J76" i="6"/>
  <c r="J78" i="6" s="1"/>
  <c r="L73" i="6"/>
  <c r="J73" i="6"/>
  <c r="K73" i="6" s="1"/>
  <c r="M72" i="6"/>
  <c r="L72" i="6"/>
  <c r="J72" i="6"/>
  <c r="K72" i="6" s="1"/>
  <c r="M70" i="6"/>
  <c r="L70" i="6"/>
  <c r="J68" i="6"/>
  <c r="J65" i="6"/>
  <c r="M64" i="6"/>
  <c r="L64" i="6"/>
  <c r="J64" i="6"/>
  <c r="M63" i="6"/>
  <c r="L63" i="6"/>
  <c r="J63" i="6"/>
  <c r="L60" i="6"/>
  <c r="K60" i="6"/>
  <c r="J60" i="6"/>
  <c r="M60" i="6" s="1"/>
  <c r="M59" i="6"/>
  <c r="L59" i="6"/>
  <c r="K59" i="6"/>
  <c r="J59" i="6"/>
  <c r="L58" i="6"/>
  <c r="L61" i="6" s="1"/>
  <c r="K58" i="6"/>
  <c r="J58" i="6"/>
  <c r="J61" i="6" s="1"/>
  <c r="J55" i="6"/>
  <c r="L54" i="6"/>
  <c r="K54" i="6"/>
  <c r="J54" i="6"/>
  <c r="M54" i="6" s="1"/>
  <c r="J53" i="6"/>
  <c r="L52" i="6"/>
  <c r="J52" i="6"/>
  <c r="M52" i="6" s="1"/>
  <c r="J50" i="6"/>
  <c r="M49" i="6"/>
  <c r="J49" i="6"/>
  <c r="L49" i="6" s="1"/>
  <c r="M48" i="6"/>
  <c r="J48" i="6"/>
  <c r="J47" i="6"/>
  <c r="M46" i="6"/>
  <c r="J46" i="6"/>
  <c r="L42" i="6"/>
  <c r="J42" i="6"/>
  <c r="J40" i="6"/>
  <c r="M38" i="6"/>
  <c r="L38" i="6"/>
  <c r="J38" i="6"/>
  <c r="M36" i="6"/>
  <c r="L36" i="6"/>
  <c r="J35" i="6"/>
  <c r="J34" i="6"/>
  <c r="J33" i="6"/>
  <c r="M31" i="6"/>
  <c r="L31" i="6"/>
  <c r="J30" i="6"/>
  <c r="K30" i="6" s="1"/>
  <c r="K29" i="6"/>
  <c r="J29" i="6"/>
  <c r="J28" i="6"/>
  <c r="M24" i="6"/>
  <c r="L24" i="6"/>
  <c r="J24" i="6"/>
  <c r="J23" i="6"/>
  <c r="K22" i="6" s="1"/>
  <c r="J22" i="6"/>
  <c r="M20" i="6"/>
  <c r="L20" i="6"/>
  <c r="J19" i="6"/>
  <c r="K19" i="6" s="1"/>
  <c r="J18" i="6"/>
  <c r="J13" i="6"/>
  <c r="J11" i="6"/>
  <c r="J9" i="6"/>
  <c r="M8" i="6"/>
  <c r="L8" i="6"/>
  <c r="K8" i="6"/>
  <c r="M7" i="6"/>
  <c r="L7" i="6"/>
  <c r="K7" i="6"/>
  <c r="D65" i="5"/>
  <c r="J53" i="5"/>
  <c r="J52" i="5"/>
  <c r="J51" i="5"/>
  <c r="J50" i="5"/>
  <c r="D38" i="5"/>
  <c r="K28" i="5"/>
  <c r="K27" i="5"/>
  <c r="K26" i="5"/>
  <c r="K24" i="5"/>
  <c r="K23" i="5"/>
  <c r="K22" i="5"/>
  <c r="K20" i="5"/>
  <c r="K19" i="5"/>
  <c r="K18" i="5"/>
  <c r="H15" i="5"/>
  <c r="G15" i="5"/>
  <c r="F15" i="5"/>
  <c r="E15" i="5"/>
  <c r="D52" i="5" s="1"/>
  <c r="D15" i="5"/>
  <c r="H13" i="5"/>
  <c r="F87" i="4"/>
  <c r="E87" i="4"/>
  <c r="D87" i="4" s="1"/>
  <c r="E85" i="4"/>
  <c r="D85" i="4" s="1"/>
  <c r="F83" i="4"/>
  <c r="E83" i="4"/>
  <c r="D83" i="4"/>
  <c r="D89" i="4" s="1"/>
  <c r="E89" i="4" s="1"/>
  <c r="F89" i="4" s="1"/>
  <c r="F74" i="4"/>
  <c r="E74" i="4"/>
  <c r="D74" i="4"/>
  <c r="E72" i="4"/>
  <c r="F70" i="4"/>
  <c r="E70" i="4"/>
  <c r="D70" i="4"/>
  <c r="E62" i="4"/>
  <c r="F62" i="4" s="1"/>
  <c r="E60" i="4"/>
  <c r="F60" i="4" s="1"/>
  <c r="D60" i="4"/>
  <c r="C60" i="4"/>
  <c r="E58" i="4"/>
  <c r="F58" i="4" s="1"/>
  <c r="C58" i="4"/>
  <c r="F56" i="4"/>
  <c r="E56" i="4"/>
  <c r="D56" i="4"/>
  <c r="C56" i="4"/>
  <c r="C62" i="4" s="1"/>
  <c r="F48" i="4"/>
  <c r="E48" i="4"/>
  <c r="D48" i="4"/>
  <c r="H43" i="4"/>
  <c r="G43" i="4"/>
  <c r="G42" i="4"/>
  <c r="H42" i="4" s="1"/>
  <c r="H41" i="4"/>
  <c r="G41" i="4"/>
  <c r="G39" i="4"/>
  <c r="H33" i="4"/>
  <c r="G33" i="4"/>
  <c r="H32" i="4"/>
  <c r="G32" i="4"/>
  <c r="G31" i="4"/>
  <c r="H31" i="4" s="1"/>
  <c r="G29" i="4"/>
  <c r="H23" i="4"/>
  <c r="G23" i="4"/>
  <c r="H22" i="4"/>
  <c r="G22" i="4"/>
  <c r="G21" i="4"/>
  <c r="H21" i="4" s="1"/>
  <c r="G19" i="4"/>
  <c r="G13" i="4"/>
  <c r="H13" i="4" s="1"/>
  <c r="G12" i="4"/>
  <c r="H12" i="4" s="1"/>
  <c r="G11" i="4"/>
  <c r="H11" i="4" s="1"/>
  <c r="G9" i="4"/>
  <c r="D451" i="3"/>
  <c r="E451" i="3" s="1"/>
  <c r="D450" i="3"/>
  <c r="E450" i="3" s="1"/>
  <c r="C450" i="3"/>
  <c r="C464" i="3" s="1"/>
  <c r="J427" i="3"/>
  <c r="J426" i="3"/>
  <c r="F450" i="3" s="1"/>
  <c r="D426" i="3"/>
  <c r="E426" i="3" s="1"/>
  <c r="F426" i="3" s="1"/>
  <c r="C426" i="3"/>
  <c r="C439" i="3" s="1"/>
  <c r="J425" i="3"/>
  <c r="F439" i="3" s="1"/>
  <c r="F425" i="3"/>
  <c r="E425" i="3"/>
  <c r="C425" i="3"/>
  <c r="C438" i="3" s="1"/>
  <c r="J424" i="3"/>
  <c r="M413" i="3"/>
  <c r="L413" i="3"/>
  <c r="K413" i="3"/>
  <c r="J413" i="3"/>
  <c r="F413" i="3"/>
  <c r="M300" i="3"/>
  <c r="L300" i="3"/>
  <c r="D439" i="3" s="1"/>
  <c r="E439" i="3" s="1"/>
  <c r="K300" i="3"/>
  <c r="J300" i="3"/>
  <c r="F300" i="3"/>
  <c r="M252" i="3"/>
  <c r="L252" i="3"/>
  <c r="D438" i="3" s="1"/>
  <c r="E438" i="3" s="1"/>
  <c r="K252" i="3"/>
  <c r="D425" i="3" s="1"/>
  <c r="J252" i="3"/>
  <c r="F252" i="3"/>
  <c r="M58" i="3"/>
  <c r="L58" i="3"/>
  <c r="K58" i="3"/>
  <c r="J58" i="3"/>
  <c r="F58" i="3"/>
  <c r="C264" i="2"/>
  <c r="C258" i="2"/>
  <c r="C257" i="2"/>
  <c r="C256" i="2" s="1"/>
  <c r="N228" i="2"/>
  <c r="M228" i="2"/>
  <c r="L228" i="2"/>
  <c r="K228" i="2"/>
  <c r="M227" i="2"/>
  <c r="L227" i="2"/>
  <c r="F227" i="2"/>
  <c r="N226" i="2"/>
  <c r="M226" i="2"/>
  <c r="F226" i="2"/>
  <c r="N225" i="2"/>
  <c r="M225" i="2"/>
  <c r="L225" i="2"/>
  <c r="K225" i="2"/>
  <c r="F223" i="2"/>
  <c r="K223" i="2" s="1"/>
  <c r="M222" i="2"/>
  <c r="L222" i="2"/>
  <c r="K222" i="2"/>
  <c r="F222" i="2"/>
  <c r="N222" i="2" s="1"/>
  <c r="N221" i="2"/>
  <c r="M221" i="2"/>
  <c r="L221" i="2"/>
  <c r="K221" i="2"/>
  <c r="N220" i="2"/>
  <c r="M220" i="2"/>
  <c r="L220" i="2"/>
  <c r="K220" i="2"/>
  <c r="N215" i="2"/>
  <c r="M215" i="2"/>
  <c r="L215" i="2"/>
  <c r="K215" i="2"/>
  <c r="N214" i="2"/>
  <c r="M214" i="2"/>
  <c r="L214" i="2"/>
  <c r="K214" i="2"/>
  <c r="F214" i="2"/>
  <c r="N213" i="2"/>
  <c r="M213" i="2"/>
  <c r="L213" i="2"/>
  <c r="K213" i="2"/>
  <c r="F213" i="2"/>
  <c r="N212" i="2"/>
  <c r="M212" i="2"/>
  <c r="L212" i="2"/>
  <c r="K212" i="2"/>
  <c r="L211" i="2"/>
  <c r="N210" i="2"/>
  <c r="M210" i="2"/>
  <c r="L210" i="2"/>
  <c r="K210" i="2"/>
  <c r="K211" i="2" s="1"/>
  <c r="F210" i="2"/>
  <c r="N209" i="2"/>
  <c r="M209" i="2"/>
  <c r="L209" i="2"/>
  <c r="K209" i="2"/>
  <c r="F209" i="2"/>
  <c r="N208" i="2"/>
  <c r="M208" i="2"/>
  <c r="L208" i="2"/>
  <c r="K208" i="2"/>
  <c r="N207" i="2"/>
  <c r="M207" i="2"/>
  <c r="L207" i="2"/>
  <c r="K207" i="2"/>
  <c r="I199" i="2"/>
  <c r="H199" i="2"/>
  <c r="G199" i="2"/>
  <c r="F199" i="2"/>
  <c r="E199" i="2"/>
  <c r="D199" i="2"/>
  <c r="I197" i="2"/>
  <c r="H197" i="2"/>
  <c r="G197" i="2"/>
  <c r="F197" i="2"/>
  <c r="E197" i="2"/>
  <c r="I196" i="2"/>
  <c r="I200" i="2" s="1"/>
  <c r="H196" i="2"/>
  <c r="H200" i="2" s="1"/>
  <c r="G196" i="2"/>
  <c r="F196" i="2"/>
  <c r="E196" i="2"/>
  <c r="E200" i="2" s="1"/>
  <c r="D196" i="2"/>
  <c r="D200" i="2" s="1"/>
  <c r="I195" i="2"/>
  <c r="H195" i="2"/>
  <c r="G195" i="2"/>
  <c r="F195" i="2"/>
  <c r="E195" i="2"/>
  <c r="D195" i="2"/>
  <c r="I193" i="2"/>
  <c r="H193" i="2"/>
  <c r="G193" i="2"/>
  <c r="F193" i="2"/>
  <c r="E193" i="2"/>
  <c r="D193" i="2"/>
  <c r="I192" i="2"/>
  <c r="H192" i="2"/>
  <c r="G192" i="2"/>
  <c r="G200" i="2" s="1"/>
  <c r="F192" i="2"/>
  <c r="E192" i="2"/>
  <c r="D192" i="2"/>
  <c r="I186" i="2"/>
  <c r="H186" i="2"/>
  <c r="C186" i="2"/>
  <c r="G186" i="2" s="1"/>
  <c r="I185" i="2"/>
  <c r="C185" i="2"/>
  <c r="F184" i="2"/>
  <c r="C184" i="2"/>
  <c r="F183" i="2"/>
  <c r="E183" i="2"/>
  <c r="C183" i="2"/>
  <c r="H182" i="2"/>
  <c r="D182" i="2"/>
  <c r="C182" i="2"/>
  <c r="F182" i="2" s="1"/>
  <c r="H181" i="2"/>
  <c r="G181" i="2"/>
  <c r="F181" i="2"/>
  <c r="E181" i="2"/>
  <c r="C181" i="2"/>
  <c r="I181" i="2" s="1"/>
  <c r="I175" i="2"/>
  <c r="H175" i="2"/>
  <c r="D175" i="2"/>
  <c r="C175" i="2"/>
  <c r="G175" i="2" s="1"/>
  <c r="C174" i="2"/>
  <c r="G173" i="2"/>
  <c r="F173" i="2"/>
  <c r="C173" i="2"/>
  <c r="I172" i="2"/>
  <c r="F172" i="2"/>
  <c r="E172" i="2"/>
  <c r="C172" i="2"/>
  <c r="I171" i="2"/>
  <c r="H171" i="2"/>
  <c r="E171" i="2"/>
  <c r="D171" i="2"/>
  <c r="C171" i="2"/>
  <c r="H170" i="2"/>
  <c r="H176" i="2" s="1"/>
  <c r="G170" i="2"/>
  <c r="D170" i="2"/>
  <c r="D176" i="2" s="1"/>
  <c r="C170" i="2"/>
  <c r="F166" i="2"/>
  <c r="I165" i="2"/>
  <c r="H165" i="2"/>
  <c r="E165" i="2"/>
  <c r="D165" i="2"/>
  <c r="I164" i="2"/>
  <c r="G164" i="2"/>
  <c r="F164" i="2"/>
  <c r="E164" i="2"/>
  <c r="E186" i="2" s="1"/>
  <c r="D164" i="2"/>
  <c r="D186" i="2" s="1"/>
  <c r="I163" i="2"/>
  <c r="H163" i="2"/>
  <c r="H174" i="2" s="1"/>
  <c r="G163" i="2"/>
  <c r="G174" i="2" s="1"/>
  <c r="F163" i="2"/>
  <c r="E163" i="2"/>
  <c r="D163" i="2"/>
  <c r="D174" i="2" s="1"/>
  <c r="I162" i="2"/>
  <c r="H162" i="2"/>
  <c r="G162" i="2"/>
  <c r="F162" i="2"/>
  <c r="E162" i="2"/>
  <c r="E166" i="2" s="1"/>
  <c r="D162" i="2"/>
  <c r="I161" i="2"/>
  <c r="I183" i="2" s="1"/>
  <c r="H161" i="2"/>
  <c r="G161" i="2"/>
  <c r="F161" i="2"/>
  <c r="E161" i="2"/>
  <c r="D161" i="2"/>
  <c r="G160" i="2"/>
  <c r="F160" i="2"/>
  <c r="F165" i="2" s="1"/>
  <c r="E139" i="2"/>
  <c r="D139" i="2"/>
  <c r="E136" i="2"/>
  <c r="D136" i="2"/>
  <c r="F133" i="2"/>
  <c r="E133" i="2"/>
  <c r="D133" i="2"/>
  <c r="C133" i="2"/>
  <c r="C136" i="2" s="1"/>
  <c r="F130" i="2"/>
  <c r="E130" i="2"/>
  <c r="D130" i="2"/>
  <c r="C130" i="2"/>
  <c r="F121" i="2"/>
  <c r="F136" i="2" s="1"/>
  <c r="E121" i="2"/>
  <c r="D121" i="2"/>
  <c r="C121" i="2"/>
  <c r="F118" i="2"/>
  <c r="F139" i="2" s="1"/>
  <c r="E118" i="2"/>
  <c r="D118" i="2"/>
  <c r="C118" i="2"/>
  <c r="C139" i="2" s="1"/>
  <c r="F86" i="2"/>
  <c r="E86" i="2"/>
  <c r="C78" i="2"/>
  <c r="C255" i="2" s="1"/>
  <c r="C77" i="2"/>
  <c r="C254" i="2" s="1"/>
  <c r="C76" i="2"/>
  <c r="C253" i="2" s="1"/>
  <c r="C75" i="2"/>
  <c r="C252" i="2" s="1"/>
  <c r="C73" i="2"/>
  <c r="C250" i="2" s="1"/>
  <c r="K7" i="2"/>
  <c r="K6" i="2"/>
  <c r="K5" i="2"/>
  <c r="K4" i="2"/>
  <c r="K3" i="2"/>
  <c r="C194" i="1"/>
  <c r="C193" i="1"/>
  <c r="C192" i="1"/>
  <c r="C191" i="1"/>
  <c r="E178" i="1"/>
  <c r="E172" i="1"/>
  <c r="E165" i="1"/>
  <c r="E164" i="1" s="1"/>
  <c r="E148" i="1"/>
  <c r="E126" i="1"/>
  <c r="E118" i="1"/>
  <c r="E113" i="1"/>
  <c r="E110" i="1" s="1"/>
  <c r="E107" i="1"/>
  <c r="E106" i="1" s="1"/>
  <c r="E85" i="1"/>
  <c r="E82" i="1"/>
  <c r="E75" i="1"/>
  <c r="E73" i="1"/>
  <c r="E61" i="1"/>
  <c r="E57" i="1"/>
  <c r="E53" i="1"/>
  <c r="E49" i="1"/>
  <c r="E44" i="1"/>
  <c r="E36" i="1"/>
  <c r="E25" i="1"/>
  <c r="E114" i="1" l="1"/>
  <c r="F105" i="2"/>
  <c r="G105" i="2" s="1"/>
  <c r="D140" i="2"/>
  <c r="D141" i="2" s="1"/>
  <c r="E140" i="2"/>
  <c r="E141" i="2" s="1"/>
  <c r="F140" i="2"/>
  <c r="C140" i="2"/>
  <c r="C141" i="2" s="1"/>
  <c r="F141" i="2"/>
  <c r="C263" i="2" s="1"/>
  <c r="E177" i="1" s="1"/>
  <c r="E137" i="2"/>
  <c r="E138" i="2" s="1"/>
  <c r="D137" i="2"/>
  <c r="F137" i="2"/>
  <c r="C137" i="2"/>
  <c r="C138" i="2" s="1"/>
  <c r="D138" i="2"/>
  <c r="F138" i="2"/>
  <c r="F27" i="22"/>
  <c r="L9" i="23"/>
  <c r="D21" i="23" s="1"/>
  <c r="L15" i="23"/>
  <c r="F103" i="2"/>
  <c r="G103" i="2" s="1"/>
  <c r="G450" i="3"/>
  <c r="E464" i="3" s="1"/>
  <c r="AE34" i="10"/>
  <c r="E56" i="10" s="1"/>
  <c r="F8" i="22"/>
  <c r="F10" i="22" s="1"/>
  <c r="C83" i="22" s="1"/>
  <c r="W56" i="18"/>
  <c r="X56" i="18" s="1"/>
  <c r="F33" i="11"/>
  <c r="G33" i="11" s="1"/>
  <c r="E48" i="11" s="1"/>
  <c r="W27" i="18"/>
  <c r="X27" i="18" s="1"/>
  <c r="W36" i="18"/>
  <c r="X36" i="18" s="1"/>
  <c r="W39" i="18"/>
  <c r="X39" i="18" s="1"/>
  <c r="W61" i="18"/>
  <c r="X61" i="18" s="1"/>
  <c r="F24" i="22"/>
  <c r="F47" i="22"/>
  <c r="AA216" i="25"/>
  <c r="AC216" i="25" s="1"/>
  <c r="AA222" i="25"/>
  <c r="AC222" i="25" s="1"/>
  <c r="W31" i="18"/>
  <c r="X31" i="18" s="1"/>
  <c r="W59" i="18"/>
  <c r="X59" i="18" s="1"/>
  <c r="W69" i="18"/>
  <c r="X69" i="18" s="1"/>
  <c r="W42" i="18"/>
  <c r="X42" i="18" s="1"/>
  <c r="W17" i="18"/>
  <c r="X17" i="18" s="1"/>
  <c r="Q85" i="25"/>
  <c r="S85" i="25" s="1"/>
  <c r="U85" i="25" s="1"/>
  <c r="G439" i="3"/>
  <c r="F465" i="3" s="1"/>
  <c r="X22" i="10"/>
  <c r="G53" i="10" s="1"/>
  <c r="F44" i="12"/>
  <c r="G44" i="12" s="1"/>
  <c r="E61" i="12" s="1"/>
  <c r="G61" i="12" s="1"/>
  <c r="W63" i="18"/>
  <c r="X63" i="18" s="1"/>
  <c r="O82" i="18"/>
  <c r="Q72" i="25"/>
  <c r="S72" i="25" s="1"/>
  <c r="U72" i="25" s="1"/>
  <c r="F438" i="3"/>
  <c r="G438" i="3" s="1"/>
  <c r="F464" i="3" s="1"/>
  <c r="W26" i="18"/>
  <c r="X26" i="18" s="1"/>
  <c r="W68" i="18"/>
  <c r="X68" i="18" s="1"/>
  <c r="V82" i="18"/>
  <c r="F31" i="22"/>
  <c r="Q69" i="25"/>
  <c r="S69" i="25" s="1"/>
  <c r="U69" i="25" s="1"/>
  <c r="X24" i="10"/>
  <c r="G55" i="10" s="1"/>
  <c r="E67" i="1" s="1"/>
  <c r="F39" i="12"/>
  <c r="W70" i="18"/>
  <c r="X70" i="18" s="1"/>
  <c r="Q68" i="25"/>
  <c r="S68" i="25" s="1"/>
  <c r="U68" i="25" s="1"/>
  <c r="K24" i="25"/>
  <c r="M24" i="25" s="1"/>
  <c r="U39" i="25"/>
  <c r="W39" i="25" s="1"/>
  <c r="U48" i="25"/>
  <c r="W48" i="25" s="1"/>
  <c r="U58" i="25"/>
  <c r="W58" i="25" s="1"/>
  <c r="AA204" i="25"/>
  <c r="AC204" i="25" s="1"/>
  <c r="F24" i="12"/>
  <c r="G24" i="12" s="1"/>
  <c r="F56" i="12" s="1"/>
  <c r="G39" i="12"/>
  <c r="E56" i="12" s="1"/>
  <c r="H41" i="13"/>
  <c r="H46" i="13"/>
  <c r="I46" i="13" s="1"/>
  <c r="H108" i="13" s="1"/>
  <c r="F30" i="22"/>
  <c r="F49" i="22"/>
  <c r="K11" i="25"/>
  <c r="M11" i="25" s="1"/>
  <c r="K17" i="25"/>
  <c r="M17" i="25" s="1"/>
  <c r="U40" i="25"/>
  <c r="W40" i="25" s="1"/>
  <c r="U51" i="25"/>
  <c r="W51" i="25" s="1"/>
  <c r="U59" i="25"/>
  <c r="W59" i="25" s="1"/>
  <c r="Q78" i="25"/>
  <c r="S78" i="25" s="1"/>
  <c r="U78" i="25" s="1"/>
  <c r="AA200" i="25"/>
  <c r="AC200" i="25" s="1"/>
  <c r="AA205" i="25"/>
  <c r="AC205" i="25" s="1"/>
  <c r="AA217" i="25"/>
  <c r="AC217" i="25" s="1"/>
  <c r="K7" i="25"/>
  <c r="M7" i="25" s="1"/>
  <c r="K12" i="25"/>
  <c r="M12" i="25" s="1"/>
  <c r="U33" i="25"/>
  <c r="W33" i="25" s="1"/>
  <c r="U41" i="25"/>
  <c r="W41" i="25" s="1"/>
  <c r="U52" i="25"/>
  <c r="W52" i="25" s="1"/>
  <c r="U60" i="25"/>
  <c r="W60" i="25" s="1"/>
  <c r="H42" i="13"/>
  <c r="I42" i="13" s="1"/>
  <c r="H104" i="13" s="1"/>
  <c r="H50" i="13"/>
  <c r="H55" i="13"/>
  <c r="I55" i="13" s="1"/>
  <c r="H117" i="13" s="1"/>
  <c r="H27" i="23"/>
  <c r="C54" i="23" s="1"/>
  <c r="Q5" i="24"/>
  <c r="W5" i="24" s="1"/>
  <c r="Y5" i="24" s="1"/>
  <c r="C31" i="24" s="1"/>
  <c r="K13" i="25"/>
  <c r="M13" i="25" s="1"/>
  <c r="U35" i="25"/>
  <c r="W35" i="25" s="1"/>
  <c r="U42" i="25"/>
  <c r="W42" i="25" s="1"/>
  <c r="U53" i="25"/>
  <c r="W53" i="25" s="1"/>
  <c r="Q77" i="25"/>
  <c r="S77" i="25" s="1"/>
  <c r="U77" i="25" s="1"/>
  <c r="AA207" i="25"/>
  <c r="AC207" i="25" s="1"/>
  <c r="AA218" i="25"/>
  <c r="AC218" i="25" s="1"/>
  <c r="H74" i="13"/>
  <c r="I74" i="13" s="1"/>
  <c r="G105" i="13" s="1"/>
  <c r="F21" i="11"/>
  <c r="G21" i="11" s="1"/>
  <c r="D49" i="11" s="1"/>
  <c r="F451" i="3"/>
  <c r="G451" i="3" s="1"/>
  <c r="H39" i="13"/>
  <c r="I39" i="13" s="1"/>
  <c r="H101" i="13" s="1"/>
  <c r="I51" i="13"/>
  <c r="H113" i="13" s="1"/>
  <c r="K8" i="25"/>
  <c r="M8" i="25" s="1"/>
  <c r="K14" i="25"/>
  <c r="M14" i="25" s="1"/>
  <c r="K19" i="25"/>
  <c r="M19" i="25" s="1"/>
  <c r="U36" i="25"/>
  <c r="W36" i="25" s="1"/>
  <c r="U44" i="25"/>
  <c r="W44" i="25" s="1"/>
  <c r="U54" i="25"/>
  <c r="W54" i="25" s="1"/>
  <c r="Q71" i="25"/>
  <c r="S71" i="25" s="1"/>
  <c r="U71" i="25" s="1"/>
  <c r="AA202" i="25"/>
  <c r="AC202" i="25" s="1"/>
  <c r="E11" i="8"/>
  <c r="H87" i="13"/>
  <c r="I87" i="13" s="1"/>
  <c r="G118" i="13" s="1"/>
  <c r="K18" i="25"/>
  <c r="M18" i="25" s="1"/>
  <c r="E242" i="25"/>
  <c r="F452" i="3"/>
  <c r="F36" i="11"/>
  <c r="G36" i="11" s="1"/>
  <c r="E51" i="11" s="1"/>
  <c r="F51" i="11" s="1"/>
  <c r="L27" i="23"/>
  <c r="C37" i="23" s="1"/>
  <c r="Y22" i="24"/>
  <c r="AA22" i="24" s="1"/>
  <c r="C35" i="24" s="1"/>
  <c r="C33" i="24" s="1"/>
  <c r="K21" i="25"/>
  <c r="M21" i="25" s="1"/>
  <c r="U45" i="25"/>
  <c r="W45" i="25" s="1"/>
  <c r="U55" i="25"/>
  <c r="W55" i="25" s="1"/>
  <c r="Q75" i="25"/>
  <c r="S75" i="25" s="1"/>
  <c r="U75" i="25" s="1"/>
  <c r="Q76" i="25"/>
  <c r="S76" i="25" s="1"/>
  <c r="U76" i="25" s="1"/>
  <c r="AA219" i="25"/>
  <c r="AC219" i="25" s="1"/>
  <c r="I41" i="13"/>
  <c r="H103" i="13" s="1"/>
  <c r="AA206" i="25"/>
  <c r="AC206" i="25" s="1"/>
  <c r="F18" i="11"/>
  <c r="G18" i="11" s="1"/>
  <c r="D46" i="11" s="1"/>
  <c r="F22" i="12"/>
  <c r="G22" i="12" s="1"/>
  <c r="F54" i="12" s="1"/>
  <c r="H48" i="13"/>
  <c r="I48" i="13" s="1"/>
  <c r="H110" i="13" s="1"/>
  <c r="H52" i="13"/>
  <c r="I52" i="13" s="1"/>
  <c r="H114" i="13" s="1"/>
  <c r="H78" i="13"/>
  <c r="I78" i="13" s="1"/>
  <c r="G109" i="13" s="1"/>
  <c r="F25" i="22"/>
  <c r="N6" i="23"/>
  <c r="D20" i="23" s="1"/>
  <c r="S10" i="24"/>
  <c r="U10" i="24" s="1"/>
  <c r="K15" i="25"/>
  <c r="M15" i="25" s="1"/>
  <c r="K22" i="25"/>
  <c r="M22" i="25" s="1"/>
  <c r="U37" i="25"/>
  <c r="W37" i="25" s="1"/>
  <c r="U46" i="25"/>
  <c r="W46" i="25" s="1"/>
  <c r="Q84" i="25"/>
  <c r="S84" i="25" s="1"/>
  <c r="U84" i="25" s="1"/>
  <c r="AA203" i="25"/>
  <c r="AC203" i="25" s="1"/>
  <c r="AA220" i="25"/>
  <c r="AC220" i="25" s="1"/>
  <c r="E8" i="8"/>
  <c r="I50" i="13"/>
  <c r="H112" i="13" s="1"/>
  <c r="AA201" i="25"/>
  <c r="AC201" i="25" s="1"/>
  <c r="F437" i="3"/>
  <c r="E10" i="8"/>
  <c r="F42" i="12"/>
  <c r="G42" i="12" s="1"/>
  <c r="E59" i="12" s="1"/>
  <c r="F26" i="22"/>
  <c r="H29" i="23"/>
  <c r="C56" i="23" s="1"/>
  <c r="K9" i="25"/>
  <c r="M9" i="25" s="1"/>
  <c r="K16" i="25"/>
  <c r="M16" i="25" s="1"/>
  <c r="K23" i="25"/>
  <c r="M23" i="25" s="1"/>
  <c r="U38" i="25"/>
  <c r="W38" i="25" s="1"/>
  <c r="U47" i="25"/>
  <c r="W47" i="25" s="1"/>
  <c r="Q74" i="25"/>
  <c r="S74" i="25" s="1"/>
  <c r="U74" i="25" s="1"/>
  <c r="Q81" i="25"/>
  <c r="S81" i="25" s="1"/>
  <c r="U81" i="25" s="1"/>
  <c r="AA215" i="25"/>
  <c r="AC215" i="25" s="1"/>
  <c r="AA221" i="25"/>
  <c r="AC221" i="25" s="1"/>
  <c r="G426" i="3"/>
  <c r="D465" i="3"/>
  <c r="D63" i="5"/>
  <c r="D69" i="5" s="1"/>
  <c r="D28" i="5"/>
  <c r="I15" i="5"/>
  <c r="D26" i="5" s="1"/>
  <c r="D50" i="5"/>
  <c r="D36" i="5"/>
  <c r="D42" i="5" s="1"/>
  <c r="D24" i="5"/>
  <c r="AA35" i="10"/>
  <c r="AC35" i="10" s="1"/>
  <c r="AE35" i="10" s="1"/>
  <c r="E57" i="10" s="1"/>
  <c r="T35" i="10"/>
  <c r="V35" i="10" s="1"/>
  <c r="X35" i="10" s="1"/>
  <c r="G57" i="10" s="1"/>
  <c r="N211" i="2"/>
  <c r="C241" i="2" s="1"/>
  <c r="C424" i="3"/>
  <c r="L205" i="6"/>
  <c r="D185" i="2"/>
  <c r="D76" i="4"/>
  <c r="E76" i="4" s="1"/>
  <c r="F76" i="4" s="1"/>
  <c r="G165" i="2"/>
  <c r="G171" i="2"/>
  <c r="G176" i="2" s="1"/>
  <c r="D183" i="2"/>
  <c r="D188" i="2" s="1"/>
  <c r="D172" i="2"/>
  <c r="D166" i="2"/>
  <c r="G425" i="3"/>
  <c r="D464" i="3"/>
  <c r="G182" i="2"/>
  <c r="G187" i="2" s="1"/>
  <c r="M89" i="6"/>
  <c r="L89" i="6"/>
  <c r="J181" i="6"/>
  <c r="K178" i="6"/>
  <c r="M178" i="6"/>
  <c r="M181" i="6" s="1"/>
  <c r="E52" i="1"/>
  <c r="E173" i="2"/>
  <c r="E177" i="2" s="1"/>
  <c r="D173" i="2"/>
  <c r="I173" i="2"/>
  <c r="I177" i="2" s="1"/>
  <c r="C236" i="2" s="1"/>
  <c r="H173" i="2"/>
  <c r="K18" i="6"/>
  <c r="K158" i="6"/>
  <c r="L178" i="6"/>
  <c r="L181" i="6" s="1"/>
  <c r="H13" i="14"/>
  <c r="D45" i="14"/>
  <c r="E103" i="1" s="1"/>
  <c r="C53" i="10"/>
  <c r="D72" i="4"/>
  <c r="F72" i="4"/>
  <c r="L176" i="6"/>
  <c r="G183" i="2"/>
  <c r="G188" i="2" s="1"/>
  <c r="G172" i="2"/>
  <c r="G177" i="2" s="1"/>
  <c r="E175" i="2"/>
  <c r="H22" i="5"/>
  <c r="H183" i="2"/>
  <c r="H188" i="2" s="1"/>
  <c r="H166" i="2"/>
  <c r="H172" i="2"/>
  <c r="F187" i="2"/>
  <c r="S32" i="7"/>
  <c r="S38" i="7" s="1"/>
  <c r="S57" i="7"/>
  <c r="S84" i="7" s="1"/>
  <c r="I170" i="2"/>
  <c r="I176" i="2" s="1"/>
  <c r="C235" i="2" s="1"/>
  <c r="F170" i="2"/>
  <c r="F176" i="2" s="1"/>
  <c r="E170" i="2"/>
  <c r="E176" i="2" s="1"/>
  <c r="F174" i="2"/>
  <c r="E174" i="2"/>
  <c r="I174" i="2"/>
  <c r="K65" i="6"/>
  <c r="M65" i="6"/>
  <c r="M66" i="6" s="1"/>
  <c r="L65" i="6"/>
  <c r="M81" i="6"/>
  <c r="J82" i="6"/>
  <c r="L81" i="6"/>
  <c r="K81" i="6"/>
  <c r="L124" i="6"/>
  <c r="K136" i="6"/>
  <c r="M124" i="6"/>
  <c r="K124" i="6"/>
  <c r="J141" i="6"/>
  <c r="K139" i="6"/>
  <c r="M140" i="6"/>
  <c r="K140" i="6"/>
  <c r="M223" i="2"/>
  <c r="L223" i="2"/>
  <c r="N223" i="2"/>
  <c r="H28" i="5"/>
  <c r="H23" i="5"/>
  <c r="H18" i="5"/>
  <c r="D67" i="5"/>
  <c r="H26" i="5"/>
  <c r="H20" i="5"/>
  <c r="D40" i="5"/>
  <c r="D54" i="5"/>
  <c r="K35" i="6"/>
  <c r="K34" i="6"/>
  <c r="L184" i="6"/>
  <c r="L185" i="6" s="1"/>
  <c r="M184" i="6"/>
  <c r="M185" i="6" s="1"/>
  <c r="G166" i="2"/>
  <c r="E188" i="2"/>
  <c r="E22" i="1"/>
  <c r="E147" i="1"/>
  <c r="F102" i="2"/>
  <c r="G102" i="2" s="1"/>
  <c r="C260" i="2" s="1"/>
  <c r="F104" i="2"/>
  <c r="G104" i="2" s="1"/>
  <c r="E184" i="2"/>
  <c r="D184" i="2"/>
  <c r="I184" i="2"/>
  <c r="I188" i="2" s="1"/>
  <c r="C240" i="2" s="1"/>
  <c r="H184" i="2"/>
  <c r="G184" i="2"/>
  <c r="H19" i="5"/>
  <c r="L47" i="6"/>
  <c r="M47" i="6"/>
  <c r="M50" i="6" s="1"/>
  <c r="K47" i="6"/>
  <c r="M53" i="6"/>
  <c r="M56" i="6" s="1"/>
  <c r="L53" i="6"/>
  <c r="L56" i="6" s="1"/>
  <c r="K53" i="6"/>
  <c r="J56" i="6"/>
  <c r="K55" i="6"/>
  <c r="K52" i="6"/>
  <c r="M68" i="6"/>
  <c r="L68" i="6"/>
  <c r="L76" i="6"/>
  <c r="M76" i="6"/>
  <c r="M78" i="6" s="1"/>
  <c r="J125" i="6"/>
  <c r="L139" i="6"/>
  <c r="M228" i="6"/>
  <c r="AA23" i="10"/>
  <c r="AC23" i="10" s="1"/>
  <c r="AE23" i="10" s="1"/>
  <c r="E54" i="10" s="1"/>
  <c r="T23" i="10"/>
  <c r="V23" i="10" s="1"/>
  <c r="X23" i="10" s="1"/>
  <c r="G54" i="10" s="1"/>
  <c r="K23" i="10"/>
  <c r="M23" i="10" s="1"/>
  <c r="O23" i="10" s="1"/>
  <c r="C54" i="10" s="1"/>
  <c r="F171" i="2"/>
  <c r="I182" i="2"/>
  <c r="F200" i="2"/>
  <c r="N227" i="2"/>
  <c r="C237" i="2" s="1"/>
  <c r="K227" i="2"/>
  <c r="M55" i="6"/>
  <c r="L55" i="6"/>
  <c r="L74" i="6"/>
  <c r="H187" i="2"/>
  <c r="C427" i="3"/>
  <c r="F449" i="3"/>
  <c r="F85" i="4"/>
  <c r="F27" i="5"/>
  <c r="K28" i="6"/>
  <c r="J31" i="6"/>
  <c r="K33" i="6"/>
  <c r="J66" i="6"/>
  <c r="K63" i="6"/>
  <c r="L77" i="6"/>
  <c r="K77" i="6"/>
  <c r="M136" i="6"/>
  <c r="L136" i="6"/>
  <c r="K179" i="6"/>
  <c r="F185" i="2"/>
  <c r="F188" i="2" s="1"/>
  <c r="E185" i="2"/>
  <c r="G28" i="5"/>
  <c r="G23" i="5"/>
  <c r="G18" i="5"/>
  <c r="G19" i="5"/>
  <c r="G22" i="5"/>
  <c r="G24" i="5"/>
  <c r="G27" i="5"/>
  <c r="L48" i="6"/>
  <c r="K48" i="6"/>
  <c r="L66" i="6"/>
  <c r="O32" i="7"/>
  <c r="O38" i="7"/>
  <c r="N55" i="9"/>
  <c r="P55" i="9" s="1"/>
  <c r="R55" i="9" s="1"/>
  <c r="E50" i="1" s="1"/>
  <c r="G55" i="9"/>
  <c r="I55" i="9" s="1"/>
  <c r="K55" i="9" s="1"/>
  <c r="E51" i="1" s="1"/>
  <c r="F175" i="2"/>
  <c r="F177" i="2" s="1"/>
  <c r="I187" i="2"/>
  <c r="C239" i="2" s="1"/>
  <c r="E182" i="2"/>
  <c r="E187" i="2" s="1"/>
  <c r="G185" i="2"/>
  <c r="D58" i="4"/>
  <c r="D62" i="4" s="1"/>
  <c r="J36" i="6"/>
  <c r="K64" i="6"/>
  <c r="M73" i="6"/>
  <c r="M74" i="6" s="1"/>
  <c r="K102" i="6"/>
  <c r="K107" i="6"/>
  <c r="K180" i="6"/>
  <c r="L196" i="6"/>
  <c r="L198" i="6" s="1"/>
  <c r="M196" i="6"/>
  <c r="M198" i="6" s="1"/>
  <c r="J198" i="6"/>
  <c r="K197" i="6" s="1"/>
  <c r="L227" i="6"/>
  <c r="M227" i="6" s="1"/>
  <c r="C74" i="2"/>
  <c r="I166" i="2"/>
  <c r="D181" i="2"/>
  <c r="D187" i="2" s="1"/>
  <c r="H185" i="2"/>
  <c r="M211" i="2"/>
  <c r="L226" i="2"/>
  <c r="K226" i="2"/>
  <c r="C451" i="3"/>
  <c r="C465" i="3" s="1"/>
  <c r="J20" i="6"/>
  <c r="K23" i="6"/>
  <c r="L46" i="6"/>
  <c r="K46" i="6"/>
  <c r="K49" i="6"/>
  <c r="M80" i="6"/>
  <c r="M82" i="6" s="1"/>
  <c r="L80" i="6"/>
  <c r="L82" i="6" s="1"/>
  <c r="J108" i="6"/>
  <c r="M123" i="6"/>
  <c r="L123" i="6"/>
  <c r="K135" i="6"/>
  <c r="L180" i="6"/>
  <c r="J185" i="6"/>
  <c r="K183" i="6" s="1"/>
  <c r="K196" i="6"/>
  <c r="F13" i="8"/>
  <c r="T34" i="10"/>
  <c r="V34" i="10" s="1"/>
  <c r="X34" i="10" s="1"/>
  <c r="E34" i="10"/>
  <c r="K34" i="10" s="1"/>
  <c r="M34" i="10" s="1"/>
  <c r="O34" i="10" s="1"/>
  <c r="T19" i="18"/>
  <c r="U19" i="18" s="1"/>
  <c r="V19" i="18" s="1"/>
  <c r="W19" i="18" s="1"/>
  <c r="X19" i="18" s="1"/>
  <c r="F440" i="3"/>
  <c r="F19" i="5"/>
  <c r="F24" i="5"/>
  <c r="J97" i="6"/>
  <c r="K210" i="6"/>
  <c r="L232" i="6"/>
  <c r="M232" i="6" s="1"/>
  <c r="N32" i="7"/>
  <c r="N38" i="7" s="1"/>
  <c r="O57" i="7"/>
  <c r="O84" i="7" s="1"/>
  <c r="N54" i="9"/>
  <c r="P54" i="9" s="1"/>
  <c r="R54" i="9" s="1"/>
  <c r="G54" i="9"/>
  <c r="I54" i="9" s="1"/>
  <c r="K54" i="9" s="1"/>
  <c r="G12" i="11"/>
  <c r="C46" i="11"/>
  <c r="J31" i="13"/>
  <c r="F186" i="2"/>
  <c r="E22" i="5"/>
  <c r="E27" i="5"/>
  <c r="M58" i="6"/>
  <c r="M61" i="6" s="1"/>
  <c r="J74" i="6"/>
  <c r="J207" i="6"/>
  <c r="K204" i="6" s="1"/>
  <c r="K211" i="6"/>
  <c r="R57" i="7"/>
  <c r="N70" i="7" s="1"/>
  <c r="F22" i="5"/>
  <c r="R38" i="7"/>
  <c r="E12" i="8"/>
  <c r="E62" i="1" s="1"/>
  <c r="F27" i="12"/>
  <c r="G27" i="12" s="1"/>
  <c r="F59" i="12" s="1"/>
  <c r="H86" i="13"/>
  <c r="I86" i="13" s="1"/>
  <c r="G117" i="13" s="1"/>
  <c r="H88" i="13"/>
  <c r="I88" i="13" s="1"/>
  <c r="G119" i="13" s="1"/>
  <c r="H81" i="13"/>
  <c r="I81" i="13" s="1"/>
  <c r="G112" i="13" s="1"/>
  <c r="H79" i="13"/>
  <c r="I79" i="13" s="1"/>
  <c r="G110" i="13" s="1"/>
  <c r="H77" i="13"/>
  <c r="I77" i="13" s="1"/>
  <c r="G108" i="13" s="1"/>
  <c r="H72" i="13"/>
  <c r="I72" i="13" s="1"/>
  <c r="G103" i="13" s="1"/>
  <c r="H70" i="13"/>
  <c r="I70" i="13" s="1"/>
  <c r="H90" i="13"/>
  <c r="I90" i="13" s="1"/>
  <c r="G121" i="13" s="1"/>
  <c r="H83" i="13"/>
  <c r="I83" i="13" s="1"/>
  <c r="G114" i="13" s="1"/>
  <c r="H92" i="13"/>
  <c r="I92" i="13" s="1"/>
  <c r="G123" i="13" s="1"/>
  <c r="H85" i="13"/>
  <c r="I85" i="13" s="1"/>
  <c r="G116" i="13" s="1"/>
  <c r="H76" i="13"/>
  <c r="I76" i="13" s="1"/>
  <c r="G107" i="13" s="1"/>
  <c r="H91" i="13"/>
  <c r="I91" i="13" s="1"/>
  <c r="G122" i="13" s="1"/>
  <c r="H89" i="13"/>
  <c r="I89" i="13" s="1"/>
  <c r="G120" i="13" s="1"/>
  <c r="H82" i="13"/>
  <c r="I82" i="13" s="1"/>
  <c r="G113" i="13" s="1"/>
  <c r="H73" i="13"/>
  <c r="I73" i="13" s="1"/>
  <c r="G104" i="13" s="1"/>
  <c r="U16" i="18"/>
  <c r="V16" i="18" s="1"/>
  <c r="W16" i="18" s="1"/>
  <c r="X16" i="18" s="1"/>
  <c r="R24" i="18"/>
  <c r="M24" i="18"/>
  <c r="Q29" i="18"/>
  <c r="O29" i="18"/>
  <c r="P29" i="18" s="1"/>
  <c r="M49" i="19"/>
  <c r="T49" i="19" s="1"/>
  <c r="L49" i="19"/>
  <c r="Q49" i="19" s="1"/>
  <c r="R49" i="19" s="1"/>
  <c r="S49" i="19" s="1"/>
  <c r="AA24" i="10"/>
  <c r="AC24" i="10" s="1"/>
  <c r="AE24" i="10" s="1"/>
  <c r="E55" i="10" s="1"/>
  <c r="E66" i="1" s="1"/>
  <c r="H72" i="15"/>
  <c r="H61" i="15"/>
  <c r="T18" i="18"/>
  <c r="U18" i="18" s="1"/>
  <c r="V18" i="18" s="1"/>
  <c r="W18" i="18" s="1"/>
  <c r="X18" i="18" s="1"/>
  <c r="Q49" i="18"/>
  <c r="O49" i="18"/>
  <c r="P49" i="18" s="1"/>
  <c r="M40" i="19"/>
  <c r="T40" i="19" s="1"/>
  <c r="K32" i="7"/>
  <c r="K38" i="7" s="1"/>
  <c r="E24" i="10"/>
  <c r="K24" i="10" s="1"/>
  <c r="M24" i="10" s="1"/>
  <c r="O24" i="10" s="1"/>
  <c r="C55" i="10" s="1"/>
  <c r="F19" i="11"/>
  <c r="G19" i="11" s="1"/>
  <c r="F31" i="11"/>
  <c r="G31" i="11" s="1"/>
  <c r="F25" i="12"/>
  <c r="G25" i="12" s="1"/>
  <c r="F57" i="12" s="1"/>
  <c r="F37" i="12"/>
  <c r="G37" i="12" s="1"/>
  <c r="H44" i="13"/>
  <c r="I44" i="13" s="1"/>
  <c r="H106" i="13" s="1"/>
  <c r="H56" i="13"/>
  <c r="I56" i="13" s="1"/>
  <c r="H118" i="13" s="1"/>
  <c r="H71" i="13"/>
  <c r="I71" i="13" s="1"/>
  <c r="G102" i="13" s="1"/>
  <c r="H75" i="13"/>
  <c r="I75" i="13" s="1"/>
  <c r="G106" i="13" s="1"/>
  <c r="H80" i="13"/>
  <c r="I80" i="13" s="1"/>
  <c r="G111" i="13" s="1"/>
  <c r="V29" i="18"/>
  <c r="W29" i="18" s="1"/>
  <c r="X29" i="18" s="1"/>
  <c r="U43" i="18"/>
  <c r="V43" i="18" s="1"/>
  <c r="W43" i="18" s="1"/>
  <c r="U46" i="18"/>
  <c r="V46" i="18" s="1"/>
  <c r="W46" i="18" s="1"/>
  <c r="X46" i="18" s="1"/>
  <c r="U58" i="18"/>
  <c r="V58" i="18" s="1"/>
  <c r="W58" i="18" s="1"/>
  <c r="T66" i="18"/>
  <c r="U66" i="18" s="1"/>
  <c r="V66" i="18" s="1"/>
  <c r="W66" i="18" s="1"/>
  <c r="X66" i="18" s="1"/>
  <c r="R26" i="20"/>
  <c r="R27" i="20" s="1"/>
  <c r="R17" i="20"/>
  <c r="R19" i="20" s="1"/>
  <c r="R32" i="20"/>
  <c r="R33" i="20" s="1"/>
  <c r="K209" i="6"/>
  <c r="AA22" i="10"/>
  <c r="AC22" i="10" s="1"/>
  <c r="AE22" i="10" s="1"/>
  <c r="F22" i="11"/>
  <c r="G22" i="11" s="1"/>
  <c r="D50" i="11" s="1"/>
  <c r="F34" i="11"/>
  <c r="G34" i="11" s="1"/>
  <c r="E49" i="11" s="1"/>
  <c r="F28" i="12"/>
  <c r="G28" i="12" s="1"/>
  <c r="F60" i="12" s="1"/>
  <c r="F40" i="12"/>
  <c r="G40" i="12" s="1"/>
  <c r="E57" i="12" s="1"/>
  <c r="D51" i="14"/>
  <c r="G80" i="15"/>
  <c r="G82" i="15" s="1"/>
  <c r="G84" i="15" s="1"/>
  <c r="E95" i="1" s="1"/>
  <c r="V49" i="18"/>
  <c r="W49" i="18" s="1"/>
  <c r="U52" i="18"/>
  <c r="V52" i="18" s="1"/>
  <c r="W52" i="18" s="1"/>
  <c r="I6" i="25"/>
  <c r="G25" i="25"/>
  <c r="F23" i="12"/>
  <c r="G23" i="12" s="1"/>
  <c r="F55" i="12" s="1"/>
  <c r="F43" i="12"/>
  <c r="G43" i="12" s="1"/>
  <c r="E60" i="12" s="1"/>
  <c r="K8" i="13"/>
  <c r="H60" i="13"/>
  <c r="I60" i="13" s="1"/>
  <c r="H122" i="13" s="1"/>
  <c r="H58" i="13"/>
  <c r="I58" i="13" s="1"/>
  <c r="H120" i="13" s="1"/>
  <c r="H53" i="13"/>
  <c r="I53" i="13" s="1"/>
  <c r="H115" i="13" s="1"/>
  <c r="I115" i="13" s="1"/>
  <c r="H59" i="13"/>
  <c r="I59" i="13" s="1"/>
  <c r="H121" i="13" s="1"/>
  <c r="H40" i="13"/>
  <c r="I40" i="13" s="1"/>
  <c r="H47" i="13"/>
  <c r="I47" i="13" s="1"/>
  <c r="H109" i="13" s="1"/>
  <c r="H49" i="13"/>
  <c r="I49" i="13" s="1"/>
  <c r="H111" i="13" s="1"/>
  <c r="H54" i="13"/>
  <c r="I54" i="13" s="1"/>
  <c r="H116" i="13" s="1"/>
  <c r="P11" i="18"/>
  <c r="U21" i="18"/>
  <c r="V21" i="18" s="1"/>
  <c r="W21" i="18" s="1"/>
  <c r="X21" i="18" s="1"/>
  <c r="V23" i="18"/>
  <c r="W23" i="18" s="1"/>
  <c r="X23" i="18" s="1"/>
  <c r="U32" i="18"/>
  <c r="V32" i="18" s="1"/>
  <c r="W32" i="18" s="1"/>
  <c r="X32" i="18" s="1"/>
  <c r="U37" i="18"/>
  <c r="V37" i="18" s="1"/>
  <c r="W37" i="18" s="1"/>
  <c r="X37" i="18" s="1"/>
  <c r="V26" i="19"/>
  <c r="F20" i="11"/>
  <c r="G20" i="11" s="1"/>
  <c r="D48" i="11" s="1"/>
  <c r="F32" i="11"/>
  <c r="G32" i="11" s="1"/>
  <c r="E47" i="11" s="1"/>
  <c r="F26" i="12"/>
  <c r="G26" i="12" s="1"/>
  <c r="F58" i="12" s="1"/>
  <c r="G58" i="12" s="1"/>
  <c r="F38" i="12"/>
  <c r="G38" i="12" s="1"/>
  <c r="E55" i="12" s="1"/>
  <c r="H45" i="13"/>
  <c r="I45" i="13" s="1"/>
  <c r="H107" i="13" s="1"/>
  <c r="H57" i="13"/>
  <c r="I57" i="13" s="1"/>
  <c r="H119" i="13" s="1"/>
  <c r="Q51" i="18"/>
  <c r="V51" i="18" s="1"/>
  <c r="W51" i="18" s="1"/>
  <c r="O51" i="18"/>
  <c r="P51" i="18" s="1"/>
  <c r="K38" i="19"/>
  <c r="O38" i="19" s="1"/>
  <c r="V38" i="19" s="1"/>
  <c r="Z38" i="19"/>
  <c r="AC23" i="20"/>
  <c r="E153" i="1" s="1"/>
  <c r="O185" i="25"/>
  <c r="H43" i="13"/>
  <c r="I43" i="13" s="1"/>
  <c r="H105" i="13" s="1"/>
  <c r="H61" i="13"/>
  <c r="I61" i="13" s="1"/>
  <c r="H123" i="13" s="1"/>
  <c r="E46" i="1" s="1"/>
  <c r="D44" i="14"/>
  <c r="H6" i="14"/>
  <c r="U44" i="18"/>
  <c r="V44" i="18" s="1"/>
  <c r="W44" i="18" s="1"/>
  <c r="X44" i="18" s="1"/>
  <c r="U47" i="18"/>
  <c r="V47" i="18" s="1"/>
  <c r="W47" i="18" s="1"/>
  <c r="X47" i="18" s="1"/>
  <c r="Q54" i="18"/>
  <c r="V54" i="18" s="1"/>
  <c r="W54" i="18" s="1"/>
  <c r="O54" i="18"/>
  <c r="P54" i="18" s="1"/>
  <c r="D46" i="14"/>
  <c r="E123" i="1" s="1"/>
  <c r="U74" i="18"/>
  <c r="V74" i="18" s="1"/>
  <c r="W74" i="18" s="1"/>
  <c r="X74" i="18" s="1"/>
  <c r="T74" i="18"/>
  <c r="M32" i="19"/>
  <c r="T32" i="19" s="1"/>
  <c r="O34" i="19"/>
  <c r="V34" i="19" s="1"/>
  <c r="O36" i="19"/>
  <c r="V36" i="19" s="1"/>
  <c r="M38" i="19"/>
  <c r="T38" i="19" s="1"/>
  <c r="L38" i="19"/>
  <c r="Q38" i="19" s="1"/>
  <c r="K42" i="19"/>
  <c r="O42" i="19" s="1"/>
  <c r="V42" i="19" s="1"/>
  <c r="Z42" i="19"/>
  <c r="F42" i="19"/>
  <c r="M44" i="19"/>
  <c r="T44" i="19" s="1"/>
  <c r="L44" i="19"/>
  <c r="Q44" i="19" s="1"/>
  <c r="X46" i="19"/>
  <c r="Z49" i="19"/>
  <c r="W63" i="19"/>
  <c r="X65" i="19"/>
  <c r="S32" i="20"/>
  <c r="S33" i="20" s="1"/>
  <c r="S26" i="20"/>
  <c r="S27" i="20" s="1"/>
  <c r="S17" i="20"/>
  <c r="S19" i="20" s="1"/>
  <c r="AI16" i="24"/>
  <c r="R40" i="18"/>
  <c r="Y57" i="19"/>
  <c r="X53" i="19"/>
  <c r="Y40" i="19"/>
  <c r="N38" i="19"/>
  <c r="U38" i="19" s="1"/>
  <c r="X34" i="19"/>
  <c r="Z65" i="19"/>
  <c r="Z61" i="19"/>
  <c r="Z51" i="19"/>
  <c r="Z46" i="19"/>
  <c r="X40" i="19"/>
  <c r="Z36" i="19"/>
  <c r="Y28" i="19"/>
  <c r="Y65" i="19"/>
  <c r="M63" i="19"/>
  <c r="T63" i="19" s="1"/>
  <c r="Y61" i="19"/>
  <c r="O57" i="19"/>
  <c r="V57" i="19" s="1"/>
  <c r="N53" i="19"/>
  <c r="U53" i="19" s="1"/>
  <c r="Y51" i="19"/>
  <c r="Y46" i="19"/>
  <c r="Y36" i="19"/>
  <c r="N34" i="19"/>
  <c r="U34" i="19" s="1"/>
  <c r="Z32" i="19"/>
  <c r="M30" i="19"/>
  <c r="T30" i="19" s="1"/>
  <c r="X28" i="19"/>
  <c r="Z55" i="19"/>
  <c r="Y42" i="19"/>
  <c r="Y32" i="19"/>
  <c r="O65" i="19"/>
  <c r="V65" i="19" s="1"/>
  <c r="N61" i="19"/>
  <c r="U61" i="19" s="1"/>
  <c r="Z59" i="19"/>
  <c r="Y55" i="19"/>
  <c r="O51" i="19"/>
  <c r="V51" i="19" s="1"/>
  <c r="X32" i="19"/>
  <c r="Y63" i="19"/>
  <c r="Z53" i="19"/>
  <c r="Y49" i="19"/>
  <c r="Y44" i="19"/>
  <c r="Y30" i="19"/>
  <c r="Y26" i="19"/>
  <c r="Z26" i="19"/>
  <c r="Z67" i="19" s="1"/>
  <c r="X30" i="19"/>
  <c r="N36" i="19"/>
  <c r="U36" i="19" s="1"/>
  <c r="N42" i="19"/>
  <c r="U42" i="19" s="1"/>
  <c r="W44" i="19"/>
  <c r="S46" i="19"/>
  <c r="M51" i="19"/>
  <c r="T51" i="19" s="1"/>
  <c r="R53" i="19"/>
  <c r="S53" i="19" s="1"/>
  <c r="I55" i="19"/>
  <c r="F55" i="19"/>
  <c r="M57" i="19"/>
  <c r="T57" i="19" s="1"/>
  <c r="O61" i="19"/>
  <c r="V61" i="19" s="1"/>
  <c r="N63" i="19"/>
  <c r="U63" i="19" s="1"/>
  <c r="T32" i="20"/>
  <c r="T33" i="20" s="1"/>
  <c r="T17" i="20"/>
  <c r="T19" i="20" s="1"/>
  <c r="J17" i="23"/>
  <c r="L13" i="23"/>
  <c r="L17" i="23" s="1"/>
  <c r="D22" i="23" s="1"/>
  <c r="I61" i="15"/>
  <c r="I65" i="15" s="1"/>
  <c r="I76" i="15" s="1"/>
  <c r="T11" i="18"/>
  <c r="U11" i="18" s="1"/>
  <c r="T12" i="18"/>
  <c r="U12" i="18" s="1"/>
  <c r="V12" i="18" s="1"/>
  <c r="W12" i="18" s="1"/>
  <c r="X12" i="18" s="1"/>
  <c r="T14" i="18"/>
  <c r="U14" i="18" s="1"/>
  <c r="V14" i="18" s="1"/>
  <c r="W14" i="18" s="1"/>
  <c r="X14" i="18" s="1"/>
  <c r="T15" i="18"/>
  <c r="U15" i="18" s="1"/>
  <c r="V15" i="18" s="1"/>
  <c r="W15" i="18" s="1"/>
  <c r="X15" i="18" s="1"/>
  <c r="O21" i="18"/>
  <c r="P21" i="18" s="1"/>
  <c r="T34" i="18"/>
  <c r="U34" i="18" s="1"/>
  <c r="V34" i="18" s="1"/>
  <c r="W34" i="18" s="1"/>
  <c r="X34" i="18" s="1"/>
  <c r="U64" i="18"/>
  <c r="V64" i="18" s="1"/>
  <c r="W64" i="18" s="1"/>
  <c r="X64" i="18" s="1"/>
  <c r="T64" i="18"/>
  <c r="U72" i="18"/>
  <c r="V72" i="18" s="1"/>
  <c r="W72" i="18" s="1"/>
  <c r="X72" i="18" s="1"/>
  <c r="T72" i="18"/>
  <c r="N28" i="19"/>
  <c r="Z30" i="19"/>
  <c r="M42" i="19"/>
  <c r="T42" i="19" s="1"/>
  <c r="N44" i="19"/>
  <c r="U44" i="19" s="1"/>
  <c r="L46" i="19"/>
  <c r="N49" i="19"/>
  <c r="U49" i="19" s="1"/>
  <c r="M53" i="19"/>
  <c r="T53" i="19" s="1"/>
  <c r="L53" i="19"/>
  <c r="Q53" i="19" s="1"/>
  <c r="W53" i="19" s="1"/>
  <c r="N55" i="19"/>
  <c r="U55" i="19" s="1"/>
  <c r="N57" i="19"/>
  <c r="U57" i="19" s="1"/>
  <c r="O63" i="19"/>
  <c r="V63" i="19" s="1"/>
  <c r="AC29" i="20"/>
  <c r="E154" i="1" s="1"/>
  <c r="O61" i="25"/>
  <c r="Q32" i="25"/>
  <c r="O32" i="18"/>
  <c r="P32" i="18" s="1"/>
  <c r="O43" i="18"/>
  <c r="P43" i="18" s="1"/>
  <c r="O52" i="18"/>
  <c r="P52" i="18" s="1"/>
  <c r="X52" i="18" s="1"/>
  <c r="O58" i="18"/>
  <c r="P58" i="18" s="1"/>
  <c r="M26" i="19"/>
  <c r="L26" i="19"/>
  <c r="Q26" i="19" s="1"/>
  <c r="R26" i="19" s="1"/>
  <c r="S26" i="19" s="1"/>
  <c r="Z28" i="19"/>
  <c r="W32" i="19"/>
  <c r="Y34" i="19"/>
  <c r="O46" i="19"/>
  <c r="V46" i="19" s="1"/>
  <c r="O49" i="19"/>
  <c r="V49" i="19" s="1"/>
  <c r="O59" i="19"/>
  <c r="V59" i="19" s="1"/>
  <c r="C61" i="19"/>
  <c r="L61" i="19"/>
  <c r="D32" i="20"/>
  <c r="D33" i="20" s="1"/>
  <c r="D17" i="20"/>
  <c r="D19" i="20" s="1"/>
  <c r="F19" i="20"/>
  <c r="D26" i="20"/>
  <c r="D27" i="20" s="1"/>
  <c r="U185" i="25"/>
  <c r="W209" i="25"/>
  <c r="Y199" i="25"/>
  <c r="R28" i="19"/>
  <c r="S28" i="19" s="1"/>
  <c r="Q30" i="19"/>
  <c r="R30" i="19" s="1"/>
  <c r="S30" i="19" s="1"/>
  <c r="S32" i="19"/>
  <c r="I36" i="19"/>
  <c r="X36" i="19"/>
  <c r="F36" i="19"/>
  <c r="R44" i="19"/>
  <c r="S44" i="19" s="1"/>
  <c r="M46" i="19"/>
  <c r="O53" i="19"/>
  <c r="V53" i="19" s="1"/>
  <c r="N59" i="19"/>
  <c r="U59" i="19" s="1"/>
  <c r="R63" i="19"/>
  <c r="S63" i="19" s="1"/>
  <c r="N65" i="19"/>
  <c r="U65" i="19" s="1"/>
  <c r="U75" i="18"/>
  <c r="V75" i="18" s="1"/>
  <c r="W75" i="18" s="1"/>
  <c r="X75" i="18" s="1"/>
  <c r="L28" i="19"/>
  <c r="Q28" i="19" s="1"/>
  <c r="N30" i="19"/>
  <c r="U30" i="19" s="1"/>
  <c r="N32" i="19"/>
  <c r="U32" i="19" s="1"/>
  <c r="M34" i="19"/>
  <c r="T34" i="19" s="1"/>
  <c r="L34" i="19"/>
  <c r="Q34" i="19" s="1"/>
  <c r="W34" i="19" s="1"/>
  <c r="X38" i="19"/>
  <c r="Y38" i="19"/>
  <c r="Z40" i="19"/>
  <c r="X44" i="19"/>
  <c r="N51" i="19"/>
  <c r="U51" i="19" s="1"/>
  <c r="O55" i="19"/>
  <c r="V55" i="19" s="1"/>
  <c r="M59" i="19"/>
  <c r="T59" i="19" s="1"/>
  <c r="L59" i="19"/>
  <c r="C59" i="19"/>
  <c r="X63" i="19"/>
  <c r="Q26" i="20"/>
  <c r="Q27" i="20" s="1"/>
  <c r="U27" i="20" s="1"/>
  <c r="Q17" i="20"/>
  <c r="Q19" i="20" s="1"/>
  <c r="U19" i="20" s="1"/>
  <c r="Q32" i="20"/>
  <c r="Q33" i="20" s="1"/>
  <c r="Z34" i="19"/>
  <c r="F38" i="19"/>
  <c r="K40" i="19"/>
  <c r="O40" i="19" s="1"/>
  <c r="V40" i="19" s="1"/>
  <c r="K17" i="20"/>
  <c r="K19" i="20" s="1"/>
  <c r="C26" i="20"/>
  <c r="C27" i="20" s="1"/>
  <c r="AC35" i="20"/>
  <c r="E155" i="1" s="1"/>
  <c r="W46" i="19"/>
  <c r="E32" i="20"/>
  <c r="E33" i="20" s="1"/>
  <c r="F33" i="20" s="1"/>
  <c r="E26" i="20"/>
  <c r="E27" i="20" s="1"/>
  <c r="J26" i="20"/>
  <c r="W108" i="25"/>
  <c r="W117" i="25" s="1"/>
  <c r="AA97" i="25" s="1"/>
  <c r="S108" i="25"/>
  <c r="K82" i="18"/>
  <c r="W28" i="19"/>
  <c r="F51" i="19"/>
  <c r="F65" i="19"/>
  <c r="M33" i="20"/>
  <c r="S117" i="25"/>
  <c r="AA96" i="25" s="1"/>
  <c r="F57" i="19"/>
  <c r="X57" i="19"/>
  <c r="K117" i="25"/>
  <c r="C125" i="25"/>
  <c r="E135" i="25"/>
  <c r="E134" i="25"/>
  <c r="C261" i="25"/>
  <c r="Q191" i="25"/>
  <c r="S191" i="25" s="1"/>
  <c r="W224" i="25"/>
  <c r="Y214" i="25"/>
  <c r="U9" i="20"/>
  <c r="AC9" i="20" s="1"/>
  <c r="AC13" i="20" s="1"/>
  <c r="E17" i="20"/>
  <c r="E19" i="20" s="1"/>
  <c r="Y17" i="20"/>
  <c r="Y19" i="20" s="1"/>
  <c r="C60" i="23"/>
  <c r="W110" i="25"/>
  <c r="M185" i="25"/>
  <c r="E245" i="25"/>
  <c r="J69" i="22"/>
  <c r="L28" i="23"/>
  <c r="AA16" i="24"/>
  <c r="AG16" i="24" s="1"/>
  <c r="S157" i="25"/>
  <c r="S185" i="25" s="1"/>
  <c r="E50" i="22"/>
  <c r="L29" i="23"/>
  <c r="S111" i="25"/>
  <c r="H17" i="23"/>
  <c r="K124" i="25"/>
  <c r="K157" i="25"/>
  <c r="K185" i="25" s="1"/>
  <c r="G189" i="25" s="1"/>
  <c r="Q82" i="25"/>
  <c r="S82" i="25" s="1"/>
  <c r="U82" i="25" s="1"/>
  <c r="Q83" i="25"/>
  <c r="S83" i="25" s="1"/>
  <c r="U83" i="25" s="1"/>
  <c r="Q88" i="25"/>
  <c r="S88" i="25" s="1"/>
  <c r="U88" i="25" s="1"/>
  <c r="F143" i="2" l="1"/>
  <c r="D19" i="23"/>
  <c r="AK16" i="24"/>
  <c r="AM16" i="24" s="1"/>
  <c r="C32" i="24" s="1"/>
  <c r="C38" i="24" s="1"/>
  <c r="E143" i="2"/>
  <c r="C262" i="2"/>
  <c r="G56" i="12"/>
  <c r="D143" i="2"/>
  <c r="C143" i="2"/>
  <c r="E74" i="1"/>
  <c r="E72" i="1" s="1"/>
  <c r="I113" i="13"/>
  <c r="C47" i="23"/>
  <c r="X25" i="10"/>
  <c r="I122" i="13"/>
  <c r="X58" i="18"/>
  <c r="F50" i="22"/>
  <c r="C84" i="22" s="1"/>
  <c r="I105" i="13"/>
  <c r="E162" i="1"/>
  <c r="I104" i="13"/>
  <c r="I57" i="10"/>
  <c r="I118" i="13"/>
  <c r="C53" i="23"/>
  <c r="E70" i="1"/>
  <c r="X43" i="18"/>
  <c r="I112" i="13"/>
  <c r="F33" i="22"/>
  <c r="C85" i="22" s="1"/>
  <c r="I109" i="13"/>
  <c r="E13" i="8"/>
  <c r="I117" i="13"/>
  <c r="E465" i="3"/>
  <c r="G465" i="3" s="1"/>
  <c r="E24" i="1"/>
  <c r="F48" i="11"/>
  <c r="I120" i="13"/>
  <c r="I107" i="13"/>
  <c r="I110" i="13"/>
  <c r="I108" i="13"/>
  <c r="I103" i="13"/>
  <c r="E45" i="1"/>
  <c r="E43" i="1" s="1"/>
  <c r="G464" i="3"/>
  <c r="E23" i="1"/>
  <c r="G57" i="12"/>
  <c r="I119" i="13"/>
  <c r="G55" i="12"/>
  <c r="I114" i="13"/>
  <c r="G59" i="12"/>
  <c r="V11" i="18"/>
  <c r="I121" i="13"/>
  <c r="F50" i="11"/>
  <c r="E38" i="1"/>
  <c r="AC97" i="25"/>
  <c r="AE97" i="25" s="1"/>
  <c r="C253" i="25"/>
  <c r="E37" i="1"/>
  <c r="F49" i="11"/>
  <c r="E46" i="11"/>
  <c r="F46" i="11" s="1"/>
  <c r="G37" i="11"/>
  <c r="G60" i="12"/>
  <c r="I111" i="13"/>
  <c r="D47" i="11"/>
  <c r="G24" i="11"/>
  <c r="E163" i="1"/>
  <c r="I106" i="13"/>
  <c r="I116" i="13"/>
  <c r="C35" i="23"/>
  <c r="C45" i="23"/>
  <c r="AC32" i="20"/>
  <c r="AC33" i="20" s="1"/>
  <c r="AC26" i="20"/>
  <c r="AC27" i="20" s="1"/>
  <c r="AC17" i="20"/>
  <c r="AC19" i="20" s="1"/>
  <c r="H102" i="13"/>
  <c r="H124" i="13" s="1"/>
  <c r="I62" i="13"/>
  <c r="R38" i="19"/>
  <c r="S38" i="19" s="1"/>
  <c r="W38" i="19"/>
  <c r="T40" i="18"/>
  <c r="U40" i="18" s="1"/>
  <c r="V40" i="18" s="1"/>
  <c r="W40" i="18" s="1"/>
  <c r="X40" i="18" s="1"/>
  <c r="E152" i="1"/>
  <c r="C48" i="23"/>
  <c r="C38" i="23"/>
  <c r="I55" i="10"/>
  <c r="E65" i="1"/>
  <c r="U28" i="19"/>
  <c r="U67" i="19" s="1"/>
  <c r="N67" i="19"/>
  <c r="V81" i="18" s="1"/>
  <c r="V83" i="18" s="1"/>
  <c r="V85" i="18" s="1"/>
  <c r="W49" i="19"/>
  <c r="X54" i="18"/>
  <c r="F101" i="13"/>
  <c r="K31" i="13"/>
  <c r="AE25" i="10"/>
  <c r="E53" i="10"/>
  <c r="E32" i="1"/>
  <c r="K184" i="6"/>
  <c r="C234" i="2"/>
  <c r="E77" i="1"/>
  <c r="D22" i="5"/>
  <c r="D20" i="5"/>
  <c r="E63" i="5" s="1"/>
  <c r="H27" i="5"/>
  <c r="E54" i="5" s="1"/>
  <c r="C238" i="2"/>
  <c r="C267" i="2" s="1"/>
  <c r="E181" i="1" s="1"/>
  <c r="W158" i="25"/>
  <c r="R36" i="19"/>
  <c r="S36" i="19" s="1"/>
  <c r="W36" i="19"/>
  <c r="D41" i="14"/>
  <c r="D58" i="14" s="1"/>
  <c r="E99" i="1"/>
  <c r="M204" i="6"/>
  <c r="M206" i="6"/>
  <c r="L206" i="6"/>
  <c r="K69" i="22"/>
  <c r="C86" i="22" s="1"/>
  <c r="Y224" i="25"/>
  <c r="C247" i="25" s="1"/>
  <c r="E247" i="25" s="1"/>
  <c r="E146" i="1" s="1"/>
  <c r="AA214" i="25"/>
  <c r="M36" i="19"/>
  <c r="T36" i="19" s="1"/>
  <c r="L36" i="19"/>
  <c r="Q36" i="19" s="1"/>
  <c r="Y209" i="25"/>
  <c r="C243" i="25" s="1"/>
  <c r="E243" i="25" s="1"/>
  <c r="E145" i="1" s="1"/>
  <c r="AA199" i="25"/>
  <c r="W30" i="19"/>
  <c r="W26" i="19"/>
  <c r="I123" i="13"/>
  <c r="L204" i="6"/>
  <c r="O195" i="6"/>
  <c r="M231" i="6"/>
  <c r="E40" i="5"/>
  <c r="C261" i="2"/>
  <c r="E176" i="1"/>
  <c r="M205" i="6"/>
  <c r="AE36" i="10"/>
  <c r="D27" i="5"/>
  <c r="E60" i="1"/>
  <c r="O25" i="10"/>
  <c r="W57" i="19"/>
  <c r="R57" i="19"/>
  <c r="S57" i="19" s="1"/>
  <c r="R34" i="19"/>
  <c r="S34" i="19" s="1"/>
  <c r="F61" i="19"/>
  <c r="X61" i="19"/>
  <c r="Q61" i="25"/>
  <c r="S32" i="25"/>
  <c r="X51" i="18"/>
  <c r="L40" i="19"/>
  <c r="Q40" i="19" s="1"/>
  <c r="I93" i="13"/>
  <c r="G101" i="13"/>
  <c r="G124" i="13" s="1"/>
  <c r="E79" i="1"/>
  <c r="L50" i="6"/>
  <c r="E102" i="1"/>
  <c r="D56" i="5"/>
  <c r="Y67" i="19"/>
  <c r="E122" i="1"/>
  <c r="C49" i="23"/>
  <c r="C39" i="23"/>
  <c r="C252" i="25"/>
  <c r="AC96" i="25"/>
  <c r="AE96" i="25" s="1"/>
  <c r="F27" i="20"/>
  <c r="G191" i="25"/>
  <c r="I191" i="25" s="1"/>
  <c r="K191" i="25" s="1"/>
  <c r="G190" i="25"/>
  <c r="E41" i="1"/>
  <c r="K206" i="6"/>
  <c r="O36" i="10"/>
  <c r="C56" i="10"/>
  <c r="E69" i="1" s="1"/>
  <c r="G30" i="12"/>
  <c r="L78" i="6"/>
  <c r="E28" i="5"/>
  <c r="E26" i="5"/>
  <c r="E23" i="5"/>
  <c r="E20" i="5"/>
  <c r="E65" i="5" s="1"/>
  <c r="F65" i="5" s="1"/>
  <c r="G65" i="5" s="1"/>
  <c r="E18" i="5"/>
  <c r="E24" i="5"/>
  <c r="E19" i="5"/>
  <c r="F28" i="5"/>
  <c r="F18" i="5"/>
  <c r="H24" i="5"/>
  <c r="E67" i="5" s="1"/>
  <c r="F23" i="5"/>
  <c r="G26" i="5"/>
  <c r="F26" i="5"/>
  <c r="G20" i="5"/>
  <c r="F20" i="5"/>
  <c r="L42" i="19"/>
  <c r="Q42" i="19" s="1"/>
  <c r="R42" i="19" s="1"/>
  <c r="S42" i="19" s="1"/>
  <c r="E48" i="1"/>
  <c r="C259" i="2"/>
  <c r="E174" i="1"/>
  <c r="E94" i="1"/>
  <c r="C449" i="3"/>
  <c r="C463" i="3" s="1"/>
  <c r="C437" i="3"/>
  <c r="Q89" i="25"/>
  <c r="S89" i="25" s="1"/>
  <c r="U89" i="25" s="1"/>
  <c r="E138" i="1" s="1"/>
  <c r="T26" i="19"/>
  <c r="R55" i="19"/>
  <c r="S55" i="19" s="1"/>
  <c r="W55" i="19"/>
  <c r="W42" i="19"/>
  <c r="K6" i="25"/>
  <c r="I25" i="25"/>
  <c r="C240" i="25" s="1"/>
  <c r="X49" i="18"/>
  <c r="Q24" i="18"/>
  <c r="O24" i="18"/>
  <c r="P24" i="18" s="1"/>
  <c r="K56" i="9"/>
  <c r="E59" i="1"/>
  <c r="X36" i="10"/>
  <c r="G56" i="10"/>
  <c r="E71" i="1" s="1"/>
  <c r="I54" i="10"/>
  <c r="D18" i="5"/>
  <c r="I189" i="25"/>
  <c r="K189" i="25" s="1"/>
  <c r="C258" i="25"/>
  <c r="R51" i="19"/>
  <c r="S51" i="19" s="1"/>
  <c r="W51" i="19"/>
  <c r="V67" i="19"/>
  <c r="E54" i="12"/>
  <c r="G54" i="12" s="1"/>
  <c r="G45" i="12"/>
  <c r="C452" i="3"/>
  <c r="C466" i="3" s="1"/>
  <c r="C440" i="3"/>
  <c r="K125" i="25"/>
  <c r="W157" i="25" s="1"/>
  <c r="W159" i="25" s="1"/>
  <c r="M125" i="25"/>
  <c r="Q124" i="25" s="1"/>
  <c r="R65" i="19"/>
  <c r="S65" i="19" s="1"/>
  <c r="W65" i="19"/>
  <c r="X59" i="19"/>
  <c r="X67" i="19" s="1"/>
  <c r="F59" i="19"/>
  <c r="K60" i="18"/>
  <c r="T46" i="19"/>
  <c r="L55" i="19"/>
  <c r="M55" i="19"/>
  <c r="T55" i="19" s="1"/>
  <c r="O67" i="19"/>
  <c r="T24" i="18"/>
  <c r="U24" i="18" s="1"/>
  <c r="F70" i="7"/>
  <c r="F74" i="7" s="1"/>
  <c r="F76" i="7" s="1"/>
  <c r="K70" i="7"/>
  <c r="B65" i="7" s="1"/>
  <c r="C70" i="7"/>
  <c r="C74" i="7" s="1"/>
  <c r="R84" i="7"/>
  <c r="J70" i="7"/>
  <c r="J74" i="7" s="1"/>
  <c r="J76" i="7" s="1"/>
  <c r="E70" i="7"/>
  <c r="E74" i="7" s="1"/>
  <c r="E76" i="7" s="1"/>
  <c r="D70" i="7"/>
  <c r="L70" i="7"/>
  <c r="H70" i="7"/>
  <c r="H74" i="7" s="1"/>
  <c r="H76" i="7" s="1"/>
  <c r="G70" i="7"/>
  <c r="I70" i="7"/>
  <c r="M70" i="7"/>
  <c r="R56" i="9"/>
  <c r="E58" i="1"/>
  <c r="C251" i="2"/>
  <c r="C249" i="2" s="1"/>
  <c r="C79" i="2"/>
  <c r="H177" i="2"/>
  <c r="D177" i="2"/>
  <c r="K205" i="6"/>
  <c r="D19" i="5"/>
  <c r="D23" i="5"/>
  <c r="E83" i="1" l="1"/>
  <c r="S39" i="24"/>
  <c r="E34" i="1"/>
  <c r="C82" i="22"/>
  <c r="I102" i="13"/>
  <c r="E21" i="1"/>
  <c r="G62" i="12"/>
  <c r="C36" i="23"/>
  <c r="E91" i="1" s="1"/>
  <c r="E89" i="1" s="1"/>
  <c r="C46" i="23"/>
  <c r="V24" i="18"/>
  <c r="W24" i="18" s="1"/>
  <c r="X24" i="18" s="1"/>
  <c r="F54" i="5"/>
  <c r="G54" i="5" s="1"/>
  <c r="D440" i="3"/>
  <c r="E440" i="3" s="1"/>
  <c r="G440" i="3" s="1"/>
  <c r="F67" i="5"/>
  <c r="G67" i="5" s="1"/>
  <c r="D452" i="3"/>
  <c r="E452" i="3" s="1"/>
  <c r="G452" i="3" s="1"/>
  <c r="C257" i="25"/>
  <c r="U124" i="25"/>
  <c r="Y124" i="25" s="1"/>
  <c r="E98" i="1"/>
  <c r="E93" i="1" s="1"/>
  <c r="E192" i="1" s="1"/>
  <c r="M67" i="19"/>
  <c r="O81" i="18" s="1"/>
  <c r="O83" i="18" s="1"/>
  <c r="O87" i="18" s="1"/>
  <c r="O89" i="18" s="1"/>
  <c r="R40" i="19"/>
  <c r="S40" i="19" s="1"/>
  <c r="W40" i="19"/>
  <c r="W67" i="19"/>
  <c r="E81" i="1"/>
  <c r="E173" i="1"/>
  <c r="R60" i="18"/>
  <c r="M60" i="18"/>
  <c r="K77" i="18"/>
  <c r="K81" i="18" s="1"/>
  <c r="K83" i="18" s="1"/>
  <c r="G192" i="25"/>
  <c r="I190" i="25"/>
  <c r="K190" i="25" s="1"/>
  <c r="E175" i="1"/>
  <c r="E60" i="10"/>
  <c r="E78" i="1"/>
  <c r="E76" i="1" s="1"/>
  <c r="AA224" i="25"/>
  <c r="AC214" i="25"/>
  <c r="AC224" i="25" s="1"/>
  <c r="E42" i="1"/>
  <c r="E39" i="1" s="1"/>
  <c r="F47" i="11"/>
  <c r="F52" i="11" s="1"/>
  <c r="E69" i="5"/>
  <c r="F63" i="5"/>
  <c r="D449" i="3"/>
  <c r="U32" i="25"/>
  <c r="S61" i="25"/>
  <c r="C241" i="25" s="1"/>
  <c r="E241" i="25" s="1"/>
  <c r="AA209" i="25"/>
  <c r="AC199" i="25"/>
  <c r="AC209" i="25" s="1"/>
  <c r="C76" i="7"/>
  <c r="N76" i="7" s="1"/>
  <c r="E29" i="1" s="1"/>
  <c r="N74" i="7"/>
  <c r="E240" i="25"/>
  <c r="C239" i="25"/>
  <c r="E239" i="25" s="1"/>
  <c r="T67" i="19"/>
  <c r="V99" i="18" s="1"/>
  <c r="V101" i="18" s="1"/>
  <c r="V103" i="18" s="1"/>
  <c r="E157" i="1" s="1"/>
  <c r="E52" i="5"/>
  <c r="F52" i="5" s="1"/>
  <c r="G52" i="5" s="1"/>
  <c r="F40" i="5"/>
  <c r="G40" i="5" s="1"/>
  <c r="D427" i="3"/>
  <c r="E427" i="3" s="1"/>
  <c r="F427" i="3" s="1"/>
  <c r="E143" i="1"/>
  <c r="O124" i="25"/>
  <c r="I53" i="10"/>
  <c r="I60" i="10" s="1"/>
  <c r="E64" i="1"/>
  <c r="E33" i="1"/>
  <c r="E31" i="1" s="1"/>
  <c r="W11" i="18"/>
  <c r="M6" i="25"/>
  <c r="M25" i="25" s="1"/>
  <c r="K25" i="25"/>
  <c r="E171" i="1"/>
  <c r="R59" i="19"/>
  <c r="S59" i="19" s="1"/>
  <c r="W59" i="19"/>
  <c r="E50" i="5"/>
  <c r="E56" i="1"/>
  <c r="E189" i="1" s="1"/>
  <c r="E36" i="5"/>
  <c r="E68" i="1"/>
  <c r="C60" i="10"/>
  <c r="F124" i="13"/>
  <c r="I124" i="13" s="1"/>
  <c r="I101" i="13"/>
  <c r="E160" i="1"/>
  <c r="O190" i="25"/>
  <c r="W164" i="25"/>
  <c r="O189" i="25" s="1"/>
  <c r="E38" i="5"/>
  <c r="F38" i="5" s="1"/>
  <c r="G38" i="5" s="1"/>
  <c r="G60" i="10"/>
  <c r="R61" i="19"/>
  <c r="S61" i="19" s="1"/>
  <c r="W61" i="19"/>
  <c r="C266" i="2"/>
  <c r="C242" i="2"/>
  <c r="C52" i="23"/>
  <c r="C59" i="23"/>
  <c r="E35" i="1"/>
  <c r="C235" i="25" l="1"/>
  <c r="E235" i="25" s="1"/>
  <c r="X11" i="18"/>
  <c r="D453" i="3"/>
  <c r="E449" i="3"/>
  <c r="G449" i="3" s="1"/>
  <c r="E47" i="1"/>
  <c r="E466" i="3"/>
  <c r="E20" i="1"/>
  <c r="F69" i="5"/>
  <c r="G63" i="5"/>
  <c r="G69" i="5" s="1"/>
  <c r="E56" i="5"/>
  <c r="F50" i="5"/>
  <c r="D437" i="3"/>
  <c r="I192" i="25"/>
  <c r="K192" i="25" s="1"/>
  <c r="C255" i="25"/>
  <c r="C265" i="2"/>
  <c r="C248" i="2" s="1"/>
  <c r="E180" i="1"/>
  <c r="E42" i="5"/>
  <c r="F36" i="5"/>
  <c r="D424" i="3"/>
  <c r="E190" i="1"/>
  <c r="F466" i="3"/>
  <c r="E19" i="1"/>
  <c r="G427" i="3"/>
  <c r="E18" i="1"/>
  <c r="D466" i="3"/>
  <c r="C259" i="25"/>
  <c r="C256" i="25" s="1"/>
  <c r="C262" i="25" s="1"/>
  <c r="C233" i="25" s="1"/>
  <c r="E233" i="25" s="1"/>
  <c r="E142" i="1" s="1"/>
  <c r="Q189" i="25"/>
  <c r="S189" i="25" s="1"/>
  <c r="E30" i="1"/>
  <c r="E188" i="1" s="1"/>
  <c r="U60" i="18"/>
  <c r="T60" i="18"/>
  <c r="T77" i="18" s="1"/>
  <c r="V87" i="18" s="1"/>
  <c r="V89" i="18" s="1"/>
  <c r="R77" i="18"/>
  <c r="C260" i="25"/>
  <c r="Q190" i="25"/>
  <c r="S190" i="25" s="1"/>
  <c r="C231" i="25"/>
  <c r="E133" i="1"/>
  <c r="C251" i="25"/>
  <c r="C250" i="25" s="1"/>
  <c r="S124" i="25"/>
  <c r="W124" i="25" s="1"/>
  <c r="C246" i="25"/>
  <c r="K84" i="18"/>
  <c r="K87" i="18" s="1"/>
  <c r="E80" i="1"/>
  <c r="E191" i="1" s="1"/>
  <c r="W32" i="25"/>
  <c r="W61" i="25" s="1"/>
  <c r="U61" i="25"/>
  <c r="Q60" i="18"/>
  <c r="Q77" i="18" s="1"/>
  <c r="O60" i="18"/>
  <c r="M77" i="18"/>
  <c r="E139" i="1" l="1"/>
  <c r="E463" i="3"/>
  <c r="E467" i="3" s="1"/>
  <c r="G453" i="3"/>
  <c r="E16" i="1"/>
  <c r="E424" i="3"/>
  <c r="D428" i="3"/>
  <c r="E179" i="1"/>
  <c r="E170" i="1" s="1"/>
  <c r="E246" i="25"/>
  <c r="C244" i="25"/>
  <c r="E244" i="25" s="1"/>
  <c r="V93" i="18"/>
  <c r="V95" i="18" s="1"/>
  <c r="V91" i="18"/>
  <c r="G466" i="3"/>
  <c r="F42" i="5"/>
  <c r="G36" i="5"/>
  <c r="G42" i="5" s="1"/>
  <c r="C232" i="25"/>
  <c r="E232" i="25" s="1"/>
  <c r="E137" i="1"/>
  <c r="V60" i="18"/>
  <c r="U77" i="18"/>
  <c r="E17" i="1"/>
  <c r="E231" i="25"/>
  <c r="K89" i="18"/>
  <c r="V97" i="18"/>
  <c r="V105" i="18" s="1"/>
  <c r="E158" i="1" s="1"/>
  <c r="E437" i="3"/>
  <c r="G437" i="3" s="1"/>
  <c r="D441" i="3"/>
  <c r="E131" i="1"/>
  <c r="P60" i="18"/>
  <c r="O77" i="18"/>
  <c r="G50" i="5"/>
  <c r="G56" i="5" s="1"/>
  <c r="F56" i="5"/>
  <c r="C236" i="25" l="1"/>
  <c r="E236" i="25" s="1"/>
  <c r="F424" i="3"/>
  <c r="E428" i="3"/>
  <c r="F428" i="3" s="1"/>
  <c r="G441" i="3"/>
  <c r="E15" i="1"/>
  <c r="F463" i="3"/>
  <c r="F467" i="3" s="1"/>
  <c r="P77" i="18"/>
  <c r="W60" i="18"/>
  <c r="W77" i="18" s="1"/>
  <c r="V77" i="18"/>
  <c r="E156" i="1"/>
  <c r="E135" i="1"/>
  <c r="E130" i="1" s="1"/>
  <c r="E193" i="1" s="1"/>
  <c r="X60" i="18" l="1"/>
  <c r="X77" i="18" s="1"/>
  <c r="E151" i="1"/>
  <c r="D463" i="3"/>
  <c r="E14" i="1"/>
  <c r="G424" i="3"/>
  <c r="G428" i="3" s="1"/>
  <c r="E13" i="1" l="1"/>
  <c r="D467" i="3"/>
  <c r="G467" i="3" s="1"/>
  <c r="G463" i="3"/>
  <c r="E194" i="1"/>
  <c r="E12" i="1" l="1"/>
  <c r="E11" i="1" s="1"/>
  <c r="E187" i="1" l="1"/>
  <c r="E195" i="1" s="1"/>
  <c r="E10" i="1"/>
  <c r="E168" i="1"/>
  <c r="E182" i="1" s="1"/>
  <c r="D189" i="1"/>
  <c r="D187" i="1"/>
  <c r="D191" i="1"/>
  <c r="D190" i="1"/>
  <c r="D192" i="1"/>
  <c r="D193" i="1"/>
  <c r="D188" i="1"/>
  <c r="D194" i="1"/>
  <c r="D19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8" authorId="0" shapeId="0" xr:uid="{00000000-0006-0000-0000-000001000000}">
      <text>
        <r>
          <rPr>
            <sz val="8"/>
            <color rgb="FF000000"/>
            <rFont val="Calibri"/>
            <family val="2"/>
            <scheme val="minor"/>
          </rPr>
          <t>HFC and PFC emissions are reported in aggregate as a combination of many gases each having unique lifetimes and global warming potentials. Therefore a single GWP is not reported here. HFC and PFC emissions are reported under the subsector of ODS Substitutes using GWPs from IPCC AR4.</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F12" authorId="0" shapeId="0" xr:uid="{00000000-0006-0000-0E00-000001000000}">
      <text>
        <r>
          <rPr>
            <sz val="8"/>
            <color rgb="FF000000"/>
            <rFont val="Calibri"/>
            <family val="2"/>
            <scheme val="minor"/>
          </rPr>
          <t>======
ID#AAAAMQJ-jKs
amohammed    (2021-04-29 11:55:23)
Biogenic</t>
        </r>
      </text>
    </comment>
    <comment ref="G12" authorId="0" shapeId="0" xr:uid="{00000000-0006-0000-0E00-000002000000}">
      <text>
        <r>
          <rPr>
            <sz val="8"/>
            <color rgb="FF000000"/>
            <rFont val="Calibri"/>
            <family val="2"/>
            <scheme val="minor"/>
          </rPr>
          <t>======
ID#AAAAMQJ-jHM
Measured Biomass     (2021-04-29 11:55:23)
1 % of Total CO2 (CEM). 2017 Emission Certification Report.</t>
        </r>
      </text>
    </comment>
    <comment ref="E30" authorId="0" shapeId="0" xr:uid="{00000000-0006-0000-0E00-000003000000}">
      <text>
        <r>
          <rPr>
            <sz val="8"/>
            <color rgb="FF000000"/>
            <rFont val="Calibri"/>
            <family val="2"/>
            <scheme val="minor"/>
          </rPr>
          <t>======
ID#AAAAMQJ-jPM
sal    (2021-04-29 11:55:23)
1.10249937 Conversion factor used in ECR (metric to short ton)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H5" authorId="0" shapeId="0" xr:uid="{00000000-0006-0000-0D00-000001000000}">
      <text>
        <r>
          <rPr>
            <sz val="8"/>
            <color rgb="FF000000"/>
            <rFont val="Calibri"/>
            <family val="2"/>
            <scheme val="minor"/>
          </rPr>
          <t>======
ID#AAAAMQJ-jI8
Beth Moore    (2021-04-29 11:55:23)
Metric Tons CO2 are converted into Metric Tons Carbon Equivalent by multiplying by the molecular weight ratio of carbon to carbon dioxide, or (12/44).</t>
        </r>
      </text>
    </comment>
    <comment ref="D6" authorId="0" shapeId="0" xr:uid="{00000000-0006-0000-0D00-000002000000}">
      <text>
        <r>
          <rPr>
            <sz val="8"/>
            <color rgb="FF000000"/>
            <rFont val="Calibri"/>
            <family val="2"/>
            <scheme val="minor"/>
          </rPr>
          <t>======
ID#AAAAMQJ-jIo
amohammed    (2021-04-29 11:55:23)
2016 SIT Defaults</t>
        </r>
      </text>
    </comment>
    <comment ref="C7" authorId="0" shapeId="0" xr:uid="{00000000-0006-0000-0D00-000003000000}">
      <text>
        <r>
          <rPr>
            <sz val="8"/>
            <color rgb="FF000000"/>
            <rFont val="Calibri"/>
            <family val="2"/>
            <scheme val="minor"/>
          </rPr>
          <t>======
ID#AAAAMQJ-jTg
Beth Moore    (2021-04-29 11:55:23)
Do not include dolomite used in magnesium production.</t>
        </r>
      </text>
    </comment>
    <comment ref="H11" authorId="0" shapeId="0" xr:uid="{00000000-0006-0000-0D00-000004000000}">
      <text>
        <r>
          <rPr>
            <sz val="8"/>
            <color rgb="FF000000"/>
            <rFont val="Calibri"/>
            <family val="2"/>
            <scheme val="minor"/>
          </rPr>
          <t>======
ID#AAAAMQJ-jSk
Beth Moore    (2021-04-29 11:55:23)
Metric Tons CO2 are converted into Metric Tons Carbon Equivalent by multiplying by the molecular weight ratio of carbon to carbon dioxide, or (12/44).</t>
        </r>
      </text>
    </comment>
    <comment ref="D13" authorId="0" shapeId="0" xr:uid="{00000000-0006-0000-0D00-000005000000}">
      <text>
        <r>
          <rPr>
            <sz val="8"/>
            <color rgb="FF000000"/>
            <rFont val="Calibri"/>
            <family val="2"/>
            <scheme val="minor"/>
          </rPr>
          <t>======
ID#AAAAMQJ-jLQ
amohammed    (2021-04-29 11:55:23)
2017 Consumption</t>
        </r>
      </text>
    </comment>
    <comment ref="AI16" authorId="0" shapeId="0" xr:uid="{00000000-0006-0000-0D00-000006000000}">
      <text>
        <r>
          <rPr>
            <sz val="8"/>
            <color rgb="FF000000"/>
            <rFont val="Calibri"/>
            <family val="2"/>
            <scheme val="minor"/>
          </rPr>
          <t>Estimated from 100-yr emissions using 2019 ratio of 20-yr/100-yr</t>
        </r>
      </text>
    </comment>
    <comment ref="D18" authorId="0" shapeId="0" xr:uid="{00000000-0006-0000-0D00-000007000000}">
      <text>
        <r>
          <rPr>
            <sz val="8"/>
            <color rgb="FF000000"/>
            <rFont val="Calibri"/>
            <family val="2"/>
            <scheme val="minor"/>
          </rPr>
          <t>======
ID#AAAAMQJ-jTU
sal    (2021-04-29 11:55:23)
2016 SIT Default data</t>
        </r>
      </text>
    </comment>
    <comment ref="H27" authorId="0" shapeId="0" xr:uid="{00000000-0006-0000-0D00-000008000000}">
      <text>
        <r>
          <rPr>
            <sz val="8"/>
            <color rgb="FF000000"/>
            <rFont val="Calibri"/>
            <family val="2"/>
            <scheme val="minor"/>
          </rPr>
          <t>======
ID#AAAAMQJ-jMo
rthunell    (2021-04-29 11:55:23)
GWP SF6 = 23,900</t>
        </r>
      </text>
    </comment>
    <comment ref="J27" authorId="0" shapeId="0" xr:uid="{00000000-0006-0000-0D00-000009000000}">
      <text>
        <r>
          <rPr>
            <sz val="8"/>
            <color rgb="FF000000"/>
            <rFont val="Calibri"/>
            <family val="2"/>
            <scheme val="minor"/>
          </rPr>
          <t>======
ID#AAAAMQJ-jRY
Beth Moore    (2021-04-29 11:55:23)
Metric Tons CO2 are converted into Metric Tons Carbon Equivalent by multiplying by the GWP of SF6 (23,900) and the molecular weight ratio of carbon to carbon dioxide (12/44).</t>
        </r>
      </text>
    </comment>
    <comment ref="L27" authorId="0" shapeId="0" xr:uid="{00000000-0006-0000-0D00-00000A000000}">
      <text>
        <r>
          <rPr>
            <sz val="8"/>
            <color rgb="FF000000"/>
            <rFont val="Calibri"/>
            <family val="2"/>
            <scheme val="minor"/>
          </rPr>
          <t>======
ID#AAAAMQJ-jJc
Beth Moore    (2021-04-29 11:55:23)
Metric Tons CO2 are converted into Metric Tons Carbon Equivalent by multiplying by the GWP of SF6 (23,900) and the molecular weight ratio of carbon to carbon dioxide (12/44).</t>
        </r>
      </text>
    </comment>
    <comment ref="D28" authorId="0" shapeId="0" xr:uid="{00000000-0006-0000-0D00-00000B000000}">
      <text>
        <r>
          <rPr>
            <sz val="8"/>
            <color rgb="FF000000"/>
            <rFont val="Calibri"/>
            <family val="2"/>
            <scheme val="minor"/>
          </rPr>
          <t>======
ID#AAAAMQJ-jTY
sal    (2021-04-29 11:55:23)
2017 SIT Default data</t>
        </r>
      </text>
    </comment>
    <comment ref="J32" authorId="0" shapeId="0" xr:uid="{00000000-0006-0000-0D00-00000C000000}">
      <text>
        <r>
          <rPr>
            <sz val="8"/>
            <color rgb="FF000000"/>
            <rFont val="Calibri"/>
            <family val="2"/>
            <scheme val="minor"/>
          </rPr>
          <t>======
ID#AAAAMQJ-jQ0
rthunell    (2021-04-29 11:55:23)
Metric Tons CO2 are converted into Metric Tons Carbon Equivalent by multiplying by the molecular weight ratio of carbon to carbon dioxide, or (12/44).</t>
        </r>
      </text>
    </comment>
    <comment ref="L32" authorId="0" shapeId="0" xr:uid="{00000000-0006-0000-0D00-00000D000000}">
      <text>
        <r>
          <rPr>
            <sz val="8"/>
            <color rgb="FF000000"/>
            <rFont val="Calibri"/>
            <family val="2"/>
            <scheme val="minor"/>
          </rPr>
          <t>======
ID#AAAAMQJ-jFE
Beth Moore    (2021-04-29 11:55:23)
Metric Tons CO2 are converted into Metric Tons Carbon Equivalent by multiplying by the molecular weight ratio of carbon to carbon dioxide, or (12/44).</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D8" authorId="0" shapeId="0" xr:uid="{00000000-0006-0000-0F00-000001000000}">
      <text>
        <r>
          <rPr>
            <sz val="8"/>
            <color rgb="FF000000"/>
            <rFont val="Calibri"/>
            <family val="2"/>
            <scheme val="minor"/>
          </rPr>
          <t>======
ID#AAAAMQJ-jE4
sal    (2021-04-29 11:55:23)
2016 default data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I4" authorId="0" shapeId="0" xr:uid="{00000000-0006-0000-1800-000001000000}">
      <text>
        <r>
          <rPr>
            <sz val="8"/>
            <color rgb="FF000000"/>
            <rFont val="Calibri"/>
            <family val="2"/>
            <scheme val="minor"/>
          </rPr>
          <t>======
ID#AAAAMQJ-jPQ
Philip Groth    (2021-04-29 11:55:23)
Kg of methane are converted to metric tons by dividing by 1000. This is then converted to MMTCH4 by dividing by 1,000,000.</t>
        </r>
      </text>
    </comment>
    <comment ref="K4" authorId="0" shapeId="0" xr:uid="{00000000-0006-0000-1800-000002000000}">
      <text>
        <r>
          <rPr>
            <sz val="8"/>
            <color rgb="FF000000"/>
            <rFont val="Calibri"/>
            <family val="2"/>
            <scheme val="minor"/>
          </rPr>
          <t>======
ID#AAAAMQJ-jHg
Philip Groth    (2021-04-29 11:55:23)
MMTCH4 are converted to MMTCE by multiply by methane's global warming potential (21) and then 12/44 (to convert from CO2 to C).</t>
        </r>
      </text>
    </comment>
    <comment ref="M4" authorId="0" shapeId="0" xr:uid="{00000000-0006-0000-1800-000003000000}">
      <text>
        <r>
          <rPr>
            <sz val="8"/>
            <color rgb="FF000000"/>
            <rFont val="Calibri"/>
            <family val="2"/>
            <scheme val="minor"/>
          </rPr>
          <t>======
ID#AAAAMQJ-jFY
Philip Groth    (2021-04-29 11:55:23)
MMTCE are converted to MMTCO2E by dividing by 12/44 (to convert from C to CO2).</t>
        </r>
      </text>
    </comment>
    <comment ref="C17" authorId="0" shapeId="0" xr:uid="{00000000-0006-0000-1800-000004000000}">
      <text>
        <r>
          <rPr>
            <sz val="8"/>
            <color rgb="FF000000"/>
            <rFont val="Calibri"/>
            <family val="2"/>
            <scheme val="minor"/>
          </rPr>
          <t>======
ID#AAAAMQJ-jLw
sal    (2021-04-29 11:55:23)
SIT 2009 default</t>
        </r>
      </text>
    </comment>
    <comment ref="C18" authorId="0" shapeId="0" xr:uid="{00000000-0006-0000-1800-000005000000}">
      <text>
        <r>
          <rPr>
            <sz val="8"/>
            <color rgb="FF000000"/>
            <rFont val="Calibri"/>
            <family val="2"/>
            <scheme val="minor"/>
          </rPr>
          <t>======
ID#AAAAMQJ-jMc
sal    (2021-04-29 11:55:23)
SIT 2009 Default</t>
        </r>
      </text>
    </comment>
    <comment ref="C21" authorId="0" shapeId="0" xr:uid="{00000000-0006-0000-1800-000006000000}">
      <text>
        <r>
          <rPr>
            <sz val="8"/>
            <color rgb="FF000000"/>
            <rFont val="Calibri"/>
            <family val="2"/>
            <scheme val="minor"/>
          </rPr>
          <t>======
ID#AAAAMQJ-jG0
sal    (2021-04-29 11:55:23)
USDA 2009 data</t>
        </r>
      </text>
    </comment>
    <comment ref="C24" authorId="0" shapeId="0" xr:uid="{00000000-0006-0000-1800-000007000000}">
      <text>
        <r>
          <rPr>
            <sz val="8"/>
            <color rgb="FF000000"/>
            <rFont val="Calibri"/>
            <family val="2"/>
            <scheme val="minor"/>
          </rPr>
          <t>======
ID#AAAAMQJ-jRo
sal    (2021-04-29 11:55:23)
2010 Maryland Equine Census,march 03,11; 2010 data</t>
        </r>
      </text>
    </comment>
    <comment ref="M30" authorId="0" shapeId="0" xr:uid="{00000000-0006-0000-1800-000008000000}">
      <text>
        <r>
          <rPr>
            <sz val="8"/>
            <color rgb="FF000000"/>
            <rFont val="Calibri"/>
            <family val="2"/>
            <scheme val="minor"/>
          </rPr>
          <t>======
ID#AAAAMQJ-jTE
DLekas    (2021-04-29 11:55:23)
Sum of MCF for each animal's management system x Percent of Manure Managed in that system</t>
        </r>
      </text>
    </comment>
    <comment ref="C35" authorId="0" shapeId="0" xr:uid="{00000000-0006-0000-1800-000009000000}">
      <text>
        <r>
          <rPr>
            <sz val="8"/>
            <color rgb="FF000000"/>
            <rFont val="Calibri"/>
            <family val="2"/>
            <scheme val="minor"/>
          </rPr>
          <t>======
ID#AAAAMQJ-jRM
sal    (2021-04-29 11:55:23)
not yet updated with 2011</t>
        </r>
      </text>
    </comment>
    <comment ref="C36" authorId="0" shapeId="0" xr:uid="{00000000-0006-0000-1800-00000A000000}">
      <text>
        <r>
          <rPr>
            <sz val="8"/>
            <color rgb="FF000000"/>
            <rFont val="Calibri"/>
            <family val="2"/>
            <scheme val="minor"/>
          </rPr>
          <t>======
ID#AAAAMQJ-jQU
sal    (2021-04-29 11:55:23)
not yet updated</t>
        </r>
      </text>
    </comment>
    <comment ref="C46" authorId="0" shapeId="0" xr:uid="{00000000-0006-0000-1800-00000B000000}">
      <text>
        <r>
          <rPr>
            <sz val="8"/>
            <color rgb="FF000000"/>
            <rFont val="Calibri"/>
            <family val="2"/>
            <scheme val="minor"/>
          </rPr>
          <t>======
ID#AAAAMQJ-jJQ
sal    (2021-04-29 11:55:23)
USDA 2007 data</t>
        </r>
      </text>
    </comment>
    <comment ref="C51" authorId="0" shapeId="0" xr:uid="{00000000-0006-0000-1800-00000C000000}">
      <text>
        <r>
          <rPr>
            <sz val="8"/>
            <color rgb="FF000000"/>
            <rFont val="Calibri"/>
            <family val="2"/>
            <scheme val="minor"/>
          </rPr>
          <t>======
ID#AAAAMQJ-jNI
sal    (2021-04-29 11:55:23)
SIT 2009 Default data</t>
        </r>
      </text>
    </comment>
    <comment ref="B52" authorId="0" shapeId="0" xr:uid="{00000000-0006-0000-1800-00000D000000}">
      <text>
        <r>
          <rPr>
            <sz val="8"/>
            <color rgb="FF000000"/>
            <rFont val="Calibri"/>
            <family val="2"/>
            <scheme val="minor"/>
          </rPr>
          <t>======
ID#AAAAMQJ-jJY
DLekas    (2021-04-29 11:55:23)
Includes:  Pullets laying, Pullets &gt; 3 mo., and Pullets &lt; 3 mo.</t>
        </r>
      </text>
    </comment>
    <comment ref="C52" authorId="0" shapeId="0" xr:uid="{00000000-0006-0000-1800-00000E000000}">
      <text>
        <r>
          <rPr>
            <sz val="8"/>
            <color rgb="FF000000"/>
            <rFont val="Calibri"/>
            <family val="2"/>
            <scheme val="minor"/>
          </rPr>
          <t>======
ID#AAAAMQJ-jFg
sal    (2021-04-29 11:55:23)
SIT 2009 Default data</t>
        </r>
      </text>
    </comment>
    <comment ref="C53" authorId="0" shapeId="0" xr:uid="{00000000-0006-0000-1800-00000F000000}">
      <text>
        <r>
          <rPr>
            <sz val="8"/>
            <color rgb="FF000000"/>
            <rFont val="Calibri"/>
            <family val="2"/>
            <scheme val="minor"/>
          </rPr>
          <t>======
ID#AAAAMQJ-jFU
sal    (2021-04-29 11:55:23)
SIT 2009 Default data</t>
        </r>
      </text>
    </comment>
    <comment ref="B54" authorId="0" shapeId="0" xr:uid="{00000000-0006-0000-1800-000010000000}">
      <text>
        <r>
          <rPr>
            <sz val="8"/>
            <color rgb="FF000000"/>
            <rFont val="Calibri"/>
            <family val="2"/>
            <scheme val="minor"/>
          </rPr>
          <t>======
ID#AAAAMQJ-jOY
DLekas    (2021-04-29 11:55:23)
Includes: Regular Broilers, Other (Lost), and Other (Sold)</t>
        </r>
      </text>
    </comment>
    <comment ref="C54" authorId="0" shapeId="0" xr:uid="{00000000-0006-0000-1800-000011000000}">
      <text>
        <r>
          <rPr>
            <sz val="8"/>
            <color rgb="FF000000"/>
            <rFont val="Calibri"/>
            <family val="2"/>
            <scheme val="minor"/>
          </rPr>
          <t>======
ID#AAAAMQJ-jRA
sal    (2021-04-29 11:55:23)
SIT 2009 Default data</t>
        </r>
      </text>
    </comment>
    <comment ref="C55" authorId="0" shapeId="0" xr:uid="{00000000-0006-0000-1800-000012000000}">
      <text>
        <r>
          <rPr>
            <sz val="8"/>
            <color rgb="FF000000"/>
            <rFont val="Calibri"/>
            <family val="2"/>
            <scheme val="minor"/>
          </rPr>
          <t>======
ID#AAAAMQJ-jOg
sal    (2021-04-29 11:55:23)
SIT 2009 Default data</t>
        </r>
      </text>
    </comment>
    <comment ref="B57" authorId="0" shapeId="0" xr:uid="{00000000-0006-0000-1800-000013000000}">
      <text>
        <r>
          <rPr>
            <sz val="8"/>
            <color rgb="FF000000"/>
            <rFont val="Calibri"/>
            <family val="2"/>
            <scheme val="minor"/>
          </rPr>
          <t>======
ID#AAAAMQJ-jOA
Katrin Peterson    (2021-04-29 11:55:23)
Sheep on feed that are in feedlots were assumed to be manged using a dry lot system, all others were assumed to be PRP.</t>
        </r>
      </text>
    </comment>
    <comment ref="C58" authorId="0" shapeId="0" xr:uid="{00000000-0006-0000-1800-000014000000}">
      <text>
        <r>
          <rPr>
            <sz val="8"/>
            <color rgb="FF000000"/>
            <rFont val="Calibri"/>
            <family val="2"/>
            <scheme val="minor"/>
          </rPr>
          <t>======
ID#AAAAMQJ-jPw
sal    (2021-04-29 11:55:23)
USDA 2009 data</t>
        </r>
      </text>
    </comment>
    <comment ref="C60" authorId="0" shapeId="0" xr:uid="{00000000-0006-0000-1800-000015000000}">
      <text>
        <r>
          <rPr>
            <sz val="8"/>
            <color rgb="FF000000"/>
            <rFont val="Calibri"/>
            <family val="2"/>
            <scheme val="minor"/>
          </rPr>
          <t>======
ID#AAAAMQJ-jEg
sal    (2021-04-29 11:55:23)
2010 Maryland Equine Census,march 03,11; 2010 data</t>
        </r>
      </text>
    </comment>
    <comment ref="S66" authorId="0" shapeId="0" xr:uid="{00000000-0006-0000-1800-000016000000}">
      <text>
        <r>
          <rPr>
            <sz val="8"/>
            <color rgb="FF000000"/>
            <rFont val="Calibri"/>
            <family val="2"/>
            <scheme val="minor"/>
          </rPr>
          <t>======
ID#AAAAMQJ-jQg
Philip Groth    (2021-04-29 11:55:23)
MTCE are converted to MMTCE by dividing by 1,000,000.</t>
        </r>
      </text>
    </comment>
    <comment ref="C71" authorId="0" shapeId="0" xr:uid="{00000000-0006-0000-1800-000017000000}">
      <text>
        <r>
          <rPr>
            <sz val="8"/>
            <color rgb="FF000000"/>
            <rFont val="Calibri"/>
            <family val="2"/>
            <scheme val="minor"/>
          </rPr>
          <t>======
ID#AAAAMQJ-jII
sal    (2021-04-29 11:55:23)
SIT 2009 default</t>
        </r>
      </text>
    </comment>
    <comment ref="C72" authorId="0" shapeId="0" xr:uid="{00000000-0006-0000-1800-000018000000}">
      <text>
        <r>
          <rPr>
            <sz val="8"/>
            <color rgb="FF000000"/>
            <rFont val="Calibri"/>
            <family val="2"/>
            <scheme val="minor"/>
          </rPr>
          <t>======
ID#AAAAMQJ-jLA
sal    (2021-04-29 11:55:23)
SIT 2009 Default</t>
        </r>
      </text>
    </comment>
    <comment ref="C76" authorId="0" shapeId="0" xr:uid="{00000000-0006-0000-1800-000019000000}">
      <text>
        <r>
          <rPr>
            <sz val="8"/>
            <color rgb="FF000000"/>
            <rFont val="Calibri"/>
            <family val="2"/>
            <scheme val="minor"/>
          </rPr>
          <t>======
ID#AAAAMQJ-jQs
sal    (2021-04-29 11:55:23)
USDA 2007 data</t>
        </r>
      </text>
    </comment>
    <comment ref="B81" authorId="0" shapeId="0" xr:uid="{00000000-0006-0000-1800-00001A000000}">
      <text>
        <r>
          <rPr>
            <sz val="8"/>
            <color rgb="FF000000"/>
            <rFont val="Calibri"/>
            <family val="2"/>
            <scheme val="minor"/>
          </rPr>
          <t>======
ID#AAAAMQJ-jMQ
DLekas    (2021-04-29 11:55:23)
Includes: Regular Broilers, Other (Lost), and Other (Sold)</t>
        </r>
      </text>
    </comment>
    <comment ref="C81" authorId="0" shapeId="0" xr:uid="{00000000-0006-0000-1800-00001B000000}">
      <text>
        <r>
          <rPr>
            <sz val="8"/>
            <color rgb="FF000000"/>
            <rFont val="Calibri"/>
            <family val="2"/>
            <scheme val="minor"/>
          </rPr>
          <t>======
ID#AAAAMQJ-jR8
sal    (2021-04-29 11:55:23)
SIT 2009 Default data</t>
        </r>
      </text>
    </comment>
    <comment ref="C82" authorId="0" shapeId="0" xr:uid="{00000000-0006-0000-1800-00001C000000}">
      <text>
        <r>
          <rPr>
            <sz val="8"/>
            <color rgb="FF000000"/>
            <rFont val="Calibri"/>
            <family val="2"/>
            <scheme val="minor"/>
          </rPr>
          <t>======
ID#AAAAMQJ-jHs
sal    (2021-04-29 11:55:23)
SIT 2009 Default data</t>
        </r>
      </text>
    </comment>
    <comment ref="C83" authorId="0" shapeId="0" xr:uid="{00000000-0006-0000-1800-00001D000000}">
      <text>
        <r>
          <rPr>
            <sz val="8"/>
            <color rgb="FF000000"/>
            <rFont val="Calibri"/>
            <family val="2"/>
            <scheme val="minor"/>
          </rPr>
          <t>======
ID#AAAAMQJ-jHo
sal    (2021-04-29 11:55:23)
SIT 2009 Default data</t>
        </r>
      </text>
    </comment>
    <comment ref="C84" authorId="0" shapeId="0" xr:uid="{00000000-0006-0000-1800-00001E000000}">
      <text>
        <r>
          <rPr>
            <sz val="8"/>
            <color rgb="FF000000"/>
            <rFont val="Calibri"/>
            <family val="2"/>
            <scheme val="minor"/>
          </rPr>
          <t>======
ID#AAAAMQJ-jEw
sal    (2021-04-29 11:55:23)
SIT 2009 Default data</t>
        </r>
      </text>
    </comment>
    <comment ref="C85" authorId="0" shapeId="0" xr:uid="{00000000-0006-0000-1800-00001F000000}">
      <text>
        <r>
          <rPr>
            <sz val="8"/>
            <color rgb="FF000000"/>
            <rFont val="Calibri"/>
            <family val="2"/>
            <scheme val="minor"/>
          </rPr>
          <t>======
ID#AAAAMQJ-jOI
sal    (2021-04-29 11:55:23)
SIT 2009 Default data</t>
        </r>
      </text>
    </comment>
    <comment ref="C88" authorId="0" shapeId="0" xr:uid="{00000000-0006-0000-1800-000020000000}">
      <text>
        <r>
          <rPr>
            <sz val="8"/>
            <color rgb="FF000000"/>
            <rFont val="Calibri"/>
            <family val="2"/>
            <scheme val="minor"/>
          </rPr>
          <t>======
ID#AAAAMQJ-jTw
sal    (2021-04-29 11:55:23)
USDA 2009 data</t>
        </r>
      </text>
    </comment>
    <comment ref="E95" authorId="0" shapeId="0" xr:uid="{00000000-0006-0000-1800-000021000000}">
      <text>
        <r>
          <rPr>
            <sz val="8"/>
            <color rgb="FF000000"/>
            <rFont val="Calibri"/>
            <family val="2"/>
            <scheme val="minor"/>
          </rPr>
          <t>======
ID#AAAAMQJ-jJU
DLekas    (2021-04-29 11:55:23)
This data can be obtained departments in each state responsible for agricultural research.  USDA: http://www.nass.usda.gov/Data_and_Statistics/index.asp</t>
        </r>
      </text>
    </comment>
    <comment ref="G95" authorId="0" shapeId="0" xr:uid="{00000000-0006-0000-1800-000022000000}">
      <text>
        <r>
          <rPr>
            <sz val="8"/>
            <color rgb="FF000000"/>
            <rFont val="Calibri"/>
            <family val="2"/>
            <scheme val="minor"/>
          </rPr>
          <t>======
ID#AAAAMQJ-jE0
J Casola    (2021-04-29 11:55:23)
Corn for Grain, All Wheat, Barley, Sorghum, Oats, Rye, and Soybeans back-calculated from bushel and tonnage values found in "Field Crops, Final Estimates, 1992-1997" SB 947a USDA/NASS. Other crops assumed conversion 0.027215</t>
        </r>
      </text>
    </comment>
    <comment ref="I95" authorId="0" shapeId="0" xr:uid="{00000000-0006-0000-1800-000023000000}">
      <text>
        <r>
          <rPr>
            <sz val="8"/>
            <color rgb="FF000000"/>
            <rFont val="Calibri"/>
            <family val="2"/>
            <scheme val="minor"/>
          </rPr>
          <t>======
ID#AAAAMQJ-jG4
DLekas    (2021-04-29 11:55:23)
EIIP 1999 &amp; EPA 2001</t>
        </r>
      </text>
    </comment>
    <comment ref="AC95" authorId="0" shapeId="0" xr:uid="{00000000-0006-0000-1800-000024000000}">
      <text>
        <r>
          <rPr>
            <sz val="8"/>
            <color rgb="FF000000"/>
            <rFont val="Calibri"/>
            <family val="2"/>
            <scheme val="minor"/>
          </rPr>
          <t>======
ID#AAAAMQJ-jQc
Philip Groth    (2021-04-29 11:55:23)
Metric tons N2O are converted to MMTCE by multiplying by the N2O global warming potential (310 N2O/CO2). multiplying by 12/44 (to convert from CO2 to C), and then dividing by 1,000,000.</t>
        </r>
      </text>
    </comment>
    <comment ref="AE95" authorId="0" shapeId="0" xr:uid="{00000000-0006-0000-1800-000025000000}">
      <text>
        <r>
          <rPr>
            <sz val="8"/>
            <color rgb="FF000000"/>
            <rFont val="Calibri"/>
            <family val="2"/>
            <scheme val="minor"/>
          </rPr>
          <t>======
ID#AAAAMQJ-jFk
Philip Groth    (2021-04-29 11:55:23)
MMTCE are converted to MMTCO2E by dividing by 12/44 (to convert from C to CO2).</t>
        </r>
      </text>
    </comment>
    <comment ref="E123" authorId="0" shapeId="0" xr:uid="{00000000-0006-0000-1800-000026000000}">
      <text>
        <r>
          <rPr>
            <sz val="8"/>
            <color rgb="FF000000"/>
            <rFont val="Calibri"/>
            <family val="2"/>
            <scheme val="minor"/>
          </rPr>
          <t>======
ID#AAAAMQJ-jLM
DLekas    (2021-04-29 11:55:23)
According to the US Inventory, 65% of the fertilizer consumption takes place from Jan-June and 35% from July-Dec.</t>
        </r>
      </text>
    </comment>
    <comment ref="S123" authorId="0" shapeId="0" xr:uid="{00000000-0006-0000-1800-000027000000}">
      <text>
        <r>
          <rPr>
            <sz val="8"/>
            <color rgb="FF000000"/>
            <rFont val="Calibri"/>
            <family val="2"/>
            <scheme val="minor"/>
          </rPr>
          <t>======
ID#AAAAMQJ-jRg
Philip Groth    (2021-04-29 11:55:23)
Metric tons N2O are converted to MMTCE by multiplying by the N2O global warming potential (310 N2O/CO2). multiplying by 12/44 (to convert from CO2 to C), and then dividing by 1,000,000.</t>
        </r>
      </text>
    </comment>
    <comment ref="U123" authorId="0" shapeId="0" xr:uid="{00000000-0006-0000-1800-000028000000}">
      <text>
        <r>
          <rPr>
            <sz val="8"/>
            <color rgb="FF000000"/>
            <rFont val="Calibri"/>
            <family val="2"/>
            <scheme val="minor"/>
          </rPr>
          <t>======
ID#AAAAMQJ-jSQ
Philip Groth    (2021-04-29 11:55:23)
Metric tons N2O are converted to MMTCE by multiplying by the N2O global warming potential (310 N2O/CO2). multiplying by 12/44 (to convert from CO2 to C), and then dividing by 1,000,000.</t>
        </r>
      </text>
    </comment>
    <comment ref="W123" authorId="0" shapeId="0" xr:uid="{00000000-0006-0000-1800-000029000000}">
      <text>
        <r>
          <rPr>
            <sz val="8"/>
            <color rgb="FF000000"/>
            <rFont val="Calibri"/>
            <family val="2"/>
            <scheme val="minor"/>
          </rPr>
          <t>======
ID#AAAAMQJ-jIM
Philip Groth    (2021-04-29 11:55:23)
MMTCE are converted to MMTCO2E by dividing by 12/44 (to convert from C to CO2).</t>
        </r>
      </text>
    </comment>
    <comment ref="Y123" authorId="0" shapeId="0" xr:uid="{00000000-0006-0000-1800-00002A000000}">
      <text>
        <r>
          <rPr>
            <sz val="8"/>
            <color rgb="FF000000"/>
            <rFont val="Calibri"/>
            <family val="2"/>
            <scheme val="minor"/>
          </rPr>
          <t>======
ID#AAAAMQJ-jH4
Philip Groth    (2021-04-29 11:55:23)
MMTCE are converted to MMTCO2E by dividing by 12/44 (to convert from C to CO2).</t>
        </r>
      </text>
    </comment>
    <comment ref="C124" authorId="0" shapeId="0" xr:uid="{00000000-0006-0000-1800-00002B000000}">
      <text>
        <r>
          <rPr>
            <sz val="8"/>
            <color rgb="FF000000"/>
            <rFont val="Calibri"/>
            <family val="2"/>
            <scheme val="minor"/>
          </rPr>
          <t>======
ID#AAAAMQJ-jMw
sal    (2021-04-29 11:55:23)
2016 SIT Default DATA</t>
        </r>
      </text>
    </comment>
    <comment ref="E124" authorId="0" shapeId="0" xr:uid="{00000000-0006-0000-1800-00002C000000}">
      <text>
        <r>
          <rPr>
            <sz val="8"/>
            <color rgb="FF000000"/>
            <rFont val="Calibri"/>
            <family val="2"/>
            <scheme val="minor"/>
          </rPr>
          <t>======
ID#AAAAMQJ-jP0
amohammed    (2021-04-29 11:55:23)
2016 SIT Defaults</t>
        </r>
      </text>
    </comment>
    <comment ref="O124" authorId="0" shapeId="0" xr:uid="{00000000-0006-0000-1800-00002D000000}">
      <text>
        <r>
          <rPr>
            <sz val="8"/>
            <color rgb="FF000000"/>
            <rFont val="Calibri"/>
            <family val="2"/>
            <scheme val="minor"/>
          </rPr>
          <t>======
ID#AAAAMQJ-jNM
rthunell    (2021-04-29 11:55:23)
Emissions = 
(Activity/kg_ MT CF) x EF_Dir x N2O_N2 CF
kg_MT CF = 1000
EF_DIR = 0.01
N2O_N2 CF = 44/28</t>
        </r>
      </text>
    </comment>
    <comment ref="Q124" authorId="0" shapeId="0" xr:uid="{00000000-0006-0000-1800-00002E000000}">
      <text>
        <r>
          <rPr>
            <sz val="8"/>
            <color rgb="FF000000"/>
            <rFont val="Calibri"/>
            <family val="2"/>
            <scheme val="minor"/>
          </rPr>
          <t>======
ID#AAAAMQJ-jNo
rthunell    (2021-04-29 11:55:23)
rthunell:
Emissions = 
(Activity/kg_ MT CF) x EF_VOL x N2O_N2 CF
kg_MT CF = 1000
EF_VOL = 0.01
N2O_N2 CF = 44/28</t>
        </r>
      </text>
    </comment>
    <comment ref="K125" authorId="0" shapeId="0" xr:uid="{00000000-0006-0000-1800-00002F000000}">
      <text>
        <r>
          <rPr>
            <sz val="8"/>
            <color rgb="FF000000"/>
            <rFont val="Calibri"/>
            <family val="2"/>
            <scheme val="minor"/>
          </rPr>
          <t>======
ID#AAAAMQJ-jFc
DLekas    (2021-04-29 11:55:23)
According to the IPCC Good Practice Guidance, the manure portion of organic fertilizers is subtracted from the total of organic fertilizers.</t>
        </r>
      </text>
    </comment>
    <comment ref="M125" authorId="0" shapeId="0" xr:uid="{00000000-0006-0000-1800-000030000000}">
      <text>
        <r>
          <rPr>
            <sz val="8"/>
            <color rgb="FF000000"/>
            <rFont val="Calibri"/>
            <family val="2"/>
            <scheme val="minor"/>
          </rPr>
          <t>======
ID#AAAAMQJ-jKE
DLekas    (2021-04-29 11:55:23)
According to the IPCC Good Practice Guidance, the manure portion of organic fertilizers is subtracted from the total of organic fertilizers.</t>
        </r>
      </text>
    </comment>
    <comment ref="B135" authorId="0" shapeId="0" xr:uid="{00000000-0006-0000-1800-000031000000}">
      <text>
        <r>
          <rPr>
            <sz val="8"/>
            <color rgb="FF000000"/>
            <rFont val="Calibri"/>
            <family val="2"/>
            <scheme val="minor"/>
          </rPr>
          <t>======
ID#AAAAMQJ-jQY
DLekas    (2021-04-29 11:55:23)
According to the IPCC Good Practice Guidance, the manure portion of organic fertilizers is subtracted from the total of organic fertilizers.</t>
        </r>
      </text>
    </comment>
    <comment ref="B151" authorId="0" shapeId="0" xr:uid="{00000000-0006-0000-1800-000032000000}">
      <text>
        <r>
          <rPr>
            <sz val="8"/>
            <color rgb="FF000000"/>
            <rFont val="Calibri"/>
            <family val="2"/>
            <scheme val="minor"/>
          </rPr>
          <t>======
ID#AAAAMQJ-jJs
DLekas    (2021-04-29 11:55:23)
According to the IPCC Good Practice Guidance, the manure portion of organic fertilizers is subtracted from the total of organic fertilizers.</t>
        </r>
      </text>
    </comment>
    <comment ref="E155" authorId="0" shapeId="0" xr:uid="{00000000-0006-0000-1800-000033000000}">
      <text>
        <r>
          <rPr>
            <sz val="8"/>
            <color rgb="FF000000"/>
            <rFont val="Calibri"/>
            <family val="2"/>
            <scheme val="minor"/>
          </rPr>
          <t>======
ID#AAAAMQJ-jSA
rthunell    (2021-04-29 11:55:23)
TAM: Typical Animal Mass</t>
        </r>
      </text>
    </comment>
    <comment ref="K155" authorId="0" shapeId="0" xr:uid="{00000000-0006-0000-1800-000034000000}">
      <text>
        <r>
          <rPr>
            <sz val="8"/>
            <color rgb="FF000000"/>
            <rFont val="Calibri"/>
            <family val="2"/>
            <scheme val="minor"/>
          </rPr>
          <t>======
ID#AAAAMQJ-jS0
DLekas    (2021-04-29 11:55:23)
Volatilization = 20%; 
NH3-NOx EF (kg N2O/kg N) = 0.01</t>
        </r>
      </text>
    </comment>
    <comment ref="S155" authorId="0" shapeId="0" xr:uid="{00000000-0006-0000-1800-000035000000}">
      <text>
        <r>
          <rPr>
            <sz val="8"/>
            <color rgb="FF000000"/>
            <rFont val="Calibri"/>
            <family val="2"/>
            <scheme val="minor"/>
          </rPr>
          <t>======
ID#AAAAMQJ-jMM
rthunell    (2021-04-29 11:55:23)
Volatilization = 20%; 
NonVOL EF (kg N2O/kg N) = 0.0125
Poultry Not Managed = 0.042</t>
        </r>
      </text>
    </comment>
    <comment ref="U155" authorId="0" shapeId="0" xr:uid="{00000000-0006-0000-1800-000036000000}">
      <text>
        <r>
          <rPr>
            <sz val="8"/>
            <color rgb="FF000000"/>
            <rFont val="Calibri"/>
            <family val="2"/>
            <scheme val="minor"/>
          </rPr>
          <t>======
ID#AAAAMQJ-jQA
rthunell    (2021-04-29 11:55:23)
prtEF = 0.02</t>
        </r>
      </text>
    </comment>
    <comment ref="W155" authorId="0" shapeId="0" xr:uid="{00000000-0006-0000-1800-000037000000}">
      <text>
        <r>
          <rPr>
            <sz val="8"/>
            <color rgb="FF000000"/>
            <rFont val="Calibri"/>
            <family val="2"/>
            <scheme val="minor"/>
          </rPr>
          <t>======
ID#AAAAMQJ-jPE
rthunell    (2021-04-29 11:55:23)
Leach EF = 0.30
Runoff/Leach EF = 0.0075</t>
        </r>
      </text>
    </comment>
    <comment ref="BN155" authorId="0" shapeId="0" xr:uid="{00000000-0006-0000-1800-000038000000}">
      <text>
        <r>
          <rPr>
            <sz val="8"/>
            <color rgb="FF000000"/>
            <rFont val="Calibri"/>
            <family val="2"/>
            <scheme val="minor"/>
          </rPr>
          <t>======
ID#AAAAMQJ-jJE
DLekas    (2021-04-29 11:55:23)
Source: EIIP Table 7.4.6</t>
        </r>
      </text>
    </comment>
    <comment ref="BQ155" authorId="0" shapeId="0" xr:uid="{00000000-0006-0000-1800-000039000000}">
      <text>
        <r>
          <rPr>
            <sz val="8"/>
            <color rgb="FF000000"/>
            <rFont val="Calibri"/>
            <family val="2"/>
            <scheme val="minor"/>
          </rPr>
          <t>======
ID#AAAAMQJ-jFs
DLekas    (2021-04-29 11:55:23)
Source: EIIP Table 7.4.7</t>
        </r>
      </text>
    </comment>
    <comment ref="BU155" authorId="0" shapeId="0" xr:uid="{00000000-0006-0000-1800-00003A000000}">
      <text>
        <r>
          <rPr>
            <sz val="8"/>
            <color rgb="FF000000"/>
            <rFont val="Calibri"/>
            <family val="2"/>
            <scheme val="minor"/>
          </rPr>
          <t>======
ID#AAAAMQJ-jJw
DLekas    (2021-04-29 11:55:23)
US Inventory
0% was assumed for both on feed and not on feed sheep for states without sheep data</t>
        </r>
      </text>
    </comment>
    <comment ref="BY155" authorId="0" shapeId="0" xr:uid="{00000000-0006-0000-1800-00003B000000}">
      <text>
        <r>
          <rPr>
            <sz val="8"/>
            <color rgb="FF000000"/>
            <rFont val="Calibri"/>
            <family val="2"/>
            <scheme val="minor"/>
          </rPr>
          <t>======
ID#AAAAMQJ-jH0
DLekas    (2021-04-29 11:55:23)
Pgroth: Changed to 100% PRP in 1/03 per discussion w/Joe Mangino.</t>
        </r>
      </text>
    </comment>
    <comment ref="CB155" authorId="0" shapeId="0" xr:uid="{00000000-0006-0000-1800-00003C000000}">
      <text>
        <r>
          <rPr>
            <sz val="8"/>
            <color rgb="FF000000"/>
            <rFont val="Calibri"/>
            <family val="2"/>
            <scheme val="minor"/>
          </rPr>
          <t>======
ID#AAAAMQJ-jN0
DLekas    (2021-04-29 11:55:23)
Pgroth: Changed to 100% PRP in 1/03 per discussion w/Joe Mangino.</t>
        </r>
      </text>
    </comment>
    <comment ref="BI156" authorId="0" shapeId="0" xr:uid="{00000000-0006-0000-1800-00003D000000}">
      <text>
        <r>
          <rPr>
            <sz val="8"/>
            <color rgb="FF000000"/>
            <rFont val="Calibri"/>
            <family val="2"/>
            <scheme val="minor"/>
          </rPr>
          <t>======
ID#AAAAMQJ-jPs
Philip Groth    (2021-04-29 11:55:23)
ERG:
Assumed "Other" Systems fall into a category with an emission factor similar to solid storage.</t>
        </r>
      </text>
    </comment>
    <comment ref="C160" authorId="0" shapeId="0" xr:uid="{00000000-0006-0000-1800-00003E000000}">
      <text>
        <r>
          <rPr>
            <sz val="8"/>
            <color rgb="FF000000"/>
            <rFont val="Calibri"/>
            <family val="2"/>
            <scheme val="minor"/>
          </rPr>
          <t>======
ID#AAAAMQJ-jJ8
sal    (2021-04-29 11:55:23)
SIT 2009 default</t>
        </r>
      </text>
    </comment>
    <comment ref="C161" authorId="0" shapeId="0" xr:uid="{00000000-0006-0000-1800-00003F000000}">
      <text>
        <r>
          <rPr>
            <sz val="8"/>
            <color rgb="FF000000"/>
            <rFont val="Calibri"/>
            <family val="2"/>
            <scheme val="minor"/>
          </rPr>
          <t>======
ID#AAAAMQJ-jNE
sal    (2021-04-29 11:55:23)
SIT 2009 Default</t>
        </r>
      </text>
    </comment>
    <comment ref="B166" authorId="0" shapeId="0" xr:uid="{00000000-0006-0000-1800-000040000000}">
      <text>
        <r>
          <rPr>
            <sz val="8"/>
            <color rgb="FF000000"/>
            <rFont val="Calibri"/>
            <family val="2"/>
            <scheme val="minor"/>
          </rPr>
          <t>======
ID#AAAAMQJ-jHk
12796    (2021-04-29 11:55:23)
Includes Heifer Stockers and Beef Replacement Heifers.</t>
        </r>
      </text>
    </comment>
    <comment ref="C166" authorId="0" shapeId="0" xr:uid="{00000000-0006-0000-1800-000041000000}">
      <text>
        <r>
          <rPr>
            <sz val="8"/>
            <color rgb="FF000000"/>
            <rFont val="Calibri"/>
            <family val="2"/>
            <scheme val="minor"/>
          </rPr>
          <t>======
ID#AAAAMQJ-jRE
sal    (2021-04-29 11:55:23)
Total Beef Heifers = Heifer Stockers + Beef Replacement Heifer</t>
        </r>
      </text>
    </comment>
    <comment ref="C170" authorId="0" shapeId="0" xr:uid="{00000000-0006-0000-1800-000042000000}">
      <text>
        <r>
          <rPr>
            <sz val="8"/>
            <color rgb="FF000000"/>
            <rFont val="Calibri"/>
            <family val="2"/>
            <scheme val="minor"/>
          </rPr>
          <t>======
ID#AAAAMQJ-jHQ
sal    (2021-04-29 11:55:23)
USDA 2007 data</t>
        </r>
      </text>
    </comment>
    <comment ref="C175" authorId="0" shapeId="0" xr:uid="{00000000-0006-0000-1800-000043000000}">
      <text>
        <r>
          <rPr>
            <sz val="8"/>
            <color rgb="FF000000"/>
            <rFont val="Calibri"/>
            <family val="2"/>
            <scheme val="minor"/>
          </rPr>
          <t>======
ID#AAAAMQJ-jFM
sal    (2021-04-29 11:55:23)
SIT 2009 Default data</t>
        </r>
      </text>
    </comment>
    <comment ref="C176" authorId="0" shapeId="0" xr:uid="{00000000-0006-0000-1800-000044000000}">
      <text>
        <r>
          <rPr>
            <sz val="8"/>
            <color rgb="FF000000"/>
            <rFont val="Calibri"/>
            <family val="2"/>
            <scheme val="minor"/>
          </rPr>
          <t>======
ID#AAAAMQJ-jJ0
sal    (2021-04-29 11:55:23)
SIT 2009 Default data</t>
        </r>
      </text>
    </comment>
    <comment ref="C177" authorId="0" shapeId="0" xr:uid="{00000000-0006-0000-1800-000045000000}">
      <text>
        <r>
          <rPr>
            <sz val="8"/>
            <color rgb="FF000000"/>
            <rFont val="Calibri"/>
            <family val="2"/>
            <scheme val="minor"/>
          </rPr>
          <t>======
ID#AAAAMQJ-jO4
sal    (2021-04-29 11:55:23)
SIT 2009 Default data</t>
        </r>
      </text>
    </comment>
    <comment ref="B178" authorId="0" shapeId="0" xr:uid="{00000000-0006-0000-1800-000046000000}">
      <text>
        <r>
          <rPr>
            <sz val="8"/>
            <color rgb="FF000000"/>
            <rFont val="Calibri"/>
            <family val="2"/>
            <scheme val="minor"/>
          </rPr>
          <t>======
ID#AAAAMQJ-jLo
DLekas    (2021-04-29 11:55:23)
Includes: Regular Broilers, Other (Lost), and Other (Sold)</t>
        </r>
      </text>
    </comment>
    <comment ref="C178" authorId="0" shapeId="0" xr:uid="{00000000-0006-0000-1800-000047000000}">
      <text>
        <r>
          <rPr>
            <sz val="8"/>
            <color rgb="FF000000"/>
            <rFont val="Calibri"/>
            <family val="2"/>
            <scheme val="minor"/>
          </rPr>
          <t>======
ID#AAAAMQJ-jJA
sal    (2021-04-29 11:55:23)
SIT 2009 Default data</t>
        </r>
      </text>
    </comment>
    <comment ref="C179" authorId="0" shapeId="0" xr:uid="{00000000-0006-0000-1800-000048000000}">
      <text>
        <r>
          <rPr>
            <sz val="8"/>
            <color rgb="FF000000"/>
            <rFont val="Calibri"/>
            <family val="2"/>
            <scheme val="minor"/>
          </rPr>
          <t>======
ID#AAAAMQJ-jSs
sal    (2021-04-29 11:55:23)
SIT 2009 Default data</t>
        </r>
      </text>
    </comment>
    <comment ref="C182" authorId="0" shapeId="0" xr:uid="{00000000-0006-0000-1800-000049000000}">
      <text>
        <r>
          <rPr>
            <sz val="8"/>
            <color rgb="FF000000"/>
            <rFont val="Calibri"/>
            <family val="2"/>
            <scheme val="minor"/>
          </rPr>
          <t>======
ID#AAAAMQJ-jGs
sal    (2021-04-29 11:55:23)
USDA 2009 data</t>
        </r>
      </text>
    </comment>
    <comment ref="C184" authorId="0" shapeId="0" xr:uid="{00000000-0006-0000-1800-00004A000000}">
      <text>
        <r>
          <rPr>
            <sz val="8"/>
            <color rgb="FF000000"/>
            <rFont val="Calibri"/>
            <family val="2"/>
            <scheme val="minor"/>
          </rPr>
          <t>======
ID#AAAAMQJ-jSo
sal    (2021-04-29 11:55:23)
2010 Maryland Equine Census,march 03,11; 2010 data</t>
        </r>
      </text>
    </comment>
    <comment ref="G197" authorId="0" shapeId="0" xr:uid="{00000000-0006-0000-1800-00004B000000}">
      <text>
        <r>
          <rPr>
            <sz val="8"/>
            <color rgb="FF000000"/>
            <rFont val="Calibri"/>
            <family val="2"/>
            <scheme val="minor"/>
          </rPr>
          <t>======
ID#AAAAMQJ-jOk
J Casola    (2021-04-29 11:55:23)
Corn for Grain, All Wheat, Barley, Sorghum, Oats, Rye, and Soybeans back-calculated from bushel and tonnage values found in "Field Crops, Final Estimates, 1992-1997" SB 947a USDA/NASS. Other crops assumed conversion 0.027215</t>
        </r>
      </text>
    </comment>
    <comment ref="Y197" authorId="0" shapeId="0" xr:uid="{00000000-0006-0000-1800-00004C000000}">
      <text>
        <r>
          <rPr>
            <sz val="8"/>
            <color rgb="FF000000"/>
            <rFont val="Calibri"/>
            <family val="2"/>
            <scheme val="minor"/>
          </rPr>
          <t>======
ID#AAAAMQJ-jOc
sal    (2021-04-29 11:55:23)
CH4 Emission = Total C Released (metric tons C) *CH4-C Emission Ratio (0.005) * CH4- C Conversion factor (16/12)</t>
        </r>
      </text>
    </comment>
    <comment ref="Y212" authorId="0" shapeId="0" xr:uid="{00000000-0006-0000-1800-00004D000000}">
      <text>
        <r>
          <rPr>
            <sz val="8"/>
            <color rgb="FF000000"/>
            <rFont val="Calibri"/>
            <family val="2"/>
            <scheme val="minor"/>
          </rPr>
          <t>======
ID#AAAAMQJ-jGo
sal    (2021-04-29 11:55:23)
N2O Emission = Total N Released (metric tons C) *N2O-N Emission Ratio (0.007) * N2O- N Conversion factor (1.57)</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Z29" authorId="0" shapeId="0" xr:uid="{00000000-0006-0000-1300-000001000000}">
      <text>
        <r>
          <rPr>
            <sz val="8"/>
            <color rgb="FF000000"/>
            <rFont val="Calibri"/>
            <family val="2"/>
            <scheme val="minor"/>
          </rPr>
          <t>======
ID#AAAAMQJ-jRk
sal    (2021-04-29 11:55:23)
NO CH4 Emission Reported</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K60" authorId="0" shapeId="0" xr:uid="{00000000-0006-0000-1100-000001000000}">
      <text>
        <r>
          <rPr>
            <sz val="8"/>
            <color rgb="FF000000"/>
            <rFont val="Calibri"/>
            <family val="2"/>
            <scheme val="minor"/>
          </rPr>
          <t>Back calculated from Site Specific LFG Flow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Q46" authorId="0" shapeId="0" xr:uid="{00000000-0006-0000-1200-000001000000}">
      <text>
        <r>
          <rPr>
            <sz val="8"/>
            <color rgb="FF000000"/>
            <rFont val="Calibri"/>
            <family val="2"/>
            <scheme val="minor"/>
          </rPr>
          <t>Specified  in the ECR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E10" authorId="0" shapeId="0" xr:uid="{00000000-0006-0000-1700-000001000000}">
      <text>
        <r>
          <rPr>
            <sz val="8"/>
            <color rgb="FF000000"/>
            <rFont val="Calibri"/>
            <family val="2"/>
            <scheme val="minor"/>
          </rPr>
          <t>======
ID#AAAAMQJ-jHE
sal    (2021-04-29 11:55:23)
Based on 2011 Pop.</t>
        </r>
      </text>
    </comment>
    <comment ref="E16" authorId="0" shapeId="0" xr:uid="{00000000-0006-0000-1700-000002000000}">
      <text>
        <r>
          <rPr>
            <sz val="8"/>
            <color rgb="FF000000"/>
            <rFont val="Calibri"/>
            <family val="2"/>
            <scheme val="minor"/>
          </rPr>
          <t>======
ID#AAAAMQJ-jIw
sal    (2021-04-29 11:55:23)
2015 Available data.</t>
        </r>
      </text>
    </comment>
    <comment ref="C22" authorId="0" shapeId="0" xr:uid="{00000000-0006-0000-1700-000003000000}">
      <text>
        <r>
          <rPr>
            <sz val="8"/>
            <color rgb="FF000000"/>
            <rFont val="Calibri"/>
            <family val="2"/>
            <scheme val="minor"/>
          </rPr>
          <t>======
ID#AAAAMQJ-jKQ
sal    (2021-04-29 11:55:23)
2017 SIT Default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H164" authorId="0" shapeId="0" xr:uid="{00000000-0006-0000-0100-000001000000}">
      <text>
        <r>
          <rPr>
            <sz val="8"/>
            <color rgb="FF000000"/>
            <rFont val="Calibri"/>
            <family val="2"/>
            <scheme val="minor"/>
          </rPr>
          <t>Not mapped in this year due to funding</t>
        </r>
      </text>
    </comment>
    <comment ref="D211" authorId="0" shapeId="0" xr:uid="{00000000-0006-0000-0100-000002000000}">
      <text>
        <r>
          <rPr>
            <sz val="8"/>
            <color rgb="FF000000"/>
            <rFont val="Calibri"/>
            <family val="2"/>
            <scheme val="minor"/>
          </rPr>
          <t>Taken as ratio to methane emission from reservoir surface</t>
        </r>
      </text>
    </comment>
    <comment ref="D224" authorId="0" shapeId="0" xr:uid="{00000000-0006-0000-0100-000003000000}">
      <text>
        <r>
          <rPr>
            <sz val="8"/>
            <color rgb="FF000000"/>
            <rFont val="Calibri"/>
            <family val="2"/>
            <scheme val="minor"/>
          </rPr>
          <t>Taken as ratio to methane emission from reservoir surface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K95" authorId="0" shapeId="0" xr:uid="{00000000-0006-0000-0200-000001000000}">
      <text>
        <r>
          <rPr>
            <sz val="8"/>
            <color rgb="FF000000"/>
            <rFont val="Calibri"/>
            <family val="2"/>
            <scheme val="minor"/>
          </rPr>
          <t>======
ID#AAAAMQJ-jQk
amohammed    (2021-04-29 11:55:23)
40 CFR 98</t>
        </r>
      </text>
    </comment>
    <comment ref="L95" authorId="0" shapeId="0" xr:uid="{00000000-0006-0000-0200-000002000000}">
      <text>
        <r>
          <rPr>
            <sz val="8"/>
            <color rgb="FF000000"/>
            <rFont val="Calibri"/>
            <family val="2"/>
            <scheme val="minor"/>
          </rPr>
          <t>======
ID#AAAAMQJ-jM8
amohammed    (2021-04-29 11:55:23)
40 CFR 98</t>
        </r>
      </text>
    </comment>
    <comment ref="M95" authorId="0" shapeId="0" xr:uid="{00000000-0006-0000-0200-000003000000}">
      <text>
        <r>
          <rPr>
            <sz val="8"/>
            <color rgb="FF000000"/>
            <rFont val="Calibri"/>
            <family val="2"/>
            <scheme val="minor"/>
          </rPr>
          <t>======
ID#AAAAMQJ-jJI
amohammed    (2021-04-29 11:55:23)
40 CFR 98</t>
        </r>
      </text>
    </comment>
    <comment ref="K97" authorId="0" shapeId="0" xr:uid="{00000000-0006-0000-0200-000004000000}">
      <text>
        <r>
          <rPr>
            <sz val="8"/>
            <color rgb="FF000000"/>
            <rFont val="Calibri"/>
            <family val="2"/>
            <scheme val="minor"/>
          </rPr>
          <t>======
ID#AAAAMQJ-jR0
amohammed    (2021-04-29 11:55:23)
40 CFR 98</t>
        </r>
      </text>
    </comment>
    <comment ref="L97" authorId="0" shapeId="0" xr:uid="{00000000-0006-0000-0200-000005000000}">
      <text>
        <r>
          <rPr>
            <sz val="8"/>
            <color rgb="FF000000"/>
            <rFont val="Calibri"/>
            <family val="2"/>
            <scheme val="minor"/>
          </rPr>
          <t>======
ID#AAAAMQJ-jN8
amohammed    (2021-04-29 11:55:23)
40 CFR 98</t>
        </r>
      </text>
    </comment>
    <comment ref="M97" authorId="0" shapeId="0" xr:uid="{00000000-0006-0000-0200-000006000000}">
      <text>
        <r>
          <rPr>
            <sz val="8"/>
            <color rgb="FF000000"/>
            <rFont val="Calibri"/>
            <family val="2"/>
            <scheme val="minor"/>
          </rPr>
          <t>======
ID#AAAAMQJ-jHY
amohammed    (2021-04-29 11:55:23)
40 CFR 98</t>
        </r>
      </text>
    </comment>
    <comment ref="K107" authorId="0" shapeId="0" xr:uid="{00000000-0006-0000-0200-000007000000}">
      <text>
        <r>
          <rPr>
            <sz val="8"/>
            <color rgb="FF000000"/>
            <rFont val="Calibri"/>
            <family val="2"/>
            <scheme val="minor"/>
          </rPr>
          <t>======
ID#AAAAMQJ-jG8
amohammed    (2021-04-29 11:55:23)
40 CFR 98</t>
        </r>
      </text>
    </comment>
    <comment ref="L107" authorId="0" shapeId="0" xr:uid="{00000000-0006-0000-0200-000008000000}">
      <text>
        <r>
          <rPr>
            <sz val="8"/>
            <color rgb="FF000000"/>
            <rFont val="Calibri"/>
            <family val="2"/>
            <scheme val="minor"/>
          </rPr>
          <t>======
ID#AAAAMQJ-jL0
amohammed    (2021-04-29 11:55:23)
40 CFR 98</t>
        </r>
      </text>
    </comment>
    <comment ref="M107" authorId="0" shapeId="0" xr:uid="{00000000-0006-0000-0200-000009000000}">
      <text>
        <r>
          <rPr>
            <sz val="8"/>
            <color rgb="FF000000"/>
            <rFont val="Calibri"/>
            <family val="2"/>
            <scheme val="minor"/>
          </rPr>
          <t>======
ID#AAAAMQJ-jTk
amohammed    (2021-04-29 11:55:23)
40 CFR 98</t>
        </r>
      </text>
    </comment>
    <comment ref="K108" authorId="0" shapeId="0" xr:uid="{00000000-0006-0000-0200-00000A000000}">
      <text>
        <r>
          <rPr>
            <sz val="8"/>
            <color rgb="FF000000"/>
            <rFont val="Calibri"/>
            <family val="2"/>
            <scheme val="minor"/>
          </rPr>
          <t>======
ID#AAAAMQJ-jFQ
amohammed    (2021-04-29 11:55:23)
40 CFR 98</t>
        </r>
      </text>
    </comment>
    <comment ref="L108" authorId="0" shapeId="0" xr:uid="{00000000-0006-0000-0200-00000B000000}">
      <text>
        <r>
          <rPr>
            <sz val="8"/>
            <color rgb="FF000000"/>
            <rFont val="Calibri"/>
            <family val="2"/>
            <scheme val="minor"/>
          </rPr>
          <t>======
ID#AAAAMQJ-jL8
amohammed    (2021-04-29 11:55:23)
40 CFR 98</t>
        </r>
      </text>
    </comment>
    <comment ref="M108" authorId="0" shapeId="0" xr:uid="{00000000-0006-0000-0200-00000C000000}">
      <text>
        <r>
          <rPr>
            <sz val="8"/>
            <color rgb="FF000000"/>
            <rFont val="Calibri"/>
            <family val="2"/>
            <scheme val="minor"/>
          </rPr>
          <t>======
ID#AAAAMQJ-jMg
amohammed    (2021-04-29 11:55:23)
40 CFR 98</t>
        </r>
      </text>
    </comment>
    <comment ref="K109" authorId="0" shapeId="0" xr:uid="{00000000-0006-0000-0200-00000D000000}">
      <text>
        <r>
          <rPr>
            <sz val="8"/>
            <color rgb="FF000000"/>
            <rFont val="Calibri"/>
            <family val="2"/>
            <scheme val="minor"/>
          </rPr>
          <t>======
ID#AAAAMQJ-jL4
amohammed    (2021-04-29 11:55:23)
40 CFR 98</t>
        </r>
      </text>
    </comment>
    <comment ref="L109" authorId="0" shapeId="0" xr:uid="{00000000-0006-0000-0200-00000E000000}">
      <text>
        <r>
          <rPr>
            <sz val="8"/>
            <color rgb="FF000000"/>
            <rFont val="Calibri"/>
            <family val="2"/>
            <scheme val="minor"/>
          </rPr>
          <t>======
ID#AAAAMQJ-jTA
amohammed    (2021-04-29 11:55:23)
40 CFR 98</t>
        </r>
      </text>
    </comment>
    <comment ref="M109" authorId="0" shapeId="0" xr:uid="{00000000-0006-0000-0200-00000F000000}">
      <text>
        <r>
          <rPr>
            <sz val="8"/>
            <color rgb="FF000000"/>
            <rFont val="Calibri"/>
            <family val="2"/>
            <scheme val="minor"/>
          </rPr>
          <t>======
ID#AAAAMQJ-jSY
amohammed    (2021-04-29 11:55:23)
40 CFR 98</t>
        </r>
      </text>
    </comment>
    <comment ref="J372" authorId="0" shapeId="0" xr:uid="{00000000-0006-0000-0200-000010000000}">
      <text>
        <r>
          <rPr>
            <sz val="8"/>
            <color rgb="FF000000"/>
            <rFont val="Calibri"/>
            <family val="2"/>
            <scheme val="minor"/>
          </rPr>
          <t>======
ID#AAAAMQJ-jOw
amohammed    (2021-04-29 11:55:23)
MMBTU Reported and used to Backcalculate Qty</t>
        </r>
      </text>
    </comment>
    <comment ref="F390" authorId="0" shapeId="0" xr:uid="{00000000-0006-0000-0200-000011000000}">
      <text>
        <r>
          <rPr>
            <sz val="8"/>
            <color rgb="FF000000"/>
            <rFont val="Calibri"/>
            <family val="2"/>
            <scheme val="minor"/>
          </rPr>
          <t>======
ID#AAAAMQJ-jLg
sal    (2021-04-29 11:55:23)
Back Caclulation from MMBTU</t>
        </r>
      </text>
    </comment>
    <comment ref="F391" authorId="0" shapeId="0" xr:uid="{00000000-0006-0000-0200-000012000000}">
      <text>
        <r>
          <rPr>
            <sz val="8"/>
            <color rgb="FF000000"/>
            <rFont val="Calibri"/>
            <family val="2"/>
            <scheme val="minor"/>
          </rPr>
          <t>======
ID#AAAAMQJ-jLE
sal    (2021-04-29 11:55:23)
Back Caclulation from MMBTU</t>
        </r>
      </text>
    </comment>
    <comment ref="F392" authorId="0" shapeId="0" xr:uid="{00000000-0006-0000-0200-000013000000}">
      <text>
        <r>
          <rPr>
            <sz val="8"/>
            <color rgb="FF000000"/>
            <rFont val="Calibri"/>
            <family val="2"/>
            <scheme val="minor"/>
          </rPr>
          <t>======
ID#AAAAMQJ-jM4
sal    (2021-04-29 11:55:23)
Back Caclulation from MMBTU</t>
        </r>
      </text>
    </comment>
    <comment ref="F393" authorId="0" shapeId="0" xr:uid="{00000000-0006-0000-0200-000014000000}">
      <text>
        <r>
          <rPr>
            <sz val="8"/>
            <color rgb="FF000000"/>
            <rFont val="Calibri"/>
            <family val="2"/>
            <scheme val="minor"/>
          </rPr>
          <t>======
ID#AAAAMQJ-jJk
sal    (2021-04-29 11:55:23)
Back Caclulation from MMBTU</t>
        </r>
      </text>
    </comment>
    <comment ref="B424" authorId="0" shapeId="0" xr:uid="{00000000-0006-0000-0200-000015000000}">
      <text>
        <r>
          <rPr>
            <sz val="8"/>
            <color rgb="FF000000"/>
            <rFont val="Calibri"/>
            <family val="2"/>
            <scheme val="minor"/>
          </rPr>
          <t>======
ID#AAAAMQJ-jNg
amohammed    (2021-04-29 11:55:23)
Luke MMBTU Added</t>
        </r>
      </text>
    </comment>
    <comment ref="B427" authorId="0" shapeId="0" xr:uid="{00000000-0006-0000-0200-000016000000}">
      <text>
        <r>
          <rPr>
            <sz val="8"/>
            <color rgb="FF000000"/>
            <rFont val="Calibri"/>
            <family val="2"/>
            <scheme val="minor"/>
          </rPr>
          <t>======
ID#AAAAMQJ-jFI
amohammed    (2021-04-29 11:55:23)
Luke MMBTU Added</t>
        </r>
      </text>
    </comment>
    <comment ref="G435" authorId="0" shapeId="0" xr:uid="{00000000-0006-0000-0200-000017000000}">
      <text>
        <r>
          <rPr>
            <sz val="8"/>
            <color rgb="FF000000"/>
            <rFont val="Calibri"/>
            <family val="2"/>
            <scheme val="minor"/>
          </rPr>
          <t>======
ID#AAAAMQJ-jI0
Philip Groth    (2021-04-29 11:55:23)
MMTCE is converted to MMTCO2E by multiplying by 44/12.</t>
        </r>
      </text>
    </comment>
    <comment ref="G447" authorId="0" shapeId="0" xr:uid="{00000000-0006-0000-0200-000018000000}">
      <text>
        <r>
          <rPr>
            <sz val="8"/>
            <color rgb="FF000000"/>
            <rFont val="Calibri"/>
            <family val="2"/>
            <scheme val="minor"/>
          </rPr>
          <t>======
ID#AAAAMQJ-jQo
Philip Groth    (2021-04-29 11:55:23)
MMTCE is converted to MMTCO2E by multiplying by 44/12.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14" authorId="0" shapeId="0" xr:uid="{00000000-0006-0000-0400-000001000000}">
      <text>
        <r>
          <rPr>
            <sz val="8"/>
            <color rgb="FF000000"/>
            <rFont val="Calibri"/>
            <family val="2"/>
            <scheme val="minor"/>
          </rPr>
          <t>======
ID#AAAAMQJ-jMU
amohammed    (2021-04-29 11:55:23)
Back Calculation from MMBTU gives11,374
VS 10,887 Btu/lb HHV</t>
        </r>
      </text>
    </comment>
    <comment ref="E14" authorId="0" shapeId="0" xr:uid="{00000000-0006-0000-0400-000002000000}">
      <text>
        <r>
          <rPr>
            <sz val="8"/>
            <color rgb="FF000000"/>
            <rFont val="Calibri"/>
            <family val="2"/>
            <scheme val="minor"/>
          </rPr>
          <t>======
ID#AAAAMQJ-jNA
amohammed    (2021-04-29 11:55:23)
141,324 Btu/gal</t>
        </r>
      </text>
    </comment>
    <comment ref="F14" authorId="0" shapeId="0" xr:uid="{00000000-0006-0000-0400-000003000000}">
      <text>
        <r>
          <rPr>
            <sz val="8"/>
            <color rgb="FF000000"/>
            <rFont val="Calibri"/>
            <family val="2"/>
            <scheme val="minor"/>
          </rPr>
          <t>======
ID#AAAAMQJ-jPY
amohammed    (2021-04-29 11:55:23)
139,000 Btu/gal</t>
        </r>
      </text>
    </comment>
    <comment ref="G14" authorId="0" shapeId="0" xr:uid="{00000000-0006-0000-0400-000004000000}">
      <text>
        <r>
          <rPr>
            <sz val="8"/>
            <color rgb="FF000000"/>
            <rFont val="Calibri"/>
            <family val="2"/>
            <scheme val="minor"/>
          </rPr>
          <t>======
ID#AAAAMQJ-jGQ
amohammed    (2021-04-29 11:55:23)
4,643 Btu/lbs HHV.</t>
        </r>
      </text>
    </comment>
    <comment ref="H14" authorId="0" shapeId="0" xr:uid="{00000000-0006-0000-0400-000005000000}">
      <text>
        <r>
          <rPr>
            <sz val="8"/>
            <color rgb="FF000000"/>
            <rFont val="Calibri"/>
            <family val="2"/>
            <scheme val="minor"/>
          </rPr>
          <t>======
ID#AAAAMQJ-jKc
amohammed    (2021-04-29 11:55:23)
1,053 Btu/scf</t>
        </r>
      </text>
    </comment>
    <comment ref="I18" authorId="0" shapeId="0" xr:uid="{00000000-0006-0000-0400-000006000000}">
      <text>
        <r>
          <rPr>
            <sz val="8"/>
            <color rgb="FF000000"/>
            <rFont val="Calibri"/>
            <family val="2"/>
            <scheme val="minor"/>
          </rPr>
          <t>======
ID#AAAAMQJ-jM0
amohammed    (2021-04-29 11:55:23)
CEM Measurement.</t>
        </r>
      </text>
    </comment>
    <comment ref="I22" authorId="0" shapeId="0" xr:uid="{00000000-0006-0000-0400-000007000000}">
      <text>
        <r>
          <rPr>
            <sz val="8"/>
            <color rgb="FF000000"/>
            <rFont val="Calibri"/>
            <family val="2"/>
            <scheme val="minor"/>
          </rPr>
          <t>======
ID#AAAAMQJ-jQE
amohammed    (2021-04-29 11:55:23)
CEM Measurement.</t>
        </r>
      </text>
    </comment>
    <comment ref="I26" authorId="0" shapeId="0" xr:uid="{00000000-0006-0000-0400-000008000000}">
      <text>
        <r>
          <rPr>
            <sz val="8"/>
            <color rgb="FF000000"/>
            <rFont val="Calibri"/>
            <family val="2"/>
            <scheme val="minor"/>
          </rPr>
          <t>======
ID#AAAAMQJ-jGg
amohammed    (2021-04-29 11:55:23)
CEM Measurement.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K50" authorId="0" shapeId="0" xr:uid="{00000000-0006-0000-0500-000001000000}">
      <text>
        <r>
          <rPr>
            <sz val="8"/>
            <color rgb="FF000000"/>
            <rFont val="Calibri"/>
            <family val="2"/>
            <scheme val="minor"/>
          </rPr>
          <t>======
ID#AAAAMQJ-jLs
amohammed    (2021-04-29 11:55:23)
CEM</t>
        </r>
      </text>
    </comment>
    <comment ref="L50" authorId="0" shapeId="0" xr:uid="{00000000-0006-0000-0500-000002000000}">
      <text>
        <r>
          <rPr>
            <sz val="8"/>
            <color rgb="FF000000"/>
            <rFont val="Calibri"/>
            <family val="2"/>
            <scheme val="minor"/>
          </rPr>
          <t>======
ID#AAAAMQJ-jSU
amohammed    (2021-04-29 11:55:23)
40 CFR 98</t>
        </r>
      </text>
    </comment>
    <comment ref="M50" authorId="0" shapeId="0" xr:uid="{00000000-0006-0000-0500-000003000000}">
      <text>
        <r>
          <rPr>
            <sz val="8"/>
            <color rgb="FF000000"/>
            <rFont val="Calibri"/>
            <family val="2"/>
            <scheme val="minor"/>
          </rPr>
          <t>======
ID#AAAAMQJ-jEo
amohammed    (2021-04-29 11:55:23)
amohammed
40 CFR 98</t>
        </r>
      </text>
    </comment>
    <comment ref="K56" authorId="0" shapeId="0" xr:uid="{00000000-0006-0000-0500-000004000000}">
      <text>
        <r>
          <rPr>
            <sz val="8"/>
            <color rgb="FF000000"/>
            <rFont val="Calibri"/>
            <family val="2"/>
            <scheme val="minor"/>
          </rPr>
          <t>======
ID#AAAAMQJ-jQI
amohammed    (2021-04-29 11:55:23)
CEM</t>
        </r>
      </text>
    </comment>
    <comment ref="L56" authorId="0" shapeId="0" xr:uid="{00000000-0006-0000-0500-000005000000}">
      <text>
        <r>
          <rPr>
            <sz val="8"/>
            <color rgb="FF000000"/>
            <rFont val="Calibri"/>
            <family val="2"/>
            <scheme val="minor"/>
          </rPr>
          <t>======
ID#AAAAMQJ-jNQ
amohammed    (2021-04-29 11:55:23)
40 CFR 98</t>
        </r>
      </text>
    </comment>
    <comment ref="M56" authorId="0" shapeId="0" xr:uid="{00000000-0006-0000-0500-000006000000}">
      <text>
        <r>
          <rPr>
            <sz val="8"/>
            <color rgb="FF000000"/>
            <rFont val="Calibri"/>
            <family val="2"/>
            <scheme val="minor"/>
          </rPr>
          <t>======
ID#AAAAMQJ-jNY
amohammed    (2021-04-29 11:55:23)
40 CFR 98</t>
        </r>
      </text>
    </comment>
    <comment ref="K61" authorId="0" shapeId="0" xr:uid="{00000000-0006-0000-0500-000007000000}">
      <text>
        <r>
          <rPr>
            <sz val="8"/>
            <color rgb="FF000000"/>
            <rFont val="Calibri"/>
            <family val="2"/>
            <scheme val="minor"/>
          </rPr>
          <t>======
ID#AAAAMQJ-jKM
amohammed    (2021-04-29 11:55:23)
CEM</t>
        </r>
      </text>
    </comment>
    <comment ref="L61" authorId="0" shapeId="0" xr:uid="{00000000-0006-0000-0500-000008000000}">
      <text>
        <r>
          <rPr>
            <sz val="8"/>
            <color rgb="FF000000"/>
            <rFont val="Calibri"/>
            <family val="2"/>
            <scheme val="minor"/>
          </rPr>
          <t>======
ID#AAAAMQJ-jKw
amohammed    (2021-04-29 11:55:23)
40 CFR 98</t>
        </r>
      </text>
    </comment>
    <comment ref="M61" authorId="0" shapeId="0" xr:uid="{00000000-0006-0000-0500-000009000000}">
      <text>
        <r>
          <rPr>
            <sz val="8"/>
            <color rgb="FF000000"/>
            <rFont val="Calibri"/>
            <family val="2"/>
            <scheme val="minor"/>
          </rPr>
          <t>======
ID#AAAAMQJ-jKA
amohammed    (2021-04-29 11:55:23)
40 CFR 98</t>
        </r>
      </text>
    </comment>
    <comment ref="K68" authorId="0" shapeId="0" xr:uid="{00000000-0006-0000-0500-00000A000000}">
      <text>
        <r>
          <rPr>
            <sz val="8"/>
            <color rgb="FF000000"/>
            <rFont val="Calibri"/>
            <family val="2"/>
            <scheme val="minor"/>
          </rPr>
          <t>======
ID#AAAAMQJ-jJ4
amohammed    (2021-04-29 11:55:23)
40 CFR 98</t>
        </r>
      </text>
    </comment>
    <comment ref="L68" authorId="0" shapeId="0" xr:uid="{00000000-0006-0000-0500-00000B000000}">
      <text>
        <r>
          <rPr>
            <sz val="8"/>
            <color rgb="FF000000"/>
            <rFont val="Calibri"/>
            <family val="2"/>
            <scheme val="minor"/>
          </rPr>
          <t>======
ID#AAAAMQJ-jPk
amohammed    (2021-04-29 11:55:23)
40 CFR 98</t>
        </r>
      </text>
    </comment>
    <comment ref="M68" authorId="0" shapeId="0" xr:uid="{00000000-0006-0000-0500-00000C000000}">
      <text>
        <r>
          <rPr>
            <sz val="8"/>
            <color rgb="FF000000"/>
            <rFont val="Calibri"/>
            <family val="2"/>
            <scheme val="minor"/>
          </rPr>
          <t>======
ID#AAAAMQJ-jHA
amohammed    (2021-04-29 11:55:23)
40 CFR 98</t>
        </r>
      </text>
    </comment>
    <comment ref="K70" authorId="0" shapeId="0" xr:uid="{00000000-0006-0000-0500-00000D000000}">
      <text>
        <r>
          <rPr>
            <sz val="8"/>
            <color rgb="FF000000"/>
            <rFont val="Calibri"/>
            <family val="2"/>
            <scheme val="minor"/>
          </rPr>
          <t>======
ID#AAAAMQJ-jGk
amohammed    (2021-04-29 11:55:23)
40 CFR 98</t>
        </r>
      </text>
    </comment>
    <comment ref="L70" authorId="0" shapeId="0" xr:uid="{00000000-0006-0000-0500-00000E000000}">
      <text>
        <r>
          <rPr>
            <sz val="8"/>
            <color rgb="FF000000"/>
            <rFont val="Calibri"/>
            <family val="2"/>
            <scheme val="minor"/>
          </rPr>
          <t>======
ID#AAAAMQJ-jSc
amohammed    (2021-04-29 11:55:23)
40 CFR 98</t>
        </r>
      </text>
    </comment>
    <comment ref="M70" authorId="0" shapeId="0" xr:uid="{00000000-0006-0000-0500-00000F000000}">
      <text>
        <r>
          <rPr>
            <sz val="8"/>
            <color rgb="FF000000"/>
            <rFont val="Calibri"/>
            <family val="2"/>
            <scheme val="minor"/>
          </rPr>
          <t>======
ID#AAAAMQJ-jGI
amohammed    (2021-04-29 11:55:23)
40 CFR 98</t>
        </r>
      </text>
    </comment>
    <comment ref="K74" authorId="0" shapeId="0" xr:uid="{00000000-0006-0000-0500-000010000000}">
      <text>
        <r>
          <rPr>
            <sz val="8"/>
            <color rgb="FF000000"/>
            <rFont val="Calibri"/>
            <family val="2"/>
            <scheme val="minor"/>
          </rPr>
          <t>======
ID#AAAAMQJ-jRI
amohammed    (2021-04-29 11:55:23)
CEM</t>
        </r>
      </text>
    </comment>
    <comment ref="L74" authorId="0" shapeId="0" xr:uid="{00000000-0006-0000-0500-000011000000}">
      <text>
        <r>
          <rPr>
            <sz val="8"/>
            <color rgb="FF000000"/>
            <rFont val="Calibri"/>
            <family val="2"/>
            <scheme val="minor"/>
          </rPr>
          <t>======
ID#AAAAMQJ-jK0
amohammed    (2021-04-29 11:55:23)
40 CFR 98</t>
        </r>
      </text>
    </comment>
    <comment ref="M74" authorId="0" shapeId="0" xr:uid="{00000000-0006-0000-0500-000012000000}">
      <text>
        <r>
          <rPr>
            <sz val="8"/>
            <color rgb="FF000000"/>
            <rFont val="Calibri"/>
            <family val="2"/>
            <scheme val="minor"/>
          </rPr>
          <t>======
ID#AAAAMQJ-jMI
amohammed    (2021-04-29 11:55:23)
40 CFR 98</t>
        </r>
      </text>
    </comment>
    <comment ref="K78" authorId="0" shapeId="0" xr:uid="{00000000-0006-0000-0500-000013000000}">
      <text>
        <r>
          <rPr>
            <sz val="8"/>
            <color rgb="FF000000"/>
            <rFont val="Calibri"/>
            <family val="2"/>
            <scheme val="minor"/>
          </rPr>
          <t>======
ID#AAAAMQJ-jIc
amohammed    (2021-04-29 11:55:23)
CEM</t>
        </r>
      </text>
    </comment>
    <comment ref="L78" authorId="0" shapeId="0" xr:uid="{00000000-0006-0000-0500-000014000000}">
      <text>
        <r>
          <rPr>
            <sz val="8"/>
            <color rgb="FF000000"/>
            <rFont val="Calibri"/>
            <family val="2"/>
            <scheme val="minor"/>
          </rPr>
          <t>======
ID#AAAAMQJ-jNc
amohammed    (2021-04-29 11:55:23)
40 CFR 98</t>
        </r>
      </text>
    </comment>
    <comment ref="K82" authorId="0" shapeId="0" xr:uid="{00000000-0006-0000-0500-000015000000}">
      <text>
        <r>
          <rPr>
            <sz val="8"/>
            <color rgb="FF000000"/>
            <rFont val="Calibri"/>
            <family val="2"/>
            <scheme val="minor"/>
          </rPr>
          <t>======
ID#AAAAMQJ-jKg
amohammed    (2021-04-29 11:55:23)
CEM</t>
        </r>
      </text>
    </comment>
    <comment ref="L82" authorId="0" shapeId="0" xr:uid="{00000000-0006-0000-0500-000016000000}">
      <text>
        <r>
          <rPr>
            <sz val="8"/>
            <color rgb="FF000000"/>
            <rFont val="Calibri"/>
            <family val="2"/>
            <scheme val="minor"/>
          </rPr>
          <t>======
ID#AAAAMQJ-jSI
amohammed    (2021-04-29 11:55:23)
40 CFR 98</t>
        </r>
      </text>
    </comment>
    <comment ref="K86" authorId="0" shapeId="0" xr:uid="{00000000-0006-0000-0500-000017000000}">
      <text>
        <r>
          <rPr>
            <sz val="8"/>
            <color rgb="FF000000"/>
            <rFont val="Calibri"/>
            <family val="2"/>
            <scheme val="minor"/>
          </rPr>
          <t>======
ID#AAAAMQJ-jNs
amohammed    (2021-04-29 11:55:23)
CEM</t>
        </r>
      </text>
    </comment>
    <comment ref="L86" authorId="0" shapeId="0" xr:uid="{00000000-0006-0000-0500-000018000000}">
      <text>
        <r>
          <rPr>
            <sz val="8"/>
            <color rgb="FF000000"/>
            <rFont val="Calibri"/>
            <family val="2"/>
            <scheme val="minor"/>
          </rPr>
          <t>======
ID#AAAAMQJ-jEc
amohammed    (2021-04-29 11:55:23)
40 CFR 98</t>
        </r>
      </text>
    </comment>
    <comment ref="M86" authorId="0" shapeId="0" xr:uid="{00000000-0006-0000-0500-000019000000}">
      <text>
        <r>
          <rPr>
            <sz val="8"/>
            <color rgb="FF000000"/>
            <rFont val="Calibri"/>
            <family val="2"/>
            <scheme val="minor"/>
          </rPr>
          <t>======
ID#AAAAMQJ-jF0
amohammed    (2021-04-29 11:55:23)
40 CFR 98</t>
        </r>
      </text>
    </comment>
    <comment ref="K88" authorId="0" shapeId="0" xr:uid="{00000000-0006-0000-0500-00001A000000}">
      <text>
        <r>
          <rPr>
            <sz val="8"/>
            <color rgb="FF000000"/>
            <rFont val="Calibri"/>
            <family val="2"/>
            <scheme val="minor"/>
          </rPr>
          <t>======
ID#AAAAMQJ-jH8
amohammed    (2021-04-29 11:55:23)
40 CFR 98</t>
        </r>
      </text>
    </comment>
    <comment ref="L88" authorId="0" shapeId="0" xr:uid="{00000000-0006-0000-0500-00001B000000}">
      <text>
        <r>
          <rPr>
            <sz val="8"/>
            <color rgb="FF000000"/>
            <rFont val="Calibri"/>
            <family val="2"/>
            <scheme val="minor"/>
          </rPr>
          <t>======
ID#AAAAMQJ-jKo
amohammed    (2021-04-29 11:55:23)
40 CFR 98</t>
        </r>
      </text>
    </comment>
    <comment ref="M88" authorId="0" shapeId="0" xr:uid="{00000000-0006-0000-0500-00001C000000}">
      <text>
        <r>
          <rPr>
            <sz val="8"/>
            <color rgb="FF000000"/>
            <rFont val="Calibri"/>
            <family val="2"/>
            <scheme val="minor"/>
          </rPr>
          <t>======
ID#AAAAMQJ-jHI
amohammed    (2021-04-29 11:55:23)
40 CFR 98</t>
        </r>
      </text>
    </comment>
    <comment ref="K89" authorId="0" shapeId="0" xr:uid="{00000000-0006-0000-0500-00001D000000}">
      <text>
        <r>
          <rPr>
            <sz val="8"/>
            <color rgb="FF000000"/>
            <rFont val="Calibri"/>
            <family val="2"/>
            <scheme val="minor"/>
          </rPr>
          <t>======
ID#AAAAMQJ-jPU
amohammed    (2021-04-29 11:55:23)
40 CFR 98</t>
        </r>
      </text>
    </comment>
    <comment ref="L89" authorId="0" shapeId="0" xr:uid="{00000000-0006-0000-0500-00001E000000}">
      <text>
        <r>
          <rPr>
            <sz val="8"/>
            <color rgb="FF000000"/>
            <rFont val="Calibri"/>
            <family val="2"/>
            <scheme val="minor"/>
          </rPr>
          <t>======
ID#AAAAMQJ-jPc
amohammed    (2021-04-29 11:55:23)
40 CFR 98</t>
        </r>
      </text>
    </comment>
    <comment ref="M89" authorId="0" shapeId="0" xr:uid="{00000000-0006-0000-0500-00001F000000}">
      <text>
        <r>
          <rPr>
            <sz val="8"/>
            <color rgb="FF000000"/>
            <rFont val="Calibri"/>
            <family val="2"/>
            <scheme val="minor"/>
          </rPr>
          <t>======
ID#AAAAMQJ-jOU
amohammed    (2021-04-29 11:55:23)
40 CFR 98</t>
        </r>
      </text>
    </comment>
    <comment ref="K90" authorId="0" shapeId="0" xr:uid="{00000000-0006-0000-0500-000020000000}">
      <text>
        <r>
          <rPr>
            <sz val="8"/>
            <color rgb="FF000000"/>
            <rFont val="Calibri"/>
            <family val="2"/>
            <scheme val="minor"/>
          </rPr>
          <t>======
ID#AAAAMQJ-jJo
amohammed    (2021-04-29 11:55:23)
40 CFR 98</t>
        </r>
      </text>
    </comment>
    <comment ref="L90" authorId="0" shapeId="0" xr:uid="{00000000-0006-0000-0500-000021000000}">
      <text>
        <r>
          <rPr>
            <sz val="8"/>
            <color rgb="FF000000"/>
            <rFont val="Calibri"/>
            <family val="2"/>
            <scheme val="minor"/>
          </rPr>
          <t>======
ID#AAAAMQJ-jFA
amohammed    (2021-04-29 11:55:23)
40 CFR 98</t>
        </r>
      </text>
    </comment>
    <comment ref="M90" authorId="0" shapeId="0" xr:uid="{00000000-0006-0000-0500-000022000000}">
      <text>
        <r>
          <rPr>
            <sz val="8"/>
            <color rgb="FF000000"/>
            <rFont val="Calibri"/>
            <family val="2"/>
            <scheme val="minor"/>
          </rPr>
          <t>======
ID#AAAAMQJ-jIQ
amohammed    (2021-04-29 11:55:23)
40 CFR 98</t>
        </r>
      </text>
    </comment>
    <comment ref="J227" authorId="0" shapeId="0" xr:uid="{00000000-0006-0000-0500-000023000000}">
      <text>
        <r>
          <rPr>
            <sz val="8"/>
            <color rgb="FF000000"/>
            <rFont val="Calibri"/>
            <family val="2"/>
            <scheme val="minor"/>
          </rPr>
          <t>======
ID#AAAAMQJ-jGU
amohammed    (2021-04-29 11:55:23)
MMBTU Reported and used to Backcalculate Qty</t>
        </r>
      </text>
    </comment>
    <comment ref="F258" authorId="0" shapeId="0" xr:uid="{00000000-0006-0000-0500-000024000000}">
      <text>
        <r>
          <rPr>
            <sz val="8"/>
            <color rgb="FF000000"/>
            <rFont val="Calibri"/>
            <family val="2"/>
            <scheme val="minor"/>
          </rPr>
          <t>======
ID#AAAAMQJ-jIU
sal    (2021-04-29 11:55:23)
Back Caclulation from MMBTU</t>
        </r>
      </text>
    </comment>
    <comment ref="F259" authorId="0" shapeId="0" xr:uid="{00000000-0006-0000-0500-000025000000}">
      <text>
        <r>
          <rPr>
            <sz val="8"/>
            <color rgb="FF000000"/>
            <rFont val="Calibri"/>
            <family val="2"/>
            <scheme val="minor"/>
          </rPr>
          <t>======
ID#AAAAMQJ-jN4
sal    (2021-04-29 11:55:23)
Back Caclulation from MMBTU</t>
        </r>
      </text>
    </comment>
    <comment ref="F260" authorId="0" shapeId="0" xr:uid="{00000000-0006-0000-0500-000026000000}">
      <text>
        <r>
          <rPr>
            <sz val="8"/>
            <color rgb="FF000000"/>
            <rFont val="Calibri"/>
            <family val="2"/>
            <scheme val="minor"/>
          </rPr>
          <t>======
ID#AAAAMQJ-jKI
sal    (2021-04-29 11:55:23)
Back Caclulation from MMBTU</t>
        </r>
      </text>
    </comment>
    <comment ref="F261" authorId="0" shapeId="0" xr:uid="{00000000-0006-0000-0500-000027000000}">
      <text>
        <r>
          <rPr>
            <sz val="8"/>
            <color rgb="FF000000"/>
            <rFont val="Calibri"/>
            <family val="2"/>
            <scheme val="minor"/>
          </rPr>
          <t>======
ID#AAAAMQJ-jF8
sal    (2021-04-29 11:55:23)
Back Caclulation from MMBTU</t>
        </r>
      </text>
    </comment>
    <comment ref="S331" authorId="0" shapeId="0" xr:uid="{00000000-0006-0000-0500-000028000000}">
      <text>
        <r>
          <rPr>
            <sz val="8"/>
            <color rgb="FF000000"/>
            <rFont val="Calibri"/>
            <family val="2"/>
            <scheme val="minor"/>
          </rPr>
          <t>======
ID#AAAAMQJ-jS4
amohammed    (2021-04-29 11:55:23)
Tons/Yr= ((Annual Run Hours) X GHG Emissions Factors (lb/hr))) /2000</t>
        </r>
      </text>
    </comment>
    <comment ref="S339" authorId="0" shapeId="0" xr:uid="{00000000-0006-0000-0500-000029000000}">
      <text>
        <r>
          <rPr>
            <sz val="8"/>
            <color rgb="FF000000"/>
            <rFont val="Calibri"/>
            <family val="2"/>
            <scheme val="minor"/>
          </rPr>
          <t>======
ID#AAAAMQJ-jHc
amohammed    (2021-04-29 11:55:23)
Tons/Yr= ((Annual Run Hours) X GHG Emissions Factors (lb/hr))) /2000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F5" authorId="0" shapeId="0" xr:uid="{00000000-0006-0000-0A00-000001000000}">
      <text>
        <r>
          <rPr>
            <sz val="8"/>
            <color rgb="FF000000"/>
            <rFont val="Calibri"/>
            <family val="2"/>
            <scheme val="minor"/>
          </rPr>
          <t>======
ID#AAAAMQJ-jIk
Beth Moore    (2021-04-29 11:55:23)
Billion Btus are converted to short tons of carbon by multiplying by the emission factor, combustion efficiency, 1,000 million/billion, and 0.0005 lbs/short ton.</t>
        </r>
      </text>
    </comment>
    <comment ref="B23" authorId="0" shapeId="0" xr:uid="{00000000-0006-0000-0A00-000002000000}">
      <text>
        <r>
          <rPr>
            <sz val="8"/>
            <color rgb="FF000000"/>
            <rFont val="Calibri"/>
            <family val="2"/>
            <scheme val="minor"/>
          </rPr>
          <t>======
ID#AAAAMQJ-jKU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29" authorId="0" shapeId="0" xr:uid="{00000000-0006-0000-0A00-000003000000}">
      <text>
        <r>
          <rPr>
            <sz val="8"/>
            <color rgb="FF000000"/>
            <rFont val="Calibri"/>
            <family val="2"/>
            <scheme val="minor"/>
          </rPr>
          <t>======
ID#AAAAMQJ-jRc
Philip Groth    (2021-04-29 11:55:23)
MMTCE is converted to MMTCO2E by multiplying by 44/12.</t>
        </r>
      </text>
    </comment>
    <comment ref="B36" authorId="0" shapeId="0" xr:uid="{00000000-0006-0000-0A00-000004000000}">
      <text>
        <r>
          <rPr>
            <sz val="8"/>
            <color rgb="FF000000"/>
            <rFont val="Calibri"/>
            <family val="2"/>
            <scheme val="minor"/>
          </rPr>
          <t>======
ID#AAAAMQJ-jQw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B51" authorId="0" shapeId="0" xr:uid="{00000000-0006-0000-0A00-000005000000}">
      <text>
        <r>
          <rPr>
            <sz val="8"/>
            <color rgb="FF000000"/>
            <rFont val="Calibri"/>
            <family val="2"/>
            <scheme val="minor"/>
          </rPr>
          <t>======
ID#AAAAMQJ-jGA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F6" authorId="0" shapeId="0" xr:uid="{00000000-0006-0000-0B00-000001000000}">
      <text>
        <r>
          <rPr>
            <sz val="8"/>
            <color rgb="FF000000"/>
            <rFont val="Calibri"/>
            <family val="2"/>
            <scheme val="minor"/>
          </rPr>
          <t>======
ID#AAAAMQJ-jEs
Beth Moore    (2021-04-29 11:55:23)
Billion Btus are converted to short tons of carbon by multiplying by the emission factor, combustion efficiency, 1,000 million/billion, and 0.0005 lbs/short ton.</t>
        </r>
      </text>
    </comment>
    <comment ref="G6" authorId="0" shapeId="0" xr:uid="{00000000-0006-0000-0B00-000002000000}">
      <text>
        <r>
          <rPr>
            <sz val="8"/>
            <color rgb="FF000000"/>
            <rFont val="Calibri"/>
            <family val="2"/>
            <scheme val="minor"/>
          </rPr>
          <t>======
ID#AAAAMQJ-jS8
Philip Groth    (2021-04-29 11:55:23)
MMTCE is converted to MMTCO2E by multiplying by 44/12.</t>
        </r>
      </text>
    </comment>
    <comment ref="G20" authorId="0" shapeId="0" xr:uid="{00000000-0006-0000-0B00-000003000000}">
      <text>
        <r>
          <rPr>
            <sz val="8"/>
            <color rgb="FF000000"/>
            <rFont val="Calibri"/>
            <family val="2"/>
            <scheme val="minor"/>
          </rPr>
          <t>======
ID#AAAAMQJ-jPg
Philip Groth    (2021-04-29 11:55:23)
MMTCE is converted to MMTCO2E by multiplying by 44/12.</t>
        </r>
      </text>
    </comment>
    <comment ref="B29" authorId="0" shapeId="0" xr:uid="{00000000-0006-0000-0B00-000004000000}">
      <text>
        <r>
          <rPr>
            <sz val="8"/>
            <color rgb="FF000000"/>
            <rFont val="Calibri"/>
            <family val="2"/>
            <scheme val="minor"/>
          </rPr>
          <t>======
ID#AAAAMQJ-jJg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35" authorId="0" shapeId="0" xr:uid="{00000000-0006-0000-0B00-000005000000}">
      <text>
        <r>
          <rPr>
            <sz val="8"/>
            <color rgb="FF000000"/>
            <rFont val="Calibri"/>
            <family val="2"/>
            <scheme val="minor"/>
          </rPr>
          <t>======
ID#AAAAMQJ-jHw
Philip Groth    (2021-04-29 11:55:23)
MMTCE is converted to MMTCO2E by multiplying by 44/12.</t>
        </r>
      </text>
    </comment>
    <comment ref="B44" authorId="0" shapeId="0" xr:uid="{00000000-0006-0000-0B00-000006000000}">
      <text>
        <r>
          <rPr>
            <sz val="8"/>
            <color rgb="FF000000"/>
            <rFont val="Calibri"/>
            <family val="2"/>
            <scheme val="minor"/>
          </rPr>
          <t>======
ID#AAAAMQJ-jGc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52" authorId="0" shapeId="0" xr:uid="{00000000-0006-0000-0B00-000007000000}">
      <text>
        <r>
          <rPr>
            <sz val="8"/>
            <color rgb="FF000000"/>
            <rFont val="Calibri"/>
            <family val="2"/>
            <scheme val="minor"/>
          </rPr>
          <t>======
ID#AAAAMQJ-jLk
Philip Groth    (2021-04-29 11:55:23)
MMTCE is converted to MMTCO2E by multiplying by 44/12.</t>
        </r>
      </text>
    </comment>
    <comment ref="B61" authorId="0" shapeId="0" xr:uid="{00000000-0006-0000-0B00-000008000000}">
      <text>
        <r>
          <rPr>
            <sz val="8"/>
            <color rgb="FF000000"/>
            <rFont val="Calibri"/>
            <family val="2"/>
            <scheme val="minor"/>
          </rPr>
          <t>======
ID#AAAAMQJ-jME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D5" authorId="0" shapeId="0" xr:uid="{00000000-0006-0000-0C00-000001000000}">
      <text>
        <r>
          <rPr>
            <sz val="8"/>
            <color rgb="FF000000"/>
            <rFont val="Calibri"/>
            <family val="2"/>
            <scheme val="minor"/>
          </rPr>
          <t>======
ID#AAAAMQJ-jQM
amohammed    (2021-04-29 11:55:23)
SIT 2016 Defaults</t>
        </r>
      </text>
    </comment>
    <comment ref="J6" authorId="0" shapeId="0" xr:uid="{00000000-0006-0000-0C00-000002000000}">
      <text>
        <r>
          <rPr>
            <sz val="8"/>
            <color rgb="FF000000"/>
            <rFont val="Calibri"/>
            <family val="2"/>
            <scheme val="minor"/>
          </rPr>
          <t>======
ID#AAAAMQJ-jSw
Beth Moore    (2021-04-29 11:55:23)
Billion Btus are converted to short tons of carbon by multiplying by the emission factor, combustion efficiency, 1,000 million/billion, and 0.0005 lbs/short ton.</t>
        </r>
      </text>
    </comment>
    <comment ref="K6" authorId="0" shapeId="0" xr:uid="{00000000-0006-0000-0C00-000003000000}">
      <text>
        <r>
          <rPr>
            <sz val="8"/>
            <color rgb="FF000000"/>
            <rFont val="Calibri"/>
            <family val="2"/>
            <scheme val="minor"/>
          </rPr>
          <t>======
ID#AAAAMQJ-jTo
Philip Groth    (2021-04-29 11:55:23)
MMTCE is converted to MMTCO2E by multiplying by 44/12.</t>
        </r>
      </text>
    </comment>
    <comment ref="B27" authorId="0" shapeId="0" xr:uid="{00000000-0006-0000-0C00-000005000000}">
      <text>
        <r>
          <rPr>
            <sz val="8"/>
            <color rgb="FF000000"/>
            <rFont val="Calibri"/>
            <family val="2"/>
            <scheme val="minor"/>
          </rPr>
          <t>======
ID#AAAAMQJ-jGY
J Casola    (2021-04-29 11:55:23)
SEDR data show negative values for consumption.  Represents storage of energy, since oils are manufactured from other fuels.  "Negative" emissions serve to correct the overestimation of emissions attributed to the parent fuel.</t>
        </r>
      </text>
    </comment>
    <comment ref="B30" authorId="0" shapeId="0" xr:uid="{00000000-0006-0000-0C00-000006000000}">
      <text>
        <r>
          <rPr>
            <sz val="8"/>
            <color rgb="FF000000"/>
            <rFont val="Calibri"/>
            <family val="2"/>
            <scheme val="minor"/>
          </rPr>
          <t>======
ID#AAAAMQJ-jPo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I37" authorId="0" shapeId="0" xr:uid="{00000000-0006-0000-0C00-000007000000}">
      <text>
        <r>
          <rPr>
            <sz val="8"/>
            <color rgb="FF000000"/>
            <rFont val="Calibri"/>
            <family val="2"/>
            <scheme val="minor"/>
          </rPr>
          <t>======
ID#AAAAMQJ-jLU
Philip Groth    (2021-04-29 11:55:23)
metric tons N2O  converted to MMTCO2E by multiplying by GWP and diving by 106.</t>
        </r>
      </text>
    </comment>
    <comment ref="B58" authorId="0" shapeId="0" xr:uid="{00000000-0006-0000-0C00-000008000000}">
      <text>
        <r>
          <rPr>
            <sz val="8"/>
            <color rgb="FF000000"/>
            <rFont val="Calibri"/>
            <family val="2"/>
            <scheme val="minor"/>
          </rPr>
          <t>======
ID#AAAAMQJ-jMk
J Casola    (2021-04-29 11:55:23)
SEDR data show negative values for consumption.  Represents storage of energy, since oils are manufactured from other fuels.  "Negative" emissions serve to correct the overestimation of emissions attributed to the parent fuel.</t>
        </r>
      </text>
    </comment>
    <comment ref="B61" authorId="0" shapeId="0" xr:uid="{00000000-0006-0000-0C00-000009000000}">
      <text>
        <r>
          <rPr>
            <sz val="8"/>
            <color rgb="FF000000"/>
            <rFont val="Calibri"/>
            <family val="2"/>
            <scheme val="minor"/>
          </rPr>
          <t>======
ID#AAAAMQJ-jSM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I68" authorId="0" shapeId="0" xr:uid="{00000000-0006-0000-0C00-00000A000000}">
      <text>
        <r>
          <rPr>
            <sz val="8"/>
            <color rgb="FF000000"/>
            <rFont val="Calibri"/>
            <family val="2"/>
            <scheme val="minor"/>
          </rPr>
          <t>======
ID#AAAAMQJ-jO8
Philip Groth    (2021-04-29 11:55:23)
metric tons CH4 converted to MMTCO2E by multiplying by GWP. and Dividing by 106</t>
        </r>
      </text>
    </comment>
    <comment ref="B89" authorId="0" shapeId="0" xr:uid="{00000000-0006-0000-0C00-00000B000000}">
      <text>
        <r>
          <rPr>
            <sz val="8"/>
            <color rgb="FF000000"/>
            <rFont val="Calibri"/>
            <family val="2"/>
            <scheme val="minor"/>
          </rPr>
          <t>======
ID#AAAAMQJ-jJM
J Casola    (2021-04-29 11:55:23)
SEDR data show negative values for consumption.  Represents storage of energy, since oils are manufactured from other fuels.  "Negative" emissions serve to correct the overestimation of emissions attributed to the parent fuel.</t>
        </r>
      </text>
    </comment>
    <comment ref="B92" authorId="0" shapeId="0" xr:uid="{00000000-0006-0000-0C00-00000C000000}">
      <text>
        <r>
          <rPr>
            <sz val="8"/>
            <color rgb="FF000000"/>
            <rFont val="Calibri"/>
            <family val="2"/>
            <scheme val="minor"/>
          </rPr>
          <t>======
ID#AAAAMQJ-jOQ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F99" authorId="0" shapeId="0" xr:uid="{00000000-0006-0000-0C00-00000D000000}">
      <text>
        <r>
          <rPr>
            <sz val="8"/>
            <color rgb="FF000000"/>
            <rFont val="Calibri"/>
            <family val="2"/>
            <scheme val="minor"/>
          </rPr>
          <t>======
ID#AAAAMQJ-jRQ
Philip Groth    (2021-04-29 11:55:23)
metric tons CH4 converted to MMTCO2E by multiplying by GWP. and Dividing by 106</t>
        </r>
      </text>
    </comment>
    <comment ref="G99" authorId="0" shapeId="0" xr:uid="{00000000-0006-0000-0C00-00000E000000}">
      <text>
        <r>
          <rPr>
            <sz val="8"/>
            <color rgb="FF000000"/>
            <rFont val="Calibri"/>
            <family val="2"/>
            <scheme val="minor"/>
          </rPr>
          <t>======
ID#AAAAMQJ-jFo
Philip Groth    (2021-04-29 11:55:23)
metric tons CH4 converted to MMTCO2E by multiplying by GWP. and Dividing by 106</t>
        </r>
      </text>
    </comment>
    <comment ref="H99" authorId="0" shapeId="0" xr:uid="{00000000-0006-0000-0C00-00000F000000}">
      <text>
        <r>
          <rPr>
            <sz val="8"/>
            <color rgb="FF000000"/>
            <rFont val="Calibri"/>
            <family val="2"/>
            <scheme val="minor"/>
          </rPr>
          <t>======
ID#AAAAMQJ-jMA
Philip Groth    (2021-04-29 11:55:23)
metric tons CH4 converted to MMTCO2E by multiplying by GWP. and Dividing by 106</t>
        </r>
      </text>
    </comment>
    <comment ref="I99" authorId="0" shapeId="0" xr:uid="{00000000-0006-0000-0C00-000010000000}">
      <text>
        <r>
          <rPr>
            <sz val="8"/>
            <color rgb="FF000000"/>
            <rFont val="Calibri"/>
            <family val="2"/>
            <scheme val="minor"/>
          </rPr>
          <t>======
ID#AAAAMQJ-jEk
Philip Groth    (2021-04-29 11:55:23)
metric tons CH4 converted to MMTCO2E by multiplying by GWP. and Dividing by 106</t>
        </r>
      </text>
    </comment>
    <comment ref="B120" authorId="0" shapeId="0" xr:uid="{00000000-0006-0000-0C00-000011000000}">
      <text>
        <r>
          <rPr>
            <sz val="8"/>
            <color rgb="FF000000"/>
            <rFont val="Calibri"/>
            <family val="2"/>
            <scheme val="minor"/>
          </rPr>
          <t>======
ID#AAAAMQJ-jP4
J Casola    (2021-04-29 11:55:23)
SEDR data show negative values for consumption.  Represents storage of energy, since oils are manufactured from other fuels.  "Negative" emissions serve to correct the overestimation of emissions attributed to the parent fuel.</t>
        </r>
      </text>
    </comment>
    <comment ref="B123" authorId="0" shapeId="0" xr:uid="{00000000-0006-0000-0C00-000012000000}">
      <text>
        <r>
          <rPr>
            <sz val="8"/>
            <color rgb="FF000000"/>
            <rFont val="Calibri"/>
            <family val="2"/>
            <scheme val="minor"/>
          </rPr>
          <t>======
ID#AAAAMQJ-jRU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F6" authorId="0" shapeId="0" xr:uid="{00000000-0006-0000-1500-000001000000}">
      <text>
        <r>
          <rPr>
            <sz val="8"/>
            <color rgb="FF000000"/>
            <rFont val="Calibri"/>
            <family val="2"/>
            <scheme val="minor"/>
          </rPr>
          <t>======
ID#AAAAMQJ-jTc
Beth Moore    (2021-04-29 11:55:23)
MTCH4 are converted to MMTCO2E by multiplying by the GWP of CH4, or 21, and then dividing by 1,000,000</t>
        </r>
      </text>
    </comment>
    <comment ref="F21" authorId="0" shapeId="0" xr:uid="{00000000-0006-0000-1500-000002000000}">
      <text>
        <r>
          <rPr>
            <sz val="8"/>
            <color rgb="FF000000"/>
            <rFont val="Calibri"/>
            <family val="2"/>
            <scheme val="minor"/>
          </rPr>
          <t>======
ID#AAAAMQJ-jF4
Beth Moore    (2021-04-29 11:55:23)
MTCH4 are converted to MMTCO2E by multiplying by the GWP of CH4, or 21, and then dividing by 1,000,000</t>
        </r>
      </text>
    </comment>
    <comment ref="C69" authorId="0" shapeId="0" xr:uid="{00000000-0006-0000-1500-000003000000}">
      <text>
        <r>
          <rPr>
            <sz val="8"/>
            <color rgb="FF000000"/>
            <rFont val="Calibri"/>
            <family val="2"/>
            <scheme val="minor"/>
          </rPr>
          <t>======
ID#AAAAMQJ-jOM
sal    (2021-04-29 11:55:23)
SED 2017 Data(MMcf) *State Heat Content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L4" authorId="0" shapeId="0" xr:uid="{00000000-0006-0000-1600-000001000000}">
      <text>
        <r>
          <rPr>
            <sz val="8"/>
            <color rgb="FF000000"/>
            <rFont val="Calibri"/>
            <family val="2"/>
            <scheme val="minor"/>
          </rPr>
          <t>======
ID#AAAAMQJ-jIg
Beth Moore    (2021-04-29 11:55:23)
Million cubic feet are converted to MTCH4 by multiplying by 19.2 grams/cubic feet of CH4.</t>
        </r>
      </text>
    </comment>
    <comment ref="N4" authorId="0" shapeId="0" xr:uid="{00000000-0006-0000-1600-000002000000}">
      <text>
        <r>
          <rPr>
            <sz val="8"/>
            <color rgb="FF000000"/>
            <rFont val="Calibri"/>
            <family val="2"/>
            <scheme val="minor"/>
          </rPr>
          <t>======
ID#AAAAMQJ-jHU
Beth Moore    (2021-04-29 11:55:23)
MTCH4 are converted to MTCO2E by multiplying first by the GWP of CH4, or 21.</t>
        </r>
      </text>
    </comment>
    <comment ref="J8" authorId="0" shapeId="0" xr:uid="{00000000-0006-0000-1600-000003000000}">
      <text>
        <r>
          <rPr>
            <sz val="8"/>
            <color rgb="FF000000"/>
            <rFont val="Calibri"/>
            <family val="2"/>
            <scheme val="minor"/>
          </rPr>
          <t>======
ID#AAAAMQJ-jQ4
Beth Moore    (2021-04-29 11:55:23)
Thousand cubic feet are converted to MTCH4 by dividing by 1,000, then by 19.2 grams/cubic feet of CH4.</t>
        </r>
      </text>
    </comment>
    <comment ref="L8" authorId="0" shapeId="0" xr:uid="{00000000-0006-0000-1600-000004000000}">
      <text>
        <r>
          <rPr>
            <sz val="8"/>
            <color rgb="FF000000"/>
            <rFont val="Calibri"/>
            <family val="2"/>
            <scheme val="minor"/>
          </rPr>
          <t>======
ID#AAAAMQJ-jKk
Beth Moore    (2021-04-29 11:55:23)
MTCH4 are converted to MTCO2E by multiplying first by the GWP of CH4, or 21.</t>
        </r>
      </text>
    </comment>
    <comment ref="D9" authorId="0" shapeId="0" xr:uid="{00000000-0006-0000-1600-000005000000}">
      <text>
        <r>
          <rPr>
            <sz val="8"/>
            <color rgb="FF000000"/>
            <rFont val="Calibri"/>
            <family val="2"/>
            <scheme val="minor"/>
          </rPr>
          <t>======
ID#AAAAMQJ-jR4
sal    (2021-04-29 11:55:23)
2017 Production Data. MD Bureau of Mines</t>
        </r>
      </text>
    </comment>
    <comment ref="J12" authorId="0" shapeId="0" xr:uid="{00000000-0006-0000-1600-000006000000}">
      <text>
        <r>
          <rPr>
            <sz val="8"/>
            <color rgb="FF000000"/>
            <rFont val="Calibri"/>
            <family val="2"/>
            <scheme val="minor"/>
          </rPr>
          <t>======
ID#AAAAMQJ-jQ8
Beth Moore    (2021-04-29 11:55:23)
Thousand cubic feet are converted to MTCH4 by dividing by 1,000, then by 19.2 grams/cubic feet of CH4.</t>
        </r>
      </text>
    </comment>
    <comment ref="L12" authorId="0" shapeId="0" xr:uid="{00000000-0006-0000-1600-000007000000}">
      <text>
        <r>
          <rPr>
            <sz val="8"/>
            <color rgb="FF000000"/>
            <rFont val="Calibri"/>
            <family val="2"/>
            <scheme val="minor"/>
          </rPr>
          <t>======
ID#AAAAMQJ-jTQ
Beth Moore    (2021-04-29 11:55:23)
MTCH4 are converted to MTCO2E by multiplying first by the GWP of CH4, or 21.</t>
        </r>
      </text>
    </comment>
    <comment ref="D13" authorId="0" shapeId="0" xr:uid="{00000000-0006-0000-1600-000008000000}">
      <text>
        <r>
          <rPr>
            <sz val="8"/>
            <color rgb="FF000000"/>
            <rFont val="Calibri"/>
            <family val="2"/>
            <scheme val="minor"/>
          </rPr>
          <t>======
ID#AAAAMQJ-jPA
amohammed    (2021-04-29 11:55:23)
2017 Surface Mine Production</t>
        </r>
      </text>
    </comment>
    <comment ref="D15" authorId="0" shapeId="0" xr:uid="{00000000-0006-0000-1600-000009000000}">
      <text>
        <r>
          <rPr>
            <sz val="8"/>
            <color rgb="FF000000"/>
            <rFont val="Calibri"/>
            <family val="2"/>
            <scheme val="minor"/>
          </rPr>
          <t>======
ID#AAAAMQJ-jNw
sal    (2021-04-29 11:55:23)
2016 Surface Coal Production Data</t>
        </r>
      </text>
    </comment>
  </commentList>
</comments>
</file>

<file path=xl/sharedStrings.xml><?xml version="1.0" encoding="utf-8"?>
<sst xmlns="http://schemas.openxmlformats.org/spreadsheetml/2006/main" count="43470" uniqueCount="2084">
  <si>
    <t>Global Warming Potential</t>
  </si>
  <si>
    <t>AR5 100-yr GWP</t>
  </si>
  <si>
    <t>AR5 20-yr GWP</t>
  </si>
  <si>
    <t>CO2</t>
  </si>
  <si>
    <t>CH4</t>
  </si>
  <si>
    <t>N2O</t>
  </si>
  <si>
    <t>SF6</t>
  </si>
  <si>
    <t>HFCs &amp; PFCs</t>
  </si>
  <si>
    <t>see note</t>
  </si>
  <si>
    <r>
      <rPr>
        <b/>
        <sz val="11"/>
        <color rgb="FFFFFFFF"/>
        <rFont val="Calibri"/>
        <family val="2"/>
      </rPr>
      <t>MMTCO</t>
    </r>
    <r>
      <rPr>
        <b/>
        <vertAlign val="subscript"/>
        <sz val="11"/>
        <color rgb="FFFFFFFF"/>
        <rFont val="Calibri"/>
        <family val="2"/>
      </rPr>
      <t>2</t>
    </r>
    <r>
      <rPr>
        <b/>
        <sz val="11"/>
        <color rgb="FFFFFFFF"/>
        <rFont val="Calibri"/>
        <family val="2"/>
      </rPr>
      <t>e</t>
    </r>
  </si>
  <si>
    <t>100-year GWP</t>
  </si>
  <si>
    <t>20-year GWP</t>
  </si>
  <si>
    <t>Electricity Production (in-state)</t>
  </si>
  <si>
    <t xml:space="preserve">Net Imported Electricity </t>
  </si>
  <si>
    <t>Residential/Commercial/Industrial (RCI) Fuel Use</t>
  </si>
  <si>
    <t xml:space="preserve">Transportation </t>
  </si>
  <si>
    <t>Onroad Gasoline</t>
  </si>
  <si>
    <t>Nonroad Gasoline</t>
  </si>
  <si>
    <t>Onroad Diesel</t>
  </si>
  <si>
    <t>Nonroad Diesel</t>
  </si>
  <si>
    <t>Rail</t>
  </si>
  <si>
    <t>Marine Vessels (Gas &amp; Oil)</t>
  </si>
  <si>
    <t xml:space="preserve">Lubricants, Natural Gas, and LPG </t>
  </si>
  <si>
    <t>Jet Fuel and Aviation Gasoline</t>
  </si>
  <si>
    <t>Fossil Fuel Industry</t>
  </si>
  <si>
    <t>Industrial Processes and Product Use</t>
  </si>
  <si>
    <t>Agriculture</t>
  </si>
  <si>
    <t>Enteric Fermentation</t>
  </si>
  <si>
    <t>Manure Management</t>
  </si>
  <si>
    <t>Agricultural Soils</t>
  </si>
  <si>
    <t>Agricultural Burning</t>
  </si>
  <si>
    <t>Waste Management</t>
  </si>
  <si>
    <t>Waste Combustion</t>
  </si>
  <si>
    <t>Landfills</t>
  </si>
  <si>
    <t>Wastewater Management</t>
  </si>
  <si>
    <t>Residential Open Burning</t>
  </si>
  <si>
    <r>
      <rPr>
        <b/>
        <sz val="11"/>
        <color theme="1"/>
        <rFont val="Calibri"/>
        <family val="2"/>
      </rPr>
      <t>Gross Emissions</t>
    </r>
    <r>
      <rPr>
        <sz val="11"/>
        <color theme="1"/>
        <rFont val="Calibri"/>
        <family val="2"/>
      </rPr>
      <t xml:space="preserve"> (Consumption Basis; Excludes Sinks)</t>
    </r>
  </si>
  <si>
    <t>Forestry and Land Use</t>
  </si>
  <si>
    <t>Tree and Forest Carbon</t>
  </si>
  <si>
    <t>Wood Products and Landfilled Carbon</t>
  </si>
  <si>
    <t>Settlement Soils</t>
  </si>
  <si>
    <t>Forest Fires</t>
  </si>
  <si>
    <t>Agricultural Soil Carbon</t>
  </si>
  <si>
    <t>Wetlands and SAV</t>
  </si>
  <si>
    <r>
      <rPr>
        <b/>
        <sz val="11"/>
        <color theme="1"/>
        <rFont val="Calibri"/>
        <family val="2"/>
      </rPr>
      <t xml:space="preserve">Net Emissions </t>
    </r>
    <r>
      <rPr>
        <sz val="11"/>
        <color theme="1"/>
        <rFont val="Calibri"/>
        <family val="2"/>
      </rPr>
      <t>(Consumption Basis; Including forestry, land use, and ag sinks)</t>
    </r>
  </si>
  <si>
    <t>2017 (100-yr)</t>
  </si>
  <si>
    <t>Electricity Use (Consumption)</t>
  </si>
  <si>
    <t>RCI Fuel Use</t>
  </si>
  <si>
    <t>Transportation - Onroad</t>
  </si>
  <si>
    <t>Transportation - Nonroad</t>
  </si>
  <si>
    <t>Land Use, Land-Use Change, and Forestry Emissions and Sequestration</t>
  </si>
  <si>
    <r>
      <rPr>
        <b/>
        <sz val="11"/>
        <color rgb="FF1155CC"/>
        <rFont val="Calibri"/>
        <family val="2"/>
      </rPr>
      <t xml:space="preserve">(A) NASA-CMS/UMD Forest Carbon Monitoring </t>
    </r>
    <r>
      <rPr>
        <sz val="11"/>
        <color rgb="FF1155CC"/>
        <rFont val="Calibri"/>
        <family val="2"/>
      </rPr>
      <t>(for above ground biomass)</t>
    </r>
  </si>
  <si>
    <t>Year</t>
  </si>
  <si>
    <t>AGB stocks (Tg C)</t>
  </si>
  <si>
    <t>Net AGB flux 
(Tg C/yr)</t>
  </si>
  <si>
    <t>AGB Flux from existing trees 
(Tg C/yr)</t>
  </si>
  <si>
    <t>AGB Flux from Forest to Non-forest conversion 
(Tg C/yr)</t>
  </si>
  <si>
    <t>AGB Flux from Non-forest to Forest conversion 
(Tg C/yr)</t>
  </si>
  <si>
    <t>--</t>
  </si>
  <si>
    <r>
      <rPr>
        <b/>
        <sz val="11"/>
        <color rgb="FF1155CC"/>
        <rFont val="Calibri"/>
        <family val="2"/>
      </rPr>
      <t xml:space="preserve">(B) USFS Model state-level estimates </t>
    </r>
    <r>
      <rPr>
        <sz val="11"/>
        <color rgb="FF1155CC"/>
        <rFont val="Calibri"/>
        <family val="2"/>
      </rPr>
      <t>(for other forest pools)</t>
    </r>
  </si>
  <si>
    <t>https://www.nrs.fs.fed.us/pubs/62418</t>
  </si>
  <si>
    <t>https://www.fs.usda.gov/rds/archive/Catalog/RDS-2021-0035</t>
  </si>
  <si>
    <t>US_GHG_emissions_removals_from_forest_woodlands_urban_trees_1990_2019.xlsx</t>
  </si>
  <si>
    <t>Net CO2 Flux from Forest Pools in Forest Land Remaining Forest Land (MMT CO2 Eq.)</t>
  </si>
  <si>
    <t>State</t>
  </si>
  <si>
    <t>Carbon Pools</t>
  </si>
  <si>
    <t>Maryland</t>
  </si>
  <si>
    <t>Dead Wood</t>
  </si>
  <si>
    <t>Litter</t>
  </si>
  <si>
    <t>Soil (Mineral)</t>
  </si>
  <si>
    <t>Soil (Organic)</t>
  </si>
  <si>
    <t>Net CO2 Flux from Forest C Pools in Land Converted to Forest Land by Land Use Change Category (MMT CO2 Eq.)</t>
  </si>
  <si>
    <t>Land Use Conversion</t>
  </si>
  <si>
    <t>Land Use/Carbon Pool</t>
  </si>
  <si>
    <t>Totals (Pools)</t>
  </si>
  <si>
    <t>Total Dead Wood Flux</t>
  </si>
  <si>
    <t>Total Litter Flux</t>
  </si>
  <si>
    <t>Total Soil (Mineral) Flux</t>
  </si>
  <si>
    <t>Net CO2 Flux from Forest C Pools in Forest Land Converted to Land by Land Use Change Category (MMT CO2 Eq.)</t>
  </si>
  <si>
    <t>* 2019 Available Data</t>
  </si>
  <si>
    <t>Tree and Forest Carbon Summary</t>
  </si>
  <si>
    <t>Emissions (MMTCO2e)</t>
  </si>
  <si>
    <t>Above Ground Biomass Flux¹</t>
  </si>
  <si>
    <t>Below Ground Biomass Flux¹ ²</t>
  </si>
  <si>
    <t>Deadwood³</t>
  </si>
  <si>
    <t>Litter³</t>
  </si>
  <si>
    <t>Soil (Mineral)³</t>
  </si>
  <si>
    <t>Soil (Organic)³</t>
  </si>
  <si>
    <t>Total</t>
  </si>
  <si>
    <t>Landfilled Yard Trimmings and Food Scraps</t>
  </si>
  <si>
    <r>
      <rPr>
        <b/>
        <sz val="9"/>
        <color theme="1"/>
        <rFont val="Calibri"/>
        <family val="2"/>
      </rPr>
      <t>Emissions* (MMTCO</t>
    </r>
    <r>
      <rPr>
        <b/>
        <vertAlign val="subscript"/>
        <sz val="9"/>
        <color theme="1"/>
        <rFont val="Calibri"/>
        <family val="2"/>
      </rPr>
      <t>2</t>
    </r>
    <r>
      <rPr>
        <b/>
        <sz val="9"/>
        <color theme="1"/>
        <rFont val="Calibri"/>
        <family val="2"/>
      </rPr>
      <t>E)</t>
    </r>
  </si>
  <si>
    <t>Grass</t>
  </si>
  <si>
    <t>Leaves</t>
  </si>
  <si>
    <t>Branches</t>
  </si>
  <si>
    <t>Landfilled Food Scraps</t>
  </si>
  <si>
    <t>Total Wood Products and Landfills</t>
  </si>
  <si>
    <t>Net Sequestration/Emissions MMTCO2E</t>
  </si>
  <si>
    <t>Total wood products and landfills</t>
  </si>
  <si>
    <t>Total Synthetic Fertilizer Applied to Settlements
(Metric Tons N)</t>
  </si>
  <si>
    <t>Emission Factor
(percent)</t>
  </si>
  <si>
    <t>N2O-N</t>
  </si>
  <si>
    <t>N2O GWP</t>
  </si>
  <si>
    <t>Carbon Dioxide Emissions
(MMTCO2E)</t>
  </si>
  <si>
    <t>Area Burned (acres)-Other temperate forests</t>
  </si>
  <si>
    <t>Area Burned (ha)</t>
  </si>
  <si>
    <t>Average Biomass Density (kg d.m. / ha)</t>
  </si>
  <si>
    <t>Combustion efficiency</t>
  </si>
  <si>
    <t>Emission Factor (g/kg dry matter burned)</t>
  </si>
  <si>
    <t>MTN2O Emitted</t>
  </si>
  <si>
    <t>MTCH4 Emitted</t>
  </si>
  <si>
    <t>Area Burned (acres) -Shrublands</t>
  </si>
  <si>
    <t>CH4 GWP</t>
  </si>
  <si>
    <t>Emissions MMTCO2E</t>
  </si>
  <si>
    <t>Summary Forest Fire</t>
  </si>
  <si>
    <t>Net Sequestration/Emissions-MMTCO2E</t>
  </si>
  <si>
    <t>Wetlands and Submerged Aquatic Vegetation (SAV)</t>
  </si>
  <si>
    <t>Coastal Wetlands and SAV</t>
  </si>
  <si>
    <t>Area (acres)</t>
  </si>
  <si>
    <t>Wetland Category and Salinity</t>
  </si>
  <si>
    <t>Coastal Bays Estaurine Wetland</t>
  </si>
  <si>
    <t>Mesohaline Estaurine Wetlands</t>
  </si>
  <si>
    <t>Freshwater SAV</t>
  </si>
  <si>
    <t>Oligohaline SAV</t>
  </si>
  <si>
    <t>Mesohaline SAV</t>
  </si>
  <si>
    <t>Coastal Bays SAV</t>
  </si>
  <si>
    <t>Total, Wetlands</t>
  </si>
  <si>
    <t>Total, SAV</t>
  </si>
  <si>
    <t>Soil Carbon Burial (Mg CO2)</t>
  </si>
  <si>
    <t>Mg CO2 acre-1 yr-1</t>
  </si>
  <si>
    <t>Methane Emissions (Mg CH4)</t>
  </si>
  <si>
    <t>Mg CH4 ac-1 yr-1</t>
  </si>
  <si>
    <t>Carbon Flux from Wetland Landuse Change (Mg CO2)</t>
  </si>
  <si>
    <t>Wetland Land -Use Change from National Inventory</t>
  </si>
  <si>
    <t>Vegetated Coastal Wetlands Converted to Unvegetated Open Water Coastal Wetlands</t>
  </si>
  <si>
    <t>Biomass C Flux</t>
  </si>
  <si>
    <t>Dead Organic Matter C Flux</t>
  </si>
  <si>
    <t>Soil C Flux</t>
  </si>
  <si>
    <t>Unvegetated Open Water Coastal Wetlands Converted to Vegetated Coastal Wetlands</t>
  </si>
  <si>
    <t>Total, Wetland LU Change</t>
  </si>
  <si>
    <t>Flooded Lands</t>
  </si>
  <si>
    <t>IPCC Emission Factors</t>
  </si>
  <si>
    <t>Surface Area (ha)</t>
  </si>
  <si>
    <t>Annual Methane Emissions (MT CH4)</t>
  </si>
  <si>
    <t>Flooded Land Category</t>
  </si>
  <si>
    <t>Climate Zone</t>
  </si>
  <si>
    <t>kg CH4 /ha/yr</t>
  </si>
  <si>
    <t>MT CO2-C /ha/yr</t>
  </si>
  <si>
    <t>MT CO2 /ha/yr</t>
  </si>
  <si>
    <t>Reservoirs &gt; 20 years old (&gt;= 8 ha)</t>
  </si>
  <si>
    <t>Cool Temperate</t>
  </si>
  <si>
    <t>Warm temperate moist</t>
  </si>
  <si>
    <t>Reservoirs &lt;= 20 years old (&gt;= 8 ha)</t>
  </si>
  <si>
    <t>Downstream Emission</t>
  </si>
  <si>
    <t>All</t>
  </si>
  <si>
    <t>Freshwater Ponds &gt; 20 years (&lt; 8 ha)</t>
  </si>
  <si>
    <t>Freshwater Ponds &lt;= 20 years old (&lt; 8 ha)</t>
  </si>
  <si>
    <t>Canals &amp; Ditches</t>
  </si>
  <si>
    <t>Annual CO2 Emissions (MT CO2)</t>
  </si>
  <si>
    <t>Wetlands &amp; SAV Summary</t>
  </si>
  <si>
    <t>Coastal Wetlands</t>
  </si>
  <si>
    <t>SAV</t>
  </si>
  <si>
    <t>Flooded Land</t>
  </si>
  <si>
    <t>Net Forest and Landuse Emissions</t>
  </si>
  <si>
    <t>Net Forest and Landuse Emissions (MMTCO2e)</t>
  </si>
  <si>
    <t>Agricultural Soil Carbon Flux</t>
  </si>
  <si>
    <t>¹Includes the landuse categories of Forest Land Remaining Forest Land, Land Converted to Forest Land, Forest Land Converted to Land, and Settlement Trees</t>
  </si>
  <si>
    <t>²Calculated from ratio to aboveground biomass</t>
  </si>
  <si>
    <t>³USFS state-level estimates, exclusive of settlement trees</t>
  </si>
  <si>
    <r>
      <rPr>
        <sz val="14"/>
        <color theme="1"/>
        <rFont val="Comic Sans MS"/>
        <family val="4"/>
      </rPr>
      <t>Electric Power Production  and CO</t>
    </r>
    <r>
      <rPr>
        <vertAlign val="subscript"/>
        <sz val="14"/>
        <color theme="1"/>
        <rFont val="Comic Sans MS"/>
        <family val="4"/>
      </rPr>
      <t>2</t>
    </r>
    <r>
      <rPr>
        <sz val="14"/>
        <color theme="1"/>
        <rFont val="Comic Sans MS"/>
        <family val="4"/>
      </rPr>
      <t xml:space="preserve"> Emissions in Maryland</t>
    </r>
  </si>
  <si>
    <t xml:space="preserve"> COAL COMBUSTION BY UNIT</t>
  </si>
  <si>
    <t>ECMPS data</t>
  </si>
  <si>
    <t>EPA Emissions Collection and Monitoring Plan System (ECMPS) data in accordance to 40 CFR Part 75</t>
  </si>
  <si>
    <t>Calculation:</t>
  </si>
  <si>
    <t>Usage X Heat Content</t>
  </si>
  <si>
    <t>Plant ID</t>
  </si>
  <si>
    <t xml:space="preserve">Plant Name </t>
  </si>
  <si>
    <t>Equipment Description</t>
  </si>
  <si>
    <t>Fuel Type</t>
  </si>
  <si>
    <t>Usage</t>
  </si>
  <si>
    <t xml:space="preserve">Heat </t>
  </si>
  <si>
    <t xml:space="preserve">Heat Content </t>
  </si>
  <si>
    <t>Heat Input</t>
  </si>
  <si>
    <r>
      <rPr>
        <b/>
        <sz val="10"/>
        <color theme="1"/>
        <rFont val="Arial"/>
        <family val="2"/>
      </rPr>
      <t>CO</t>
    </r>
    <r>
      <rPr>
        <b/>
        <vertAlign val="subscript"/>
        <sz val="10"/>
        <color theme="1"/>
        <rFont val="Arial"/>
        <family val="2"/>
      </rPr>
      <t xml:space="preserve">2 </t>
    </r>
    <r>
      <rPr>
        <b/>
        <sz val="10"/>
        <color theme="1"/>
        <rFont val="Arial"/>
        <family val="2"/>
      </rPr>
      <t>Emmission</t>
    </r>
  </si>
  <si>
    <r>
      <rPr>
        <b/>
        <sz val="10"/>
        <color theme="1"/>
        <rFont val="Arial"/>
        <family val="2"/>
      </rPr>
      <t>CH</t>
    </r>
    <r>
      <rPr>
        <b/>
        <vertAlign val="subscript"/>
        <sz val="10"/>
        <color theme="1"/>
        <rFont val="Arial"/>
        <family val="2"/>
      </rPr>
      <t>4</t>
    </r>
    <r>
      <rPr>
        <b/>
        <sz val="10"/>
        <color theme="1"/>
        <rFont val="Arial"/>
        <family val="2"/>
      </rPr>
      <t xml:space="preserve"> </t>
    </r>
    <r>
      <rPr>
        <b/>
        <vertAlign val="subscript"/>
        <sz val="10"/>
        <color theme="1"/>
        <rFont val="Arial"/>
        <family val="2"/>
      </rPr>
      <t xml:space="preserve"> </t>
    </r>
    <r>
      <rPr>
        <b/>
        <sz val="10"/>
        <color theme="1"/>
        <rFont val="Arial"/>
        <family val="2"/>
      </rPr>
      <t>Emission</t>
    </r>
  </si>
  <si>
    <r>
      <rPr>
        <b/>
        <sz val="10"/>
        <color theme="1"/>
        <rFont val="Arial"/>
        <family val="2"/>
      </rPr>
      <t>N</t>
    </r>
    <r>
      <rPr>
        <b/>
        <vertAlign val="subscript"/>
        <sz val="10"/>
        <color theme="1"/>
        <rFont val="Arial"/>
        <family val="2"/>
      </rPr>
      <t>2</t>
    </r>
    <r>
      <rPr>
        <b/>
        <sz val="10"/>
        <color theme="1"/>
        <rFont val="Arial"/>
        <family val="2"/>
      </rPr>
      <t xml:space="preserve">O </t>
    </r>
    <r>
      <rPr>
        <b/>
        <vertAlign val="subscript"/>
        <sz val="10"/>
        <color theme="1"/>
        <rFont val="Arial"/>
        <family val="2"/>
      </rPr>
      <t xml:space="preserve"> </t>
    </r>
    <r>
      <rPr>
        <b/>
        <sz val="10"/>
        <color theme="1"/>
        <rFont val="Arial"/>
        <family val="2"/>
      </rPr>
      <t>Emission</t>
    </r>
  </si>
  <si>
    <t>Units</t>
  </si>
  <si>
    <t>Content</t>
  </si>
  <si>
    <t>Unit</t>
  </si>
  <si>
    <t>(MMBTU)</t>
  </si>
  <si>
    <t>(tons)</t>
  </si>
  <si>
    <t>001-0203</t>
  </si>
  <si>
    <t>AES WARRIOR RUN COGEN</t>
  </si>
  <si>
    <t>001-3-0127</t>
  </si>
  <si>
    <t xml:space="preserve">ACF Boiler </t>
  </si>
  <si>
    <t>Coal</t>
  </si>
  <si>
    <t>tons</t>
  </si>
  <si>
    <t>Btu/lb</t>
  </si>
  <si>
    <t>003-0468</t>
  </si>
  <si>
    <t xml:space="preserve"> Brandon Shores </t>
  </si>
  <si>
    <t>3-0015</t>
  </si>
  <si>
    <t>Unit 1</t>
  </si>
  <si>
    <t>P-Coal</t>
  </si>
  <si>
    <t>MMBTU/ tons</t>
  </si>
  <si>
    <t>3-0016</t>
  </si>
  <si>
    <t>Unit 2</t>
  </si>
  <si>
    <t>24-005-0079</t>
  </si>
  <si>
    <t xml:space="preserve">C.P.Crane </t>
  </si>
  <si>
    <t>3-0108</t>
  </si>
  <si>
    <t>Boiler Unit 1</t>
  </si>
  <si>
    <t>Bit Coal</t>
  </si>
  <si>
    <t>MMBTU/tons</t>
  </si>
  <si>
    <t>Sub -Bit -Coal</t>
  </si>
  <si>
    <t>3-0109</t>
  </si>
  <si>
    <t>Boiler Unit 2</t>
  </si>
  <si>
    <t>033-00014</t>
  </si>
  <si>
    <t>Chalk Point</t>
  </si>
  <si>
    <t>1600-14-30004</t>
  </si>
  <si>
    <t>Btu/ lb</t>
  </si>
  <si>
    <t>1600-14-30005</t>
  </si>
  <si>
    <t>1600-14-40998</t>
  </si>
  <si>
    <t>Unit 3</t>
  </si>
  <si>
    <t>1600-14-40999</t>
  </si>
  <si>
    <t>Unit 4</t>
  </si>
  <si>
    <t>003-0014</t>
  </si>
  <si>
    <t>HERBERT A WAGNER</t>
  </si>
  <si>
    <t>4-0308</t>
  </si>
  <si>
    <t>MMBtu/ tons</t>
  </si>
  <si>
    <t>3-0003</t>
  </si>
  <si>
    <t>031-0019</t>
  </si>
  <si>
    <t>Mirant Dickerson</t>
  </si>
  <si>
    <t>1500-19-30001</t>
  </si>
  <si>
    <t>Boiler 1</t>
  </si>
  <si>
    <t>1500-19-30002</t>
  </si>
  <si>
    <t>Boiler 2</t>
  </si>
  <si>
    <t>1500-19-30003</t>
  </si>
  <si>
    <t>Boiler 3</t>
  </si>
  <si>
    <t>017-0014</t>
  </si>
  <si>
    <t>Mirant Morgantown</t>
  </si>
  <si>
    <t>0800-14-30002</t>
  </si>
  <si>
    <t>080-14-30003</t>
  </si>
  <si>
    <t xml:space="preserve"> DISTILLATE FUEL COMBUSTION BY UNIT</t>
  </si>
  <si>
    <r>
      <rPr>
        <b/>
        <sz val="10"/>
        <color theme="1"/>
        <rFont val="Arial"/>
        <family val="2"/>
      </rPr>
      <t>CO</t>
    </r>
    <r>
      <rPr>
        <b/>
        <vertAlign val="subscript"/>
        <sz val="10"/>
        <color theme="1"/>
        <rFont val="Arial"/>
        <family val="2"/>
      </rPr>
      <t xml:space="preserve">2 </t>
    </r>
    <r>
      <rPr>
        <b/>
        <sz val="10"/>
        <color theme="1"/>
        <rFont val="Arial"/>
        <family val="2"/>
      </rPr>
      <t>Emmission</t>
    </r>
  </si>
  <si>
    <r>
      <rPr>
        <b/>
        <sz val="10"/>
        <color theme="1"/>
        <rFont val="Arial"/>
        <family val="2"/>
      </rPr>
      <t>CH</t>
    </r>
    <r>
      <rPr>
        <b/>
        <vertAlign val="subscript"/>
        <sz val="10"/>
        <color theme="1"/>
        <rFont val="Arial"/>
        <family val="2"/>
      </rPr>
      <t>4</t>
    </r>
    <r>
      <rPr>
        <b/>
        <sz val="10"/>
        <color theme="1"/>
        <rFont val="Arial"/>
        <family val="2"/>
      </rPr>
      <t xml:space="preserve"> </t>
    </r>
    <r>
      <rPr>
        <b/>
        <vertAlign val="subscript"/>
        <sz val="10"/>
        <color theme="1"/>
        <rFont val="Arial"/>
        <family val="2"/>
      </rPr>
      <t xml:space="preserve"> </t>
    </r>
    <r>
      <rPr>
        <b/>
        <sz val="10"/>
        <color theme="1"/>
        <rFont val="Arial"/>
        <family val="2"/>
      </rPr>
      <t>Emission</t>
    </r>
  </si>
  <si>
    <r>
      <rPr>
        <b/>
        <sz val="10"/>
        <color theme="1"/>
        <rFont val="Arial"/>
        <family val="2"/>
      </rPr>
      <t>N</t>
    </r>
    <r>
      <rPr>
        <b/>
        <vertAlign val="subscript"/>
        <sz val="10"/>
        <color theme="1"/>
        <rFont val="Arial"/>
        <family val="2"/>
      </rPr>
      <t>2</t>
    </r>
    <r>
      <rPr>
        <b/>
        <sz val="10"/>
        <color theme="1"/>
        <rFont val="Arial"/>
        <family val="2"/>
      </rPr>
      <t xml:space="preserve">O </t>
    </r>
    <r>
      <rPr>
        <b/>
        <vertAlign val="subscript"/>
        <sz val="10"/>
        <color theme="1"/>
        <rFont val="Arial"/>
        <family val="2"/>
      </rPr>
      <t xml:space="preserve"> </t>
    </r>
    <r>
      <rPr>
        <b/>
        <sz val="10"/>
        <color theme="1"/>
        <rFont val="Arial"/>
        <family val="2"/>
      </rPr>
      <t>Emission</t>
    </r>
  </si>
  <si>
    <t>Diesel</t>
  </si>
  <si>
    <t>gallons</t>
  </si>
  <si>
    <t>Btu/gal</t>
  </si>
  <si>
    <t>001-9-0081</t>
  </si>
  <si>
    <t>Emergency Engine (Boiler Feed Pump)</t>
  </si>
  <si>
    <t>S-No. 2 Oil</t>
  </si>
  <si>
    <t>MMBTU/ Gal</t>
  </si>
  <si>
    <t>4-0091</t>
  </si>
  <si>
    <t>Aux Boiler # 2</t>
  </si>
  <si>
    <t>MMBtu/ 1E+03 gal</t>
  </si>
  <si>
    <t>4-1107</t>
  </si>
  <si>
    <t>Aux Boiler # 3</t>
  </si>
  <si>
    <t>4-0089</t>
  </si>
  <si>
    <t>CT (14 MW)</t>
  </si>
  <si>
    <t>#2 Oli</t>
  </si>
  <si>
    <t>1600-14-40778</t>
  </si>
  <si>
    <t xml:space="preserve"> CT 1</t>
  </si>
  <si>
    <t>1600-14-41145</t>
  </si>
  <si>
    <t>CT2</t>
  </si>
  <si>
    <t>1600-14-90752</t>
  </si>
  <si>
    <t>CT3**</t>
  </si>
  <si>
    <t>1600-14-90753</t>
  </si>
  <si>
    <t>CT4**</t>
  </si>
  <si>
    <t>CT5</t>
  </si>
  <si>
    <t>1600-14-90755</t>
  </si>
  <si>
    <t>CT6**</t>
  </si>
  <si>
    <t>1600-14-41156</t>
  </si>
  <si>
    <t>CE  Aux. Boiler 5</t>
  </si>
  <si>
    <t>1600-14-41157</t>
  </si>
  <si>
    <t>CE  Aux. Boiler 6</t>
  </si>
  <si>
    <t>1600-14-41158</t>
  </si>
  <si>
    <t>CE   Aux. Boiler 7</t>
  </si>
  <si>
    <t>033-01827</t>
  </si>
  <si>
    <t xml:space="preserve">Chalkpoint -SMECO </t>
  </si>
  <si>
    <t>1827-5-074990</t>
  </si>
  <si>
    <t>Combustion Turbine</t>
  </si>
  <si>
    <t>4-0007</t>
  </si>
  <si>
    <t>CT</t>
  </si>
  <si>
    <t>No.2 Oil</t>
  </si>
  <si>
    <t>MMBTU/gallons</t>
  </si>
  <si>
    <t>024-025-0024</t>
  </si>
  <si>
    <t xml:space="preserve">Perryman </t>
  </si>
  <si>
    <t>5-0088</t>
  </si>
  <si>
    <t>Unit 51 CT</t>
  </si>
  <si>
    <t>MMBTU/10E+03 gallons</t>
  </si>
  <si>
    <t>4-0081</t>
  </si>
  <si>
    <t>Unit 1 CT</t>
  </si>
  <si>
    <t>4-0082</t>
  </si>
  <si>
    <t>Unit 2 CT</t>
  </si>
  <si>
    <t>4-0083</t>
  </si>
  <si>
    <t>Unit 3 CT</t>
  </si>
  <si>
    <t>4-0084</t>
  </si>
  <si>
    <t>Unit 4 CT</t>
  </si>
  <si>
    <t>0..02</t>
  </si>
  <si>
    <t>5-0353</t>
  </si>
  <si>
    <t>Unit 6A  CT</t>
  </si>
  <si>
    <t>5-0354</t>
  </si>
  <si>
    <t>Unit 6B  CT</t>
  </si>
  <si>
    <t>005-0078</t>
  </si>
  <si>
    <t>Riverside</t>
  </si>
  <si>
    <t>4-1363</t>
  </si>
  <si>
    <t xml:space="preserve">Combustion Turbine # 6 </t>
  </si>
  <si>
    <t>#2 Oil</t>
  </si>
  <si>
    <t>MMBTU/10E+06 scf</t>
  </si>
  <si>
    <t>4-0658</t>
  </si>
  <si>
    <t>Combustion Turbine # 7</t>
  </si>
  <si>
    <t>4-0659</t>
  </si>
  <si>
    <t xml:space="preserve">Combustion Turbine #8 </t>
  </si>
  <si>
    <t>019-0013</t>
  </si>
  <si>
    <t>Vienna Generating Station</t>
  </si>
  <si>
    <t>4-0065-70</t>
  </si>
  <si>
    <t>Unit 8</t>
  </si>
  <si>
    <t>Btu/gallons</t>
  </si>
  <si>
    <t>4-0020-69</t>
  </si>
  <si>
    <t>Aux Boiler</t>
  </si>
  <si>
    <t>4-0114-79</t>
  </si>
  <si>
    <t>Combustion Turbine CT1</t>
  </si>
  <si>
    <t>1500-19-40907</t>
  </si>
  <si>
    <t>031-1822</t>
  </si>
  <si>
    <t>Mirant Station H</t>
  </si>
  <si>
    <t>1518-22-90362</t>
  </si>
  <si>
    <t>HCT1</t>
  </si>
  <si>
    <t>HCT2</t>
  </si>
  <si>
    <t>0800-14-40016</t>
  </si>
  <si>
    <t>Aux 2</t>
  </si>
  <si>
    <t>0800-14-40018</t>
  </si>
  <si>
    <t>Aux 4</t>
  </si>
  <si>
    <t>0800-14-4-0068</t>
  </si>
  <si>
    <t>CT1</t>
  </si>
  <si>
    <t>0800-14-4-0069</t>
  </si>
  <si>
    <t>0800-14-4-0070</t>
  </si>
  <si>
    <t>CT3</t>
  </si>
  <si>
    <t>0800-14-4-0071</t>
  </si>
  <si>
    <t>CT4</t>
  </si>
  <si>
    <t>0800-14-4-0074</t>
  </si>
  <si>
    <t>0800-14-4-0075</t>
  </si>
  <si>
    <t>CT6</t>
  </si>
  <si>
    <t>033-2200</t>
  </si>
  <si>
    <t>Panda Brandywine</t>
  </si>
  <si>
    <t>5-0844</t>
  </si>
  <si>
    <t>Fuel Oil</t>
  </si>
  <si>
    <t>Btu/gallon</t>
  </si>
  <si>
    <t>5-0845</t>
  </si>
  <si>
    <t>510-265</t>
  </si>
  <si>
    <t>CPSG- Philadelphia Road Power</t>
  </si>
  <si>
    <t>4-0431</t>
  </si>
  <si>
    <t>MMBTU/1E+03 gallons</t>
  </si>
  <si>
    <t>4-0432</t>
  </si>
  <si>
    <t>4-0433</t>
  </si>
  <si>
    <t>4-0434</t>
  </si>
  <si>
    <t>041-0029</t>
  </si>
  <si>
    <t>Easton Utility</t>
  </si>
  <si>
    <t>9-0032</t>
  </si>
  <si>
    <t>Unit 101</t>
  </si>
  <si>
    <t>9-0031</t>
  </si>
  <si>
    <t>Unit 102</t>
  </si>
  <si>
    <t>9-0023</t>
  </si>
  <si>
    <t>Unit 7</t>
  </si>
  <si>
    <t>9-0024</t>
  </si>
  <si>
    <t>9-0025</t>
  </si>
  <si>
    <t>Unit 9</t>
  </si>
  <si>
    <t>9-0026</t>
  </si>
  <si>
    <t>Unit 10</t>
  </si>
  <si>
    <t>9-0027</t>
  </si>
  <si>
    <t>Unit 11</t>
  </si>
  <si>
    <t>9-0028</t>
  </si>
  <si>
    <t>Unit 12</t>
  </si>
  <si>
    <t>9-0029</t>
  </si>
  <si>
    <t>Unit 13</t>
  </si>
  <si>
    <t>9-0030</t>
  </si>
  <si>
    <t>Unit 14</t>
  </si>
  <si>
    <t>041-0069</t>
  </si>
  <si>
    <t>Easton Utility -Airport Park</t>
  </si>
  <si>
    <t>20-9-0037</t>
  </si>
  <si>
    <t>Unit 201</t>
  </si>
  <si>
    <t>20-9-0038</t>
  </si>
  <si>
    <t>Unit 202</t>
  </si>
  <si>
    <t>20-4-0101</t>
  </si>
  <si>
    <t>Unit 203</t>
  </si>
  <si>
    <t>20-4-0102</t>
  </si>
  <si>
    <t>Unit 204</t>
  </si>
  <si>
    <t>20-9-0033</t>
  </si>
  <si>
    <t>Unit 21</t>
  </si>
  <si>
    <t>20-9-0034</t>
  </si>
  <si>
    <t>Unit 22</t>
  </si>
  <si>
    <t>20-9-0035</t>
  </si>
  <si>
    <t>Unit 23</t>
  </si>
  <si>
    <t>20-9-0036</t>
  </si>
  <si>
    <t>Unit 24</t>
  </si>
  <si>
    <t>047-0044</t>
  </si>
  <si>
    <t>Berlin Town Power Plant</t>
  </si>
  <si>
    <t>FM Diesel Gen</t>
  </si>
  <si>
    <t>EMD Diesel Gen</t>
  </si>
  <si>
    <t>Mitsu  Diesel Gen</t>
  </si>
  <si>
    <t>9-0033</t>
  </si>
  <si>
    <t>039-0017</t>
  </si>
  <si>
    <t>Connectiv -Crisfield Generation</t>
  </si>
  <si>
    <t>4-0024</t>
  </si>
  <si>
    <t xml:space="preserve">Unit 1 </t>
  </si>
  <si>
    <t>4-0025</t>
  </si>
  <si>
    <t>4-0026</t>
  </si>
  <si>
    <t>4-0027</t>
  </si>
  <si>
    <t>009-0012</t>
  </si>
  <si>
    <t>Calvert Cliffs Parkway Nuclear PP</t>
  </si>
  <si>
    <t>4-0014</t>
  </si>
  <si>
    <t>11 Aux Boiler</t>
  </si>
  <si>
    <t>4-0015</t>
  </si>
  <si>
    <t>12 Aux Boiler</t>
  </si>
  <si>
    <t>4-0016</t>
  </si>
  <si>
    <t>1B Emergenvy Generator</t>
  </si>
  <si>
    <t>4-0017</t>
  </si>
  <si>
    <t>2A Emergency Generator</t>
  </si>
  <si>
    <t>4-0018</t>
  </si>
  <si>
    <t>2B Emergency Generator</t>
  </si>
  <si>
    <t>9-0015  &amp;  9-0016</t>
  </si>
  <si>
    <t>1A Emergency Generator</t>
  </si>
  <si>
    <t>9-0017   &amp;   9-0018</t>
  </si>
  <si>
    <t>OC Emergency Generator</t>
  </si>
  <si>
    <t>9-0019</t>
  </si>
  <si>
    <t>Security Diesel generator</t>
  </si>
  <si>
    <t xml:space="preserve"> RESIDUAL FUEL COMBUSTION BY UNIT</t>
  </si>
  <si>
    <r>
      <rPr>
        <b/>
        <sz val="10"/>
        <color theme="1"/>
        <rFont val="Arial"/>
        <family val="2"/>
      </rPr>
      <t>CO</t>
    </r>
    <r>
      <rPr>
        <b/>
        <vertAlign val="subscript"/>
        <sz val="10"/>
        <color theme="1"/>
        <rFont val="Arial"/>
        <family val="2"/>
      </rPr>
      <t xml:space="preserve">2 </t>
    </r>
    <r>
      <rPr>
        <b/>
        <sz val="10"/>
        <color theme="1"/>
        <rFont val="Arial"/>
        <family val="2"/>
      </rPr>
      <t>Emmission</t>
    </r>
  </si>
  <si>
    <r>
      <rPr>
        <b/>
        <sz val="10"/>
        <color theme="1"/>
        <rFont val="Arial"/>
        <family val="2"/>
      </rPr>
      <t>CH</t>
    </r>
    <r>
      <rPr>
        <b/>
        <vertAlign val="subscript"/>
        <sz val="10"/>
        <color theme="1"/>
        <rFont val="Arial"/>
        <family val="2"/>
      </rPr>
      <t>4</t>
    </r>
    <r>
      <rPr>
        <b/>
        <sz val="10"/>
        <color theme="1"/>
        <rFont val="Arial"/>
        <family val="2"/>
      </rPr>
      <t xml:space="preserve"> </t>
    </r>
    <r>
      <rPr>
        <b/>
        <vertAlign val="subscript"/>
        <sz val="10"/>
        <color theme="1"/>
        <rFont val="Arial"/>
        <family val="2"/>
      </rPr>
      <t xml:space="preserve"> </t>
    </r>
    <r>
      <rPr>
        <b/>
        <sz val="10"/>
        <color theme="1"/>
        <rFont val="Arial"/>
        <family val="2"/>
      </rPr>
      <t>Emission</t>
    </r>
  </si>
  <si>
    <r>
      <rPr>
        <b/>
        <sz val="10"/>
        <color theme="1"/>
        <rFont val="Arial"/>
        <family val="2"/>
      </rPr>
      <t>N</t>
    </r>
    <r>
      <rPr>
        <b/>
        <vertAlign val="subscript"/>
        <sz val="10"/>
        <color theme="1"/>
        <rFont val="Arial"/>
        <family val="2"/>
      </rPr>
      <t>2</t>
    </r>
    <r>
      <rPr>
        <b/>
        <sz val="10"/>
        <color theme="1"/>
        <rFont val="Arial"/>
        <family val="2"/>
      </rPr>
      <t xml:space="preserve">O </t>
    </r>
    <r>
      <rPr>
        <b/>
        <vertAlign val="subscript"/>
        <sz val="10"/>
        <color theme="1"/>
        <rFont val="Arial"/>
        <family val="2"/>
      </rPr>
      <t xml:space="preserve"> </t>
    </r>
    <r>
      <rPr>
        <b/>
        <sz val="10"/>
        <color theme="1"/>
        <rFont val="Arial"/>
        <family val="2"/>
      </rPr>
      <t>Emission</t>
    </r>
  </si>
  <si>
    <t>Used Oil</t>
  </si>
  <si>
    <t>4-0307</t>
  </si>
  <si>
    <t>P-No.6 Oil</t>
  </si>
  <si>
    <t>Boiler 2  (Unit 4)</t>
  </si>
  <si>
    <t>MMBTU/ gallons</t>
  </si>
  <si>
    <t>#6 Oil</t>
  </si>
  <si>
    <t>027-0661</t>
  </si>
  <si>
    <t>Constellation New Energy</t>
  </si>
  <si>
    <t>9-0394</t>
  </si>
  <si>
    <t>Generator 1</t>
  </si>
  <si>
    <t>9-0395</t>
  </si>
  <si>
    <t>Generator 2</t>
  </si>
  <si>
    <t>9-0396</t>
  </si>
  <si>
    <t>Generator 3</t>
  </si>
  <si>
    <t>9-0397</t>
  </si>
  <si>
    <t>Generator 4</t>
  </si>
  <si>
    <t>9-0398</t>
  </si>
  <si>
    <t>Generator 5</t>
  </si>
  <si>
    <t>017-0235</t>
  </si>
  <si>
    <t>CPV Maryland St. Charles Energy</t>
  </si>
  <si>
    <t>9-0158</t>
  </si>
  <si>
    <t>Emergency Generator</t>
  </si>
  <si>
    <t xml:space="preserve"> NATURAL GAS COMBUSTION BY UNIT</t>
  </si>
  <si>
    <r>
      <rPr>
        <b/>
        <sz val="10"/>
        <color theme="1"/>
        <rFont val="Arial"/>
        <family val="2"/>
      </rPr>
      <t>CO</t>
    </r>
    <r>
      <rPr>
        <b/>
        <vertAlign val="subscript"/>
        <sz val="10"/>
        <color theme="1"/>
        <rFont val="Arial"/>
        <family val="2"/>
      </rPr>
      <t xml:space="preserve">2 </t>
    </r>
    <r>
      <rPr>
        <b/>
        <sz val="10"/>
        <color theme="1"/>
        <rFont val="Arial"/>
        <family val="2"/>
      </rPr>
      <t>Emmission</t>
    </r>
  </si>
  <si>
    <r>
      <rPr>
        <b/>
        <sz val="10"/>
        <color theme="1"/>
        <rFont val="Arial"/>
        <family val="2"/>
      </rPr>
      <t>CH</t>
    </r>
    <r>
      <rPr>
        <b/>
        <vertAlign val="subscript"/>
        <sz val="10"/>
        <color theme="1"/>
        <rFont val="Arial"/>
        <family val="2"/>
      </rPr>
      <t>4</t>
    </r>
    <r>
      <rPr>
        <b/>
        <sz val="10"/>
        <color theme="1"/>
        <rFont val="Arial"/>
        <family val="2"/>
      </rPr>
      <t xml:space="preserve"> </t>
    </r>
    <r>
      <rPr>
        <b/>
        <vertAlign val="subscript"/>
        <sz val="10"/>
        <color theme="1"/>
        <rFont val="Arial"/>
        <family val="2"/>
      </rPr>
      <t xml:space="preserve"> </t>
    </r>
    <r>
      <rPr>
        <b/>
        <sz val="10"/>
        <color theme="1"/>
        <rFont val="Arial"/>
        <family val="2"/>
      </rPr>
      <t>Emission</t>
    </r>
  </si>
  <si>
    <r>
      <rPr>
        <b/>
        <sz val="10"/>
        <color theme="1"/>
        <rFont val="Arial"/>
        <family val="2"/>
      </rPr>
      <t>N</t>
    </r>
    <r>
      <rPr>
        <b/>
        <vertAlign val="subscript"/>
        <sz val="10"/>
        <color theme="1"/>
        <rFont val="Arial"/>
        <family val="2"/>
      </rPr>
      <t>2</t>
    </r>
    <r>
      <rPr>
        <b/>
        <sz val="10"/>
        <color theme="1"/>
        <rFont val="Arial"/>
        <family val="2"/>
      </rPr>
      <t xml:space="preserve">O </t>
    </r>
    <r>
      <rPr>
        <b/>
        <vertAlign val="subscript"/>
        <sz val="10"/>
        <color theme="1"/>
        <rFont val="Arial"/>
        <family val="2"/>
      </rPr>
      <t xml:space="preserve"> </t>
    </r>
    <r>
      <rPr>
        <b/>
        <sz val="10"/>
        <color theme="1"/>
        <rFont val="Arial"/>
        <family val="2"/>
      </rPr>
      <t>Emission</t>
    </r>
  </si>
  <si>
    <t>001-6-0136</t>
  </si>
  <si>
    <t>Limestone Dryer</t>
  </si>
  <si>
    <t>Natural Gas</t>
  </si>
  <si>
    <t>scf</t>
  </si>
  <si>
    <t>Btu/scf</t>
  </si>
  <si>
    <t>S-Gas</t>
  </si>
  <si>
    <t>MMBtu/1E+06 scf</t>
  </si>
  <si>
    <t>Gas</t>
  </si>
  <si>
    <t>Mcf</t>
  </si>
  <si>
    <t>MMBTU/ Mcf</t>
  </si>
  <si>
    <t>MMBTU/ 10E+06 scf</t>
  </si>
  <si>
    <t>Unit 6A CT</t>
  </si>
  <si>
    <t>Unit 6B CT</t>
  </si>
  <si>
    <t>4-1082</t>
  </si>
  <si>
    <t xml:space="preserve"> Boiler #4</t>
  </si>
  <si>
    <t>510-0006</t>
  </si>
  <si>
    <t>Westport</t>
  </si>
  <si>
    <t>5-0005</t>
  </si>
  <si>
    <t>Combustion Turbine Unit 5</t>
  </si>
  <si>
    <t>MMBTU/10E+06 Scf</t>
  </si>
  <si>
    <t>MMBTU/1E+06 scf</t>
  </si>
  <si>
    <t>MMBTU/scf</t>
  </si>
  <si>
    <t>005-0076</t>
  </si>
  <si>
    <t>CPSG- Notch Cliff</t>
  </si>
  <si>
    <t>5-0006</t>
  </si>
  <si>
    <t>5-0007</t>
  </si>
  <si>
    <t>5-0008</t>
  </si>
  <si>
    <t>5-0009</t>
  </si>
  <si>
    <t>Unit 5 CT</t>
  </si>
  <si>
    <t>5-0010</t>
  </si>
  <si>
    <t>Unit 6 CT</t>
  </si>
  <si>
    <t>5-0011</t>
  </si>
  <si>
    <t>Unit 7 CT</t>
  </si>
  <si>
    <t>5-0012</t>
  </si>
  <si>
    <t>Unit 8 CT</t>
  </si>
  <si>
    <t>015-0202</t>
  </si>
  <si>
    <t>Rock Spring</t>
  </si>
  <si>
    <t>5-0076</t>
  </si>
  <si>
    <t>Turbine 1</t>
  </si>
  <si>
    <t>5-0077</t>
  </si>
  <si>
    <t>Turbine 2</t>
  </si>
  <si>
    <t>5-0078</t>
  </si>
  <si>
    <t>Turbine 3</t>
  </si>
  <si>
    <t>5-0079</t>
  </si>
  <si>
    <t>Turbine 4</t>
  </si>
  <si>
    <t>6-0205</t>
  </si>
  <si>
    <t>NG Fuel Gas Heater</t>
  </si>
  <si>
    <t>CT-11</t>
  </si>
  <si>
    <t>Btu/Scf</t>
  </si>
  <si>
    <t>5-0013</t>
  </si>
  <si>
    <t>CT-12</t>
  </si>
  <si>
    <t>5-0016</t>
  </si>
  <si>
    <t>Auxilliary Boiler</t>
  </si>
  <si>
    <t>6-0151</t>
  </si>
  <si>
    <t>Fuel Gas Heater</t>
  </si>
  <si>
    <t>003-00529</t>
  </si>
  <si>
    <t>CPSG -Fort Smallwood Complex</t>
  </si>
  <si>
    <t>Propane</t>
  </si>
  <si>
    <t>510-0007</t>
  </si>
  <si>
    <r>
      <rPr>
        <b/>
        <sz val="10"/>
        <color theme="1"/>
        <rFont val="Arial"/>
        <family val="2"/>
      </rPr>
      <t xml:space="preserve">CPSG - </t>
    </r>
    <r>
      <rPr>
        <b/>
        <sz val="10"/>
        <color rgb="FFFF0000"/>
        <rFont val="Arial"/>
        <family val="2"/>
      </rPr>
      <t>Gould Street</t>
    </r>
  </si>
  <si>
    <t>4-0536</t>
  </si>
  <si>
    <t>Unit 3 Utility B</t>
  </si>
  <si>
    <r>
      <rPr>
        <b/>
        <sz val="18"/>
        <color rgb="FF548DD4"/>
        <rFont val="Calibri"/>
        <family val="2"/>
      </rPr>
      <t>CO</t>
    </r>
    <r>
      <rPr>
        <b/>
        <vertAlign val="subscript"/>
        <sz val="18"/>
        <color rgb="FF548DD4"/>
        <rFont val="Calibri"/>
        <family val="2"/>
      </rPr>
      <t>2</t>
    </r>
    <r>
      <rPr>
        <b/>
        <sz val="18"/>
        <color rgb="FF548DD4"/>
        <rFont val="Calibri"/>
        <family val="2"/>
      </rPr>
      <t xml:space="preserve"> EMISSION SUMMARY</t>
    </r>
  </si>
  <si>
    <t xml:space="preserve"> ALL UNITS</t>
  </si>
  <si>
    <r>
      <rPr>
        <sz val="14"/>
        <color theme="1"/>
        <rFont val="Comic Sans MS"/>
        <family val="4"/>
      </rPr>
      <t>Electric Power Sector CO</t>
    </r>
    <r>
      <rPr>
        <vertAlign val="subscript"/>
        <sz val="14"/>
        <color theme="1"/>
        <rFont val="Comic Sans MS"/>
        <family val="4"/>
      </rPr>
      <t>2</t>
    </r>
  </si>
  <si>
    <t>Consumption</t>
  </si>
  <si>
    <r>
      <rPr>
        <b/>
        <sz val="11"/>
        <color theme="1"/>
        <rFont val="Calibri"/>
        <family val="2"/>
      </rPr>
      <t>CO</t>
    </r>
    <r>
      <rPr>
        <b/>
        <vertAlign val="subscript"/>
        <sz val="11"/>
        <color theme="1"/>
        <rFont val="Calibri"/>
        <family val="2"/>
      </rPr>
      <t>2</t>
    </r>
    <r>
      <rPr>
        <b/>
        <sz val="11"/>
        <color theme="1"/>
        <rFont val="Calibri"/>
        <family val="2"/>
      </rPr>
      <t xml:space="preserve"> Emission </t>
    </r>
  </si>
  <si>
    <r>
      <rPr>
        <b/>
        <sz val="11"/>
        <color theme="1"/>
        <rFont val="Calibri"/>
        <family val="2"/>
      </rPr>
      <t>CO</t>
    </r>
    <r>
      <rPr>
        <b/>
        <vertAlign val="subscript"/>
        <sz val="11"/>
        <color theme="1"/>
        <rFont val="Calibri"/>
        <family val="2"/>
      </rPr>
      <t>2</t>
    </r>
    <r>
      <rPr>
        <b/>
        <sz val="11"/>
        <color theme="1"/>
        <rFont val="Calibri"/>
        <family val="2"/>
      </rPr>
      <t xml:space="preserve"> Emission </t>
    </r>
  </si>
  <si>
    <r>
      <rPr>
        <b/>
        <sz val="11"/>
        <color theme="1"/>
        <rFont val="Calibri"/>
        <family val="2"/>
      </rPr>
      <t>CO</t>
    </r>
    <r>
      <rPr>
        <b/>
        <vertAlign val="subscript"/>
        <sz val="11"/>
        <color theme="1"/>
        <rFont val="Calibri"/>
        <family val="2"/>
      </rPr>
      <t>2</t>
    </r>
    <r>
      <rPr>
        <b/>
        <sz val="11"/>
        <color theme="1"/>
        <rFont val="Calibri"/>
        <family val="2"/>
      </rPr>
      <t xml:space="preserve"> Emission</t>
    </r>
  </si>
  <si>
    <r>
      <rPr>
        <b/>
        <sz val="11"/>
        <color theme="1"/>
        <rFont val="Calibri"/>
        <family val="2"/>
      </rPr>
      <t>CO</t>
    </r>
    <r>
      <rPr>
        <b/>
        <vertAlign val="subscript"/>
        <sz val="11"/>
        <color theme="1"/>
        <rFont val="Calibri"/>
        <family val="2"/>
      </rPr>
      <t>2</t>
    </r>
    <r>
      <rPr>
        <b/>
        <sz val="11"/>
        <color theme="1"/>
        <rFont val="Calibri"/>
        <family val="2"/>
      </rPr>
      <t xml:space="preserve"> Emission </t>
    </r>
  </si>
  <si>
    <t>(short tons)</t>
  </si>
  <si>
    <t>(metric tons)</t>
  </si>
  <si>
    <r>
      <rPr>
        <b/>
        <sz val="11"/>
        <color theme="1"/>
        <rFont val="Calibri"/>
        <family val="2"/>
      </rPr>
      <t xml:space="preserve"> (MMTCO</t>
    </r>
    <r>
      <rPr>
        <b/>
        <vertAlign val="subscript"/>
        <sz val="11"/>
        <color theme="1"/>
        <rFont val="Calibri"/>
        <family val="2"/>
      </rPr>
      <t>2</t>
    </r>
    <r>
      <rPr>
        <b/>
        <sz val="11"/>
        <color theme="1"/>
        <rFont val="Calibri"/>
        <family val="2"/>
      </rPr>
      <t>)</t>
    </r>
  </si>
  <si>
    <t>(MMTC)</t>
  </si>
  <si>
    <t>CO2_GWP=</t>
  </si>
  <si>
    <t>Distillate Fuel</t>
  </si>
  <si>
    <t>CH4_GWP =</t>
  </si>
  <si>
    <t>Residual Fuel</t>
  </si>
  <si>
    <t>N2O_GWP=</t>
  </si>
  <si>
    <t>SF6_GWP =</t>
  </si>
  <si>
    <r>
      <rPr>
        <b/>
        <sz val="18"/>
        <color rgb="FF548DD4"/>
        <rFont val="Calibri"/>
        <family val="2"/>
      </rPr>
      <t>CH</t>
    </r>
    <r>
      <rPr>
        <b/>
        <vertAlign val="subscript"/>
        <sz val="18"/>
        <color rgb="FF548DD4"/>
        <rFont val="Calibri"/>
        <family val="2"/>
      </rPr>
      <t>4</t>
    </r>
    <r>
      <rPr>
        <b/>
        <sz val="18"/>
        <color rgb="FF548DD4"/>
        <rFont val="Calibri"/>
        <family val="2"/>
      </rPr>
      <t xml:space="preserve"> EMISSION SUMMARY</t>
    </r>
  </si>
  <si>
    <r>
      <rPr>
        <sz val="14"/>
        <color rgb="FF000000"/>
        <rFont val="Comic Sans MS"/>
        <family val="4"/>
      </rPr>
      <t>Electric Power Sector CH</t>
    </r>
    <r>
      <rPr>
        <vertAlign val="subscript"/>
        <sz val="14"/>
        <color rgb="FF000000"/>
        <rFont val="Comic Sans MS"/>
        <family val="4"/>
      </rPr>
      <t>4</t>
    </r>
  </si>
  <si>
    <t xml:space="preserve">Emissions </t>
  </si>
  <si>
    <t>GWP</t>
  </si>
  <si>
    <t>(Billion Btu)</t>
  </si>
  <si>
    <r>
      <rPr>
        <sz val="11"/>
        <color theme="1"/>
        <rFont val="Arial"/>
        <family val="2"/>
      </rPr>
      <t>(short tons CH</t>
    </r>
    <r>
      <rPr>
        <b/>
        <vertAlign val="subscript"/>
        <sz val="11"/>
        <color theme="1"/>
        <rFont val="Arial"/>
        <family val="2"/>
      </rPr>
      <t>4</t>
    </r>
    <r>
      <rPr>
        <b/>
        <sz val="11"/>
        <color theme="1"/>
        <rFont val="Arial"/>
        <family val="2"/>
      </rPr>
      <t>)</t>
    </r>
  </si>
  <si>
    <r>
      <rPr>
        <sz val="11"/>
        <color theme="1"/>
        <rFont val="Arial"/>
        <family val="2"/>
      </rPr>
      <t>(metric tons CH</t>
    </r>
    <r>
      <rPr>
        <b/>
        <vertAlign val="subscript"/>
        <sz val="11"/>
        <color theme="1"/>
        <rFont val="Arial"/>
        <family val="2"/>
      </rPr>
      <t>4</t>
    </r>
    <r>
      <rPr>
        <b/>
        <sz val="11"/>
        <color theme="1"/>
        <rFont val="Arial"/>
        <family val="2"/>
      </rPr>
      <t>)</t>
    </r>
  </si>
  <si>
    <r>
      <rPr>
        <sz val="11"/>
        <color theme="1"/>
        <rFont val="Arial"/>
        <family val="2"/>
      </rPr>
      <t>(MMTCO</t>
    </r>
    <r>
      <rPr>
        <b/>
        <vertAlign val="subscript"/>
        <sz val="11"/>
        <color theme="1"/>
        <rFont val="Arial"/>
        <family val="2"/>
      </rPr>
      <t>2</t>
    </r>
    <r>
      <rPr>
        <b/>
        <sz val="11"/>
        <color theme="1"/>
        <rFont val="Arial"/>
        <family val="2"/>
      </rPr>
      <t>E)</t>
    </r>
  </si>
  <si>
    <r>
      <rPr>
        <sz val="18"/>
        <color rgb="FF548DD4"/>
        <rFont val="Calibri"/>
        <family val="2"/>
      </rPr>
      <t>N</t>
    </r>
    <r>
      <rPr>
        <b/>
        <vertAlign val="subscript"/>
        <sz val="18"/>
        <color rgb="FF548DD4"/>
        <rFont val="Calibri"/>
        <family val="2"/>
      </rPr>
      <t>2</t>
    </r>
    <r>
      <rPr>
        <b/>
        <sz val="18"/>
        <color rgb="FF548DD4"/>
        <rFont val="Calibri"/>
        <family val="2"/>
      </rPr>
      <t>O EMISSION SUMMARY</t>
    </r>
  </si>
  <si>
    <t>ALL UNITS</t>
  </si>
  <si>
    <r>
      <rPr>
        <sz val="14"/>
        <color theme="1"/>
        <rFont val="Comic Sans MS"/>
        <family val="4"/>
      </rPr>
      <t>Electric Power Sector N</t>
    </r>
    <r>
      <rPr>
        <vertAlign val="subscript"/>
        <sz val="14"/>
        <color theme="1"/>
        <rFont val="Comic Sans MS"/>
        <family val="4"/>
      </rPr>
      <t>2</t>
    </r>
    <r>
      <rPr>
        <sz val="14"/>
        <color theme="1"/>
        <rFont val="Comic Sans MS"/>
        <family val="4"/>
      </rPr>
      <t>O</t>
    </r>
  </si>
  <si>
    <t>Emissions</t>
  </si>
  <si>
    <r>
      <rPr>
        <sz val="11"/>
        <color theme="1"/>
        <rFont val="Arial"/>
        <family val="2"/>
      </rPr>
      <t>(short tons N</t>
    </r>
    <r>
      <rPr>
        <b/>
        <vertAlign val="subscript"/>
        <sz val="11"/>
        <color theme="1"/>
        <rFont val="Comic Sans MS"/>
        <family val="4"/>
      </rPr>
      <t>2</t>
    </r>
    <r>
      <rPr>
        <b/>
        <sz val="11"/>
        <color theme="1"/>
        <rFont val="Comic Sans MS"/>
        <family val="4"/>
      </rPr>
      <t>O)</t>
    </r>
  </si>
  <si>
    <r>
      <rPr>
        <sz val="11"/>
        <color theme="1"/>
        <rFont val="Arial"/>
        <family val="2"/>
      </rPr>
      <t>(metric tons N</t>
    </r>
    <r>
      <rPr>
        <b/>
        <vertAlign val="subscript"/>
        <sz val="11"/>
        <color theme="1"/>
        <rFont val="Comic Sans MS"/>
        <family val="4"/>
      </rPr>
      <t>2</t>
    </r>
    <r>
      <rPr>
        <b/>
        <sz val="11"/>
        <color theme="1"/>
        <rFont val="Comic Sans MS"/>
        <family val="4"/>
      </rPr>
      <t>O)</t>
    </r>
  </si>
  <si>
    <r>
      <rPr>
        <sz val="11"/>
        <color theme="1"/>
        <rFont val="Arial"/>
        <family val="2"/>
      </rPr>
      <t>(MMTCO</t>
    </r>
    <r>
      <rPr>
        <b/>
        <vertAlign val="subscript"/>
        <sz val="11"/>
        <color theme="1"/>
        <rFont val="Comic Sans MS"/>
        <family val="4"/>
      </rPr>
      <t>2</t>
    </r>
    <r>
      <rPr>
        <b/>
        <sz val="11"/>
        <color theme="1"/>
        <rFont val="Comic Sans MS"/>
        <family val="4"/>
      </rPr>
      <t>E)</t>
    </r>
  </si>
  <si>
    <t>GHG EMISSION SUMMARY</t>
  </si>
  <si>
    <t>Electric Power Sector GHG</t>
  </si>
  <si>
    <r>
      <rPr>
        <b/>
        <sz val="11"/>
        <color theme="1"/>
        <rFont val="Arial"/>
        <family val="2"/>
      </rPr>
      <t>CO</t>
    </r>
    <r>
      <rPr>
        <b/>
        <vertAlign val="subscript"/>
        <sz val="11"/>
        <color theme="1"/>
        <rFont val="Arial"/>
        <family val="2"/>
      </rPr>
      <t>2</t>
    </r>
  </si>
  <si>
    <r>
      <rPr>
        <b/>
        <sz val="11"/>
        <color theme="1"/>
        <rFont val="Arial"/>
        <family val="2"/>
      </rPr>
      <t>N</t>
    </r>
    <r>
      <rPr>
        <b/>
        <vertAlign val="subscript"/>
        <sz val="11"/>
        <color theme="1"/>
        <rFont val="Arial"/>
        <family val="2"/>
      </rPr>
      <t>2</t>
    </r>
    <r>
      <rPr>
        <b/>
        <sz val="11"/>
        <color theme="1"/>
        <rFont val="Arial"/>
        <family val="2"/>
      </rPr>
      <t>O</t>
    </r>
  </si>
  <si>
    <r>
      <rPr>
        <b/>
        <sz val="11"/>
        <color theme="1"/>
        <rFont val="Arial"/>
        <family val="2"/>
      </rPr>
      <t>CH</t>
    </r>
    <r>
      <rPr>
        <b/>
        <vertAlign val="subscript"/>
        <sz val="11"/>
        <color theme="1"/>
        <rFont val="Arial"/>
        <family val="2"/>
      </rPr>
      <t>4</t>
    </r>
  </si>
  <si>
    <r>
      <rPr>
        <b/>
        <sz val="11"/>
        <color theme="1"/>
        <rFont val="Arial"/>
        <family val="2"/>
      </rPr>
      <t>(MMTCO</t>
    </r>
    <r>
      <rPr>
        <b/>
        <vertAlign val="subscript"/>
        <sz val="11"/>
        <color theme="1"/>
        <rFont val="Arial"/>
        <family val="2"/>
      </rPr>
      <t>2</t>
    </r>
    <r>
      <rPr>
        <b/>
        <sz val="11"/>
        <color theme="1"/>
        <rFont val="Arial"/>
        <family val="2"/>
      </rPr>
      <t>E)</t>
    </r>
  </si>
  <si>
    <r>
      <rPr>
        <b/>
        <sz val="11"/>
        <color theme="1"/>
        <rFont val="Arial"/>
        <family val="2"/>
      </rPr>
      <t>(MMTCO</t>
    </r>
    <r>
      <rPr>
        <b/>
        <vertAlign val="subscript"/>
        <sz val="11"/>
        <color theme="1"/>
        <rFont val="Arial"/>
        <family val="2"/>
      </rPr>
      <t>2</t>
    </r>
    <r>
      <rPr>
        <b/>
        <sz val="11"/>
        <color theme="1"/>
        <rFont val="Arial"/>
        <family val="2"/>
      </rPr>
      <t>E)</t>
    </r>
  </si>
  <si>
    <r>
      <rPr>
        <b/>
        <sz val="11"/>
        <color theme="1"/>
        <rFont val="Arial"/>
        <family val="2"/>
      </rPr>
      <t>(MMTCO</t>
    </r>
    <r>
      <rPr>
        <b/>
        <vertAlign val="subscript"/>
        <sz val="11"/>
        <color theme="1"/>
        <rFont val="Arial"/>
        <family val="2"/>
      </rPr>
      <t>2</t>
    </r>
    <r>
      <rPr>
        <b/>
        <sz val="11"/>
        <color theme="1"/>
        <rFont val="Arial"/>
        <family val="2"/>
      </rPr>
      <t>E)</t>
    </r>
  </si>
  <si>
    <r>
      <rPr>
        <b/>
        <sz val="11"/>
        <color theme="1"/>
        <rFont val="Arial"/>
        <family val="2"/>
      </rPr>
      <t>(MMTCO</t>
    </r>
    <r>
      <rPr>
        <b/>
        <vertAlign val="subscript"/>
        <sz val="11"/>
        <color theme="1"/>
        <rFont val="Arial"/>
        <family val="2"/>
      </rPr>
      <t>2</t>
    </r>
    <r>
      <rPr>
        <b/>
        <sz val="11"/>
        <color theme="1"/>
        <rFont val="Arial"/>
        <family val="2"/>
      </rPr>
      <t>E)</t>
    </r>
  </si>
  <si>
    <t>POWER BOILERS (Severstal) 2017</t>
  </si>
  <si>
    <t># 6 Oil</t>
  </si>
  <si>
    <t>BFG</t>
  </si>
  <si>
    <t>NG</t>
  </si>
  <si>
    <t xml:space="preserve">Total </t>
  </si>
  <si>
    <t>(gal)</t>
  </si>
  <si>
    <t>(scf)</t>
  </si>
  <si>
    <t>(mcf)</t>
  </si>
  <si>
    <t>Qty</t>
  </si>
  <si>
    <t>btus/unit</t>
  </si>
  <si>
    <t>Pennwood #1</t>
  </si>
  <si>
    <t>mmbtus</t>
  </si>
  <si>
    <r>
      <rPr>
        <b/>
        <sz val="10"/>
        <color theme="1"/>
        <rFont val="Arial"/>
        <family val="2"/>
      </rPr>
      <t>CO</t>
    </r>
    <r>
      <rPr>
        <b/>
        <vertAlign val="subscript"/>
        <sz val="10"/>
        <color theme="1"/>
        <rFont val="Arial"/>
        <family val="2"/>
      </rPr>
      <t>2</t>
    </r>
    <r>
      <rPr>
        <b/>
        <sz val="10"/>
        <color theme="1"/>
        <rFont val="Arial"/>
        <family val="2"/>
      </rPr>
      <t xml:space="preserve"> emissions in metric tons</t>
    </r>
  </si>
  <si>
    <r>
      <rPr>
        <b/>
        <sz val="10"/>
        <color theme="1"/>
        <rFont val="Arial"/>
        <family val="2"/>
      </rPr>
      <t>CH</t>
    </r>
    <r>
      <rPr>
        <b/>
        <vertAlign val="subscript"/>
        <sz val="10"/>
        <color theme="1"/>
        <rFont val="Arial"/>
        <family val="2"/>
      </rPr>
      <t>4</t>
    </r>
    <r>
      <rPr>
        <b/>
        <sz val="10"/>
        <color theme="1"/>
        <rFont val="Arial"/>
        <family val="2"/>
      </rPr>
      <t xml:space="preserve"> emissions in metric tons</t>
    </r>
  </si>
  <si>
    <r>
      <rPr>
        <b/>
        <sz val="10"/>
        <color theme="1"/>
        <rFont val="Arial"/>
        <family val="2"/>
      </rPr>
      <t>N</t>
    </r>
    <r>
      <rPr>
        <b/>
        <vertAlign val="subscript"/>
        <sz val="10"/>
        <color theme="1"/>
        <rFont val="Arial"/>
        <family val="2"/>
      </rPr>
      <t>2</t>
    </r>
    <r>
      <rPr>
        <b/>
        <sz val="10"/>
        <color theme="1"/>
        <rFont val="Arial"/>
        <family val="2"/>
      </rPr>
      <t>O emissions  in metric tons</t>
    </r>
  </si>
  <si>
    <t>Pennwood #2</t>
  </si>
  <si>
    <r>
      <rPr>
        <b/>
        <sz val="10"/>
        <color theme="1"/>
        <rFont val="Arial"/>
        <family val="2"/>
      </rPr>
      <t>CO</t>
    </r>
    <r>
      <rPr>
        <b/>
        <vertAlign val="subscript"/>
        <sz val="10"/>
        <color theme="1"/>
        <rFont val="Arial"/>
        <family val="2"/>
      </rPr>
      <t>2</t>
    </r>
    <r>
      <rPr>
        <b/>
        <sz val="10"/>
        <color theme="1"/>
        <rFont val="Arial"/>
        <family val="2"/>
      </rPr>
      <t xml:space="preserve"> emissions in metric tons</t>
    </r>
  </si>
  <si>
    <r>
      <rPr>
        <b/>
        <sz val="10"/>
        <color theme="1"/>
        <rFont val="Arial"/>
        <family val="2"/>
      </rPr>
      <t>CH</t>
    </r>
    <r>
      <rPr>
        <b/>
        <vertAlign val="subscript"/>
        <sz val="10"/>
        <color theme="1"/>
        <rFont val="Arial"/>
        <family val="2"/>
      </rPr>
      <t>4</t>
    </r>
    <r>
      <rPr>
        <b/>
        <sz val="10"/>
        <color theme="1"/>
        <rFont val="Arial"/>
        <family val="2"/>
      </rPr>
      <t xml:space="preserve"> emissions in metric tons</t>
    </r>
  </si>
  <si>
    <r>
      <rPr>
        <b/>
        <sz val="10"/>
        <color theme="1"/>
        <rFont val="Arial"/>
        <family val="2"/>
      </rPr>
      <t>N</t>
    </r>
    <r>
      <rPr>
        <b/>
        <vertAlign val="subscript"/>
        <sz val="10"/>
        <color theme="1"/>
        <rFont val="Arial"/>
        <family val="2"/>
      </rPr>
      <t>2</t>
    </r>
    <r>
      <rPr>
        <b/>
        <sz val="10"/>
        <color theme="1"/>
        <rFont val="Arial"/>
        <family val="2"/>
      </rPr>
      <t>O emissions in metric tons</t>
    </r>
  </si>
  <si>
    <t>Pennwood #3</t>
  </si>
  <si>
    <r>
      <rPr>
        <b/>
        <sz val="10"/>
        <color theme="1"/>
        <rFont val="Arial"/>
        <family val="2"/>
      </rPr>
      <t>CO</t>
    </r>
    <r>
      <rPr>
        <b/>
        <vertAlign val="subscript"/>
        <sz val="10"/>
        <color theme="1"/>
        <rFont val="Arial"/>
        <family val="2"/>
      </rPr>
      <t>2</t>
    </r>
    <r>
      <rPr>
        <b/>
        <sz val="10"/>
        <color theme="1"/>
        <rFont val="Arial"/>
        <family val="2"/>
      </rPr>
      <t xml:space="preserve"> emissions in metric tons</t>
    </r>
  </si>
  <si>
    <r>
      <rPr>
        <b/>
        <sz val="10"/>
        <color theme="1"/>
        <rFont val="Arial"/>
        <family val="2"/>
      </rPr>
      <t>CH</t>
    </r>
    <r>
      <rPr>
        <b/>
        <vertAlign val="subscript"/>
        <sz val="10"/>
        <color theme="1"/>
        <rFont val="Arial"/>
        <family val="2"/>
      </rPr>
      <t>4</t>
    </r>
    <r>
      <rPr>
        <b/>
        <sz val="10"/>
        <color theme="1"/>
        <rFont val="Arial"/>
        <family val="2"/>
      </rPr>
      <t xml:space="preserve"> emissions in metric tons</t>
    </r>
  </si>
  <si>
    <r>
      <rPr>
        <b/>
        <sz val="10"/>
        <color theme="1"/>
        <rFont val="Arial"/>
        <family val="2"/>
      </rPr>
      <t>N</t>
    </r>
    <r>
      <rPr>
        <b/>
        <vertAlign val="subscript"/>
        <sz val="10"/>
        <color theme="1"/>
        <rFont val="Arial"/>
        <family val="2"/>
      </rPr>
      <t>2</t>
    </r>
    <r>
      <rPr>
        <b/>
        <sz val="10"/>
        <color theme="1"/>
        <rFont val="Arial"/>
        <family val="2"/>
      </rPr>
      <t>O emissions in metric tons</t>
    </r>
  </si>
  <si>
    <t>Pennwood #4</t>
  </si>
  <si>
    <r>
      <rPr>
        <b/>
        <sz val="10"/>
        <color theme="1"/>
        <rFont val="Arial"/>
        <family val="2"/>
      </rPr>
      <t>CO</t>
    </r>
    <r>
      <rPr>
        <b/>
        <vertAlign val="subscript"/>
        <sz val="10"/>
        <color theme="1"/>
        <rFont val="Arial"/>
        <family val="2"/>
      </rPr>
      <t>2</t>
    </r>
    <r>
      <rPr>
        <b/>
        <sz val="10"/>
        <color theme="1"/>
        <rFont val="Arial"/>
        <family val="2"/>
      </rPr>
      <t xml:space="preserve"> emissions in metric tons</t>
    </r>
  </si>
  <si>
    <r>
      <rPr>
        <b/>
        <sz val="10"/>
        <color theme="1"/>
        <rFont val="Arial"/>
        <family val="2"/>
      </rPr>
      <t>CH</t>
    </r>
    <r>
      <rPr>
        <b/>
        <vertAlign val="subscript"/>
        <sz val="10"/>
        <color theme="1"/>
        <rFont val="Arial"/>
        <family val="2"/>
      </rPr>
      <t>4</t>
    </r>
    <r>
      <rPr>
        <b/>
        <sz val="10"/>
        <color theme="1"/>
        <rFont val="Arial"/>
        <family val="2"/>
      </rPr>
      <t xml:space="preserve"> emissions in metric tons</t>
    </r>
  </si>
  <si>
    <r>
      <rPr>
        <b/>
        <sz val="10"/>
        <color theme="1"/>
        <rFont val="Arial"/>
        <family val="2"/>
      </rPr>
      <t>N</t>
    </r>
    <r>
      <rPr>
        <b/>
        <vertAlign val="subscript"/>
        <sz val="10"/>
        <color theme="1"/>
        <rFont val="Arial"/>
        <family val="2"/>
      </rPr>
      <t>2</t>
    </r>
    <r>
      <rPr>
        <b/>
        <sz val="10"/>
        <color theme="1"/>
        <rFont val="Arial"/>
        <family val="2"/>
      </rPr>
      <t>O emissions in metric tons</t>
    </r>
  </si>
  <si>
    <t>Summary Fossil Fuel Combustion</t>
  </si>
  <si>
    <t>MMBTU</t>
  </si>
  <si>
    <r>
      <rPr>
        <b/>
        <sz val="10"/>
        <color theme="1"/>
        <rFont val="Arial"/>
        <family val="2"/>
      </rPr>
      <t>CO</t>
    </r>
    <r>
      <rPr>
        <b/>
        <vertAlign val="subscript"/>
        <sz val="10"/>
        <color theme="1"/>
        <rFont val="Arial"/>
        <family val="2"/>
      </rPr>
      <t>2</t>
    </r>
    <r>
      <rPr>
        <b/>
        <sz val="10"/>
        <color theme="1"/>
        <rFont val="Arial"/>
        <family val="2"/>
      </rPr>
      <t xml:space="preserve"> Emission </t>
    </r>
  </si>
  <si>
    <r>
      <rPr>
        <b/>
        <sz val="10"/>
        <color theme="1"/>
        <rFont val="Arial"/>
        <family val="2"/>
      </rPr>
      <t>CO</t>
    </r>
    <r>
      <rPr>
        <b/>
        <vertAlign val="subscript"/>
        <sz val="10"/>
        <color theme="1"/>
        <rFont val="Arial"/>
        <family val="2"/>
      </rPr>
      <t>2</t>
    </r>
    <r>
      <rPr>
        <b/>
        <sz val="10"/>
        <color theme="1"/>
        <rFont val="Arial"/>
        <family val="2"/>
      </rPr>
      <t xml:space="preserve"> Emission </t>
    </r>
  </si>
  <si>
    <r>
      <rPr>
        <b/>
        <sz val="10"/>
        <color theme="1"/>
        <rFont val="Arial"/>
        <family val="2"/>
      </rPr>
      <t>CO</t>
    </r>
    <r>
      <rPr>
        <b/>
        <vertAlign val="subscript"/>
        <sz val="10"/>
        <color theme="1"/>
        <rFont val="Arial"/>
        <family val="2"/>
      </rPr>
      <t>2</t>
    </r>
    <r>
      <rPr>
        <b/>
        <sz val="10"/>
        <color theme="1"/>
        <rFont val="Arial"/>
        <family val="2"/>
      </rPr>
      <t xml:space="preserve"> Emission </t>
    </r>
  </si>
  <si>
    <t>(MMTCO2)</t>
  </si>
  <si>
    <t>Petroleum</t>
  </si>
  <si>
    <r>
      <rPr>
        <b/>
        <sz val="10"/>
        <color theme="1"/>
        <rFont val="Arial"/>
        <family val="2"/>
      </rPr>
      <t>CH</t>
    </r>
    <r>
      <rPr>
        <b/>
        <vertAlign val="subscript"/>
        <sz val="10"/>
        <color theme="1"/>
        <rFont val="Arial"/>
        <family val="2"/>
      </rPr>
      <t>4</t>
    </r>
    <r>
      <rPr>
        <b/>
        <sz val="10"/>
        <color theme="1"/>
        <rFont val="Arial"/>
        <family val="2"/>
      </rPr>
      <t xml:space="preserve"> Emission </t>
    </r>
  </si>
  <si>
    <r>
      <rPr>
        <b/>
        <sz val="10"/>
        <color theme="1"/>
        <rFont val="Arial"/>
        <family val="2"/>
      </rPr>
      <t>CH</t>
    </r>
    <r>
      <rPr>
        <b/>
        <vertAlign val="subscript"/>
        <sz val="10"/>
        <color theme="1"/>
        <rFont val="Arial"/>
        <family val="2"/>
      </rPr>
      <t>4</t>
    </r>
    <r>
      <rPr>
        <b/>
        <sz val="10"/>
        <color theme="1"/>
        <rFont val="Arial"/>
        <family val="2"/>
      </rPr>
      <t xml:space="preserve"> Emission </t>
    </r>
  </si>
  <si>
    <r>
      <rPr>
        <b/>
        <sz val="10"/>
        <color theme="1"/>
        <rFont val="Arial"/>
        <family val="2"/>
      </rPr>
      <t>CH</t>
    </r>
    <r>
      <rPr>
        <b/>
        <vertAlign val="subscript"/>
        <sz val="10"/>
        <color theme="1"/>
        <rFont val="Arial"/>
        <family val="2"/>
      </rPr>
      <t>4</t>
    </r>
    <r>
      <rPr>
        <b/>
        <sz val="10"/>
        <color theme="1"/>
        <rFont val="Arial"/>
        <family val="2"/>
      </rPr>
      <t xml:space="preserve"> Emission </t>
    </r>
  </si>
  <si>
    <r>
      <rPr>
        <b/>
        <sz val="10"/>
        <color theme="1"/>
        <rFont val="Arial"/>
        <family val="2"/>
      </rPr>
      <t>N</t>
    </r>
    <r>
      <rPr>
        <b/>
        <vertAlign val="subscript"/>
        <sz val="10"/>
        <color theme="1"/>
        <rFont val="Arial"/>
        <family val="2"/>
      </rPr>
      <t>2</t>
    </r>
    <r>
      <rPr>
        <b/>
        <sz val="10"/>
        <color theme="1"/>
        <rFont val="Arial"/>
        <family val="2"/>
      </rPr>
      <t xml:space="preserve">O Emission </t>
    </r>
  </si>
  <si>
    <r>
      <rPr>
        <b/>
        <sz val="10"/>
        <color theme="1"/>
        <rFont val="Arial"/>
        <family val="2"/>
      </rPr>
      <t>N</t>
    </r>
    <r>
      <rPr>
        <b/>
        <vertAlign val="subscript"/>
        <sz val="10"/>
        <color theme="1"/>
        <rFont val="Arial"/>
        <family val="2"/>
      </rPr>
      <t>2</t>
    </r>
    <r>
      <rPr>
        <b/>
        <sz val="10"/>
        <color theme="1"/>
        <rFont val="Arial"/>
        <family val="2"/>
      </rPr>
      <t xml:space="preserve">O Emission </t>
    </r>
  </si>
  <si>
    <r>
      <rPr>
        <b/>
        <sz val="10"/>
        <color theme="1"/>
        <rFont val="Arial"/>
        <family val="2"/>
      </rPr>
      <t>N</t>
    </r>
    <r>
      <rPr>
        <b/>
        <vertAlign val="subscript"/>
        <sz val="10"/>
        <color theme="1"/>
        <rFont val="Arial"/>
        <family val="2"/>
      </rPr>
      <t>2</t>
    </r>
    <r>
      <rPr>
        <b/>
        <sz val="10"/>
        <color theme="1"/>
        <rFont val="Arial"/>
        <family val="2"/>
      </rPr>
      <t xml:space="preserve">O Emission </t>
    </r>
  </si>
  <si>
    <t>kg/mmBTU</t>
  </si>
  <si>
    <t>POWER BOILERS (LUKE) 2017</t>
  </si>
  <si>
    <r>
      <rPr>
        <b/>
        <sz val="11"/>
        <color theme="1"/>
        <rFont val="Calibri"/>
        <family val="2"/>
      </rPr>
      <t>CO</t>
    </r>
    <r>
      <rPr>
        <b/>
        <vertAlign val="subscript"/>
        <sz val="11"/>
        <color theme="1"/>
        <rFont val="Calibri"/>
        <family val="2"/>
      </rPr>
      <t>2</t>
    </r>
  </si>
  <si>
    <t>CEM</t>
  </si>
  <si>
    <r>
      <rPr>
        <b/>
        <sz val="11"/>
        <color theme="1"/>
        <rFont val="Calibri"/>
        <family val="2"/>
      </rPr>
      <t>CH</t>
    </r>
    <r>
      <rPr>
        <b/>
        <vertAlign val="subscript"/>
        <sz val="11"/>
        <color theme="1"/>
        <rFont val="Calibri"/>
        <family val="2"/>
      </rPr>
      <t>4</t>
    </r>
  </si>
  <si>
    <r>
      <rPr>
        <b/>
        <sz val="11"/>
        <color theme="1"/>
        <rFont val="Calibri"/>
        <family val="2"/>
      </rPr>
      <t>N</t>
    </r>
    <r>
      <rPr>
        <b/>
        <vertAlign val="subscript"/>
        <sz val="11"/>
        <color theme="1"/>
        <rFont val="Calibri"/>
        <family val="2"/>
      </rPr>
      <t>2</t>
    </r>
    <r>
      <rPr>
        <b/>
        <sz val="11"/>
        <color theme="1"/>
        <rFont val="Calibri"/>
        <family val="2"/>
      </rPr>
      <t>O</t>
    </r>
  </si>
  <si>
    <t>Oil(2,4)</t>
  </si>
  <si>
    <t>Oil(6)</t>
  </si>
  <si>
    <t>Biomass</t>
  </si>
  <si>
    <t xml:space="preserve">% of Heat </t>
  </si>
  <si>
    <t>Share</t>
  </si>
  <si>
    <t># 2 Oil</t>
  </si>
  <si>
    <t># 4 Oil</t>
  </si>
  <si>
    <t>(Power Boiler)</t>
  </si>
  <si>
    <r>
      <rPr>
        <sz val="11"/>
        <color theme="1"/>
        <rFont val="Calibri"/>
        <family val="2"/>
      </rPr>
      <t>(ft</t>
    </r>
    <r>
      <rPr>
        <vertAlign val="superscript"/>
        <sz val="11"/>
        <color theme="1"/>
        <rFont val="Calibri"/>
        <family val="2"/>
      </rPr>
      <t>3</t>
    </r>
    <r>
      <rPr>
        <sz val="11"/>
        <color theme="1"/>
        <rFont val="Calibri"/>
        <family val="2"/>
      </rPr>
      <t>)</t>
    </r>
  </si>
  <si>
    <r>
      <rPr>
        <b/>
        <sz val="11"/>
        <color theme="1"/>
        <rFont val="Calibri"/>
        <family val="2"/>
      </rPr>
      <t>CO</t>
    </r>
    <r>
      <rPr>
        <b/>
        <vertAlign val="subscript"/>
        <sz val="11"/>
        <color theme="1"/>
        <rFont val="Calibri"/>
        <family val="2"/>
      </rPr>
      <t>2</t>
    </r>
    <r>
      <rPr>
        <b/>
        <sz val="11"/>
        <color theme="1"/>
        <rFont val="Calibri"/>
        <family val="2"/>
      </rPr>
      <t xml:space="preserve"> emissions (short tons)</t>
    </r>
  </si>
  <si>
    <t>No. 24</t>
  </si>
  <si>
    <r>
      <rPr>
        <b/>
        <sz val="11"/>
        <color theme="1"/>
        <rFont val="Calibri"/>
        <family val="2"/>
      </rPr>
      <t>CH</t>
    </r>
    <r>
      <rPr>
        <b/>
        <vertAlign val="subscript"/>
        <sz val="11"/>
        <color theme="1"/>
        <rFont val="Calibri"/>
        <family val="2"/>
      </rPr>
      <t>4</t>
    </r>
    <r>
      <rPr>
        <b/>
        <sz val="11"/>
        <color theme="1"/>
        <rFont val="Calibri"/>
        <family val="2"/>
      </rPr>
      <t xml:space="preserve"> emissions (short tons)</t>
    </r>
  </si>
  <si>
    <r>
      <rPr>
        <b/>
        <sz val="11"/>
        <color theme="1"/>
        <rFont val="Calibri"/>
        <family val="2"/>
      </rPr>
      <t>N</t>
    </r>
    <r>
      <rPr>
        <b/>
        <vertAlign val="subscript"/>
        <sz val="11"/>
        <color theme="1"/>
        <rFont val="Calibri"/>
        <family val="2"/>
      </rPr>
      <t>2</t>
    </r>
    <r>
      <rPr>
        <b/>
        <sz val="11"/>
        <color theme="1"/>
        <rFont val="Calibri"/>
        <family val="2"/>
      </rPr>
      <t>O emissions  (short tons)</t>
    </r>
  </si>
  <si>
    <r>
      <rPr>
        <b/>
        <sz val="11"/>
        <color theme="1"/>
        <rFont val="Calibri"/>
        <family val="2"/>
      </rPr>
      <t>CO</t>
    </r>
    <r>
      <rPr>
        <b/>
        <vertAlign val="subscript"/>
        <sz val="11"/>
        <color theme="1"/>
        <rFont val="Calibri"/>
        <family val="2"/>
      </rPr>
      <t>2</t>
    </r>
    <r>
      <rPr>
        <b/>
        <sz val="11"/>
        <color theme="1"/>
        <rFont val="Calibri"/>
        <family val="2"/>
      </rPr>
      <t xml:space="preserve"> emissions (short tons)</t>
    </r>
  </si>
  <si>
    <t>No. 25</t>
  </si>
  <si>
    <r>
      <rPr>
        <b/>
        <sz val="11"/>
        <color theme="1"/>
        <rFont val="Calibri"/>
        <family val="2"/>
      </rPr>
      <t>CH</t>
    </r>
    <r>
      <rPr>
        <b/>
        <vertAlign val="subscript"/>
        <sz val="11"/>
        <color theme="1"/>
        <rFont val="Calibri"/>
        <family val="2"/>
      </rPr>
      <t>4</t>
    </r>
    <r>
      <rPr>
        <b/>
        <sz val="11"/>
        <color theme="1"/>
        <rFont val="Calibri"/>
        <family val="2"/>
      </rPr>
      <t xml:space="preserve"> emissions (short tons)</t>
    </r>
  </si>
  <si>
    <r>
      <rPr>
        <b/>
        <sz val="11"/>
        <color theme="1"/>
        <rFont val="Calibri"/>
        <family val="2"/>
      </rPr>
      <t>N</t>
    </r>
    <r>
      <rPr>
        <b/>
        <vertAlign val="subscript"/>
        <sz val="11"/>
        <color theme="1"/>
        <rFont val="Calibri"/>
        <family val="2"/>
      </rPr>
      <t>2</t>
    </r>
    <r>
      <rPr>
        <b/>
        <sz val="11"/>
        <color theme="1"/>
        <rFont val="Calibri"/>
        <family val="2"/>
      </rPr>
      <t>O emissions (short tons)</t>
    </r>
  </si>
  <si>
    <r>
      <rPr>
        <b/>
        <sz val="11"/>
        <color theme="1"/>
        <rFont val="Calibri"/>
        <family val="2"/>
      </rPr>
      <t>CO</t>
    </r>
    <r>
      <rPr>
        <b/>
        <vertAlign val="subscript"/>
        <sz val="11"/>
        <color theme="1"/>
        <rFont val="Calibri"/>
        <family val="2"/>
      </rPr>
      <t>2</t>
    </r>
    <r>
      <rPr>
        <b/>
        <sz val="11"/>
        <color theme="1"/>
        <rFont val="Calibri"/>
        <family val="2"/>
      </rPr>
      <t xml:space="preserve"> emissions (short tons)</t>
    </r>
  </si>
  <si>
    <t>No. 26</t>
  </si>
  <si>
    <r>
      <rPr>
        <b/>
        <sz val="11"/>
        <color theme="1"/>
        <rFont val="Calibri"/>
        <family val="2"/>
      </rPr>
      <t>CH</t>
    </r>
    <r>
      <rPr>
        <b/>
        <vertAlign val="subscript"/>
        <sz val="11"/>
        <color theme="1"/>
        <rFont val="Calibri"/>
        <family val="2"/>
      </rPr>
      <t>4</t>
    </r>
    <r>
      <rPr>
        <b/>
        <sz val="11"/>
        <color theme="1"/>
        <rFont val="Calibri"/>
        <family val="2"/>
      </rPr>
      <t xml:space="preserve"> emissions (short tons)</t>
    </r>
  </si>
  <si>
    <r>
      <rPr>
        <b/>
        <sz val="11"/>
        <color theme="1"/>
        <rFont val="Calibri"/>
        <family val="2"/>
      </rPr>
      <t>N</t>
    </r>
    <r>
      <rPr>
        <b/>
        <vertAlign val="subscript"/>
        <sz val="11"/>
        <color theme="1"/>
        <rFont val="Calibri"/>
        <family val="2"/>
      </rPr>
      <t>2</t>
    </r>
    <r>
      <rPr>
        <b/>
        <sz val="11"/>
        <color theme="1"/>
        <rFont val="Calibri"/>
        <family val="2"/>
      </rPr>
      <t>O emissions  (short tons)</t>
    </r>
  </si>
  <si>
    <r>
      <rPr>
        <b/>
        <sz val="11"/>
        <color theme="1"/>
        <rFont val="Calibri"/>
        <family val="2"/>
      </rPr>
      <t>CO</t>
    </r>
    <r>
      <rPr>
        <b/>
        <vertAlign val="subscript"/>
        <sz val="11"/>
        <color theme="1"/>
        <rFont val="Calibri"/>
        <family val="2"/>
      </rPr>
      <t>2</t>
    </r>
    <r>
      <rPr>
        <b/>
        <sz val="11"/>
        <color theme="1"/>
        <rFont val="Calibri"/>
        <family val="2"/>
      </rPr>
      <t xml:space="preserve"> Emission </t>
    </r>
  </si>
  <si>
    <r>
      <rPr>
        <b/>
        <sz val="11"/>
        <color theme="1"/>
        <rFont val="Calibri"/>
        <family val="2"/>
      </rPr>
      <t>CO</t>
    </r>
    <r>
      <rPr>
        <b/>
        <vertAlign val="subscript"/>
        <sz val="11"/>
        <color theme="1"/>
        <rFont val="Calibri"/>
        <family val="2"/>
      </rPr>
      <t>2</t>
    </r>
    <r>
      <rPr>
        <b/>
        <sz val="11"/>
        <color theme="1"/>
        <rFont val="Calibri"/>
        <family val="2"/>
      </rPr>
      <t xml:space="preserve"> Emission </t>
    </r>
  </si>
  <si>
    <r>
      <rPr>
        <b/>
        <sz val="11"/>
        <color theme="1"/>
        <rFont val="Calibri"/>
        <family val="2"/>
      </rPr>
      <t>CO</t>
    </r>
    <r>
      <rPr>
        <b/>
        <vertAlign val="subscript"/>
        <sz val="11"/>
        <color theme="1"/>
        <rFont val="Calibri"/>
        <family val="2"/>
      </rPr>
      <t>2</t>
    </r>
    <r>
      <rPr>
        <b/>
        <sz val="11"/>
        <color theme="1"/>
        <rFont val="Calibri"/>
        <family val="2"/>
      </rPr>
      <t xml:space="preserve"> Emission </t>
    </r>
  </si>
  <si>
    <r>
      <rPr>
        <b/>
        <sz val="11"/>
        <color theme="1"/>
        <rFont val="Calibri"/>
        <family val="2"/>
      </rPr>
      <t>(MMTCO</t>
    </r>
    <r>
      <rPr>
        <b/>
        <vertAlign val="subscript"/>
        <sz val="11"/>
        <color theme="1"/>
        <rFont val="Calibri"/>
        <family val="2"/>
      </rPr>
      <t>2</t>
    </r>
    <r>
      <rPr>
        <b/>
        <sz val="11"/>
        <color theme="1"/>
        <rFont val="Calibri"/>
        <family val="2"/>
      </rPr>
      <t>)</t>
    </r>
  </si>
  <si>
    <r>
      <rPr>
        <b/>
        <sz val="11"/>
        <color theme="1"/>
        <rFont val="Calibri"/>
        <family val="2"/>
      </rPr>
      <t>CH</t>
    </r>
    <r>
      <rPr>
        <b/>
        <vertAlign val="subscript"/>
        <sz val="11"/>
        <color theme="1"/>
        <rFont val="Calibri"/>
        <family val="2"/>
      </rPr>
      <t>4</t>
    </r>
    <r>
      <rPr>
        <b/>
        <sz val="11"/>
        <color theme="1"/>
        <rFont val="Calibri"/>
        <family val="2"/>
      </rPr>
      <t xml:space="preserve"> Emission </t>
    </r>
  </si>
  <si>
    <r>
      <rPr>
        <b/>
        <sz val="11"/>
        <color theme="1"/>
        <rFont val="Calibri"/>
        <family val="2"/>
      </rPr>
      <t>CH</t>
    </r>
    <r>
      <rPr>
        <b/>
        <vertAlign val="subscript"/>
        <sz val="11"/>
        <color theme="1"/>
        <rFont val="Calibri"/>
        <family val="2"/>
      </rPr>
      <t>4</t>
    </r>
    <r>
      <rPr>
        <b/>
        <sz val="11"/>
        <color theme="1"/>
        <rFont val="Calibri"/>
        <family val="2"/>
      </rPr>
      <t xml:space="preserve"> Emission </t>
    </r>
  </si>
  <si>
    <r>
      <rPr>
        <b/>
        <sz val="11"/>
        <color theme="1"/>
        <rFont val="Calibri"/>
        <family val="2"/>
      </rPr>
      <t>CH</t>
    </r>
    <r>
      <rPr>
        <b/>
        <vertAlign val="subscript"/>
        <sz val="11"/>
        <color theme="1"/>
        <rFont val="Calibri"/>
        <family val="2"/>
      </rPr>
      <t>4</t>
    </r>
    <r>
      <rPr>
        <b/>
        <sz val="11"/>
        <color theme="1"/>
        <rFont val="Calibri"/>
        <family val="2"/>
      </rPr>
      <t xml:space="preserve"> Emission </t>
    </r>
  </si>
  <si>
    <r>
      <rPr>
        <b/>
        <sz val="11"/>
        <color theme="1"/>
        <rFont val="Calibri"/>
        <family val="2"/>
      </rPr>
      <t>(MMTCO</t>
    </r>
    <r>
      <rPr>
        <b/>
        <vertAlign val="subscript"/>
        <sz val="11"/>
        <color theme="1"/>
        <rFont val="Calibri"/>
        <family val="2"/>
      </rPr>
      <t>2</t>
    </r>
    <r>
      <rPr>
        <b/>
        <sz val="11"/>
        <color theme="1"/>
        <rFont val="Calibri"/>
        <family val="2"/>
      </rPr>
      <t>)</t>
    </r>
  </si>
  <si>
    <r>
      <rPr>
        <b/>
        <sz val="11"/>
        <color theme="1"/>
        <rFont val="Calibri"/>
        <family val="2"/>
      </rPr>
      <t>N</t>
    </r>
    <r>
      <rPr>
        <b/>
        <vertAlign val="subscript"/>
        <sz val="11"/>
        <color theme="1"/>
        <rFont val="Calibri"/>
        <family val="2"/>
      </rPr>
      <t>2</t>
    </r>
    <r>
      <rPr>
        <b/>
        <sz val="11"/>
        <color theme="1"/>
        <rFont val="Calibri"/>
        <family val="2"/>
      </rPr>
      <t xml:space="preserve">O Emission </t>
    </r>
  </si>
  <si>
    <r>
      <rPr>
        <b/>
        <sz val="11"/>
        <color theme="1"/>
        <rFont val="Calibri"/>
        <family val="2"/>
      </rPr>
      <t>N</t>
    </r>
    <r>
      <rPr>
        <b/>
        <vertAlign val="subscript"/>
        <sz val="11"/>
        <color theme="1"/>
        <rFont val="Calibri"/>
        <family val="2"/>
      </rPr>
      <t>2</t>
    </r>
    <r>
      <rPr>
        <b/>
        <sz val="11"/>
        <color theme="1"/>
        <rFont val="Calibri"/>
        <family val="2"/>
      </rPr>
      <t xml:space="preserve">O Emission </t>
    </r>
  </si>
  <si>
    <r>
      <rPr>
        <b/>
        <sz val="11"/>
        <color theme="1"/>
        <rFont val="Calibri"/>
        <family val="2"/>
      </rPr>
      <t>N</t>
    </r>
    <r>
      <rPr>
        <b/>
        <vertAlign val="subscript"/>
        <sz val="11"/>
        <color theme="1"/>
        <rFont val="Calibri"/>
        <family val="2"/>
      </rPr>
      <t>2</t>
    </r>
    <r>
      <rPr>
        <b/>
        <sz val="11"/>
        <color theme="1"/>
        <rFont val="Calibri"/>
        <family val="2"/>
      </rPr>
      <t xml:space="preserve">O Emission </t>
    </r>
  </si>
  <si>
    <r>
      <rPr>
        <b/>
        <sz val="11"/>
        <color theme="1"/>
        <rFont val="Calibri"/>
        <family val="2"/>
      </rPr>
      <t>(MMTCO</t>
    </r>
    <r>
      <rPr>
        <b/>
        <vertAlign val="subscript"/>
        <sz val="11"/>
        <color theme="1"/>
        <rFont val="Calibri"/>
        <family val="2"/>
      </rPr>
      <t>2</t>
    </r>
    <r>
      <rPr>
        <b/>
        <sz val="11"/>
        <color theme="1"/>
        <rFont val="Calibri"/>
        <family val="2"/>
      </rPr>
      <t>)</t>
    </r>
  </si>
  <si>
    <r>
      <rPr>
        <b/>
        <sz val="10"/>
        <color theme="1"/>
        <rFont val="Arial"/>
        <family val="2"/>
      </rPr>
      <t>CO</t>
    </r>
    <r>
      <rPr>
        <b/>
        <vertAlign val="subscript"/>
        <sz val="10"/>
        <color theme="1"/>
        <rFont val="Arial"/>
        <family val="2"/>
      </rPr>
      <t xml:space="preserve">2 </t>
    </r>
    <r>
      <rPr>
        <b/>
        <sz val="10"/>
        <color theme="1"/>
        <rFont val="Arial"/>
        <family val="2"/>
      </rPr>
      <t>Emmission</t>
    </r>
  </si>
  <si>
    <r>
      <rPr>
        <b/>
        <sz val="10"/>
        <color theme="1"/>
        <rFont val="Arial"/>
        <family val="2"/>
      </rPr>
      <t>CH</t>
    </r>
    <r>
      <rPr>
        <b/>
        <vertAlign val="subscript"/>
        <sz val="10"/>
        <color theme="1"/>
        <rFont val="Arial"/>
        <family val="2"/>
      </rPr>
      <t>4</t>
    </r>
    <r>
      <rPr>
        <b/>
        <sz val="10"/>
        <color theme="1"/>
        <rFont val="Arial"/>
        <family val="2"/>
      </rPr>
      <t xml:space="preserve"> </t>
    </r>
    <r>
      <rPr>
        <b/>
        <vertAlign val="subscript"/>
        <sz val="10"/>
        <color theme="1"/>
        <rFont val="Arial"/>
        <family val="2"/>
      </rPr>
      <t xml:space="preserve"> </t>
    </r>
    <r>
      <rPr>
        <b/>
        <sz val="10"/>
        <color theme="1"/>
        <rFont val="Arial"/>
        <family val="2"/>
      </rPr>
      <t>Emission</t>
    </r>
  </si>
  <si>
    <r>
      <rPr>
        <b/>
        <sz val="10"/>
        <color theme="1"/>
        <rFont val="Arial"/>
        <family val="2"/>
      </rPr>
      <t>N</t>
    </r>
    <r>
      <rPr>
        <b/>
        <vertAlign val="subscript"/>
        <sz val="10"/>
        <color theme="1"/>
        <rFont val="Arial"/>
        <family val="2"/>
      </rPr>
      <t>2</t>
    </r>
    <r>
      <rPr>
        <b/>
        <sz val="10"/>
        <color theme="1"/>
        <rFont val="Arial"/>
        <family val="2"/>
      </rPr>
      <t xml:space="preserve">O </t>
    </r>
    <r>
      <rPr>
        <b/>
        <vertAlign val="subscript"/>
        <sz val="10"/>
        <color theme="1"/>
        <rFont val="Arial"/>
        <family val="2"/>
      </rPr>
      <t xml:space="preserve"> </t>
    </r>
    <r>
      <rPr>
        <b/>
        <sz val="10"/>
        <color theme="1"/>
        <rFont val="Arial"/>
        <family val="2"/>
      </rPr>
      <t>Emission</t>
    </r>
  </si>
  <si>
    <t>Emission Factors</t>
  </si>
  <si>
    <t>e-GGRT Subpart D</t>
  </si>
  <si>
    <r>
      <rPr>
        <sz val="10"/>
        <color theme="1"/>
        <rFont val="Arial"/>
        <family val="2"/>
      </rPr>
      <t>CH</t>
    </r>
    <r>
      <rPr>
        <vertAlign val="subscript"/>
        <sz val="10"/>
        <color theme="1"/>
        <rFont val="Arial"/>
        <family val="2"/>
      </rPr>
      <t>4</t>
    </r>
    <r>
      <rPr>
        <sz val="10"/>
        <color theme="1"/>
        <rFont val="Arial"/>
        <family val="2"/>
      </rPr>
      <t>(lb/MMBTU)</t>
    </r>
  </si>
  <si>
    <r>
      <rPr>
        <sz val="10"/>
        <color theme="1"/>
        <rFont val="Arial"/>
        <family val="2"/>
      </rPr>
      <t>N</t>
    </r>
    <r>
      <rPr>
        <vertAlign val="subscript"/>
        <sz val="10"/>
        <color theme="1"/>
        <rFont val="Arial"/>
        <family val="2"/>
      </rPr>
      <t>2</t>
    </r>
    <r>
      <rPr>
        <sz val="10"/>
        <color theme="1"/>
        <rFont val="Arial"/>
        <family val="2"/>
      </rPr>
      <t>O (lb/MMBTU)</t>
    </r>
  </si>
  <si>
    <t>2014 ECMPS</t>
  </si>
  <si>
    <t>Unit 1 and Unit 2</t>
  </si>
  <si>
    <t>e-GGRT Subpart C</t>
  </si>
  <si>
    <t>CH4 (lb/MMBTU)</t>
  </si>
  <si>
    <t>N2O(lb/MMBTU)</t>
  </si>
  <si>
    <t>Aux 2,3 and CT</t>
  </si>
  <si>
    <t>Sub Bit Coal</t>
  </si>
  <si>
    <t>40 CFR 98</t>
  </si>
  <si>
    <t>Fuel</t>
  </si>
  <si>
    <t>Emission Factors (kg/MMBTU)</t>
  </si>
  <si>
    <r>
      <rPr>
        <b/>
        <sz val="10"/>
        <color theme="1"/>
        <rFont val="Arial"/>
        <family val="2"/>
      </rPr>
      <t>CO</t>
    </r>
    <r>
      <rPr>
        <b/>
        <vertAlign val="subscript"/>
        <sz val="10"/>
        <color theme="1"/>
        <rFont val="Arial"/>
        <family val="2"/>
      </rPr>
      <t>2</t>
    </r>
  </si>
  <si>
    <r>
      <rPr>
        <b/>
        <sz val="10"/>
        <color theme="1"/>
        <rFont val="Arial"/>
        <family val="2"/>
      </rPr>
      <t>CH</t>
    </r>
    <r>
      <rPr>
        <b/>
        <vertAlign val="subscript"/>
        <sz val="10"/>
        <color theme="1"/>
        <rFont val="Arial"/>
        <family val="2"/>
      </rPr>
      <t>4</t>
    </r>
  </si>
  <si>
    <r>
      <rPr>
        <b/>
        <sz val="10"/>
        <color theme="1"/>
        <rFont val="Arial"/>
        <family val="2"/>
      </rPr>
      <t>N</t>
    </r>
    <r>
      <rPr>
        <b/>
        <vertAlign val="subscript"/>
        <sz val="10"/>
        <color theme="1"/>
        <rFont val="Arial"/>
        <family val="2"/>
      </rPr>
      <t>2</t>
    </r>
    <r>
      <rPr>
        <b/>
        <sz val="10"/>
        <color theme="1"/>
        <rFont val="Arial"/>
        <family val="2"/>
      </rPr>
      <t>O</t>
    </r>
  </si>
  <si>
    <t>Bitumunious Coal</t>
  </si>
  <si>
    <t>Subbituminous Coal</t>
  </si>
  <si>
    <t>Distillate Fuel oil #2</t>
  </si>
  <si>
    <t>Distillate Fuel Oil #6</t>
  </si>
  <si>
    <t>Kerosene</t>
  </si>
  <si>
    <t>Gasoline</t>
  </si>
  <si>
    <r>
      <rPr>
        <sz val="10"/>
        <color theme="1"/>
        <rFont val="Arial"/>
        <family val="2"/>
      </rPr>
      <t>CH</t>
    </r>
    <r>
      <rPr>
        <vertAlign val="subscript"/>
        <sz val="10"/>
        <color theme="1"/>
        <rFont val="Arial"/>
        <family val="2"/>
      </rPr>
      <t>4</t>
    </r>
    <r>
      <rPr>
        <sz val="10"/>
        <color theme="1"/>
        <rFont val="Arial"/>
        <family val="2"/>
      </rPr>
      <t>(lb/MMBTU)</t>
    </r>
  </si>
  <si>
    <r>
      <rPr>
        <sz val="10"/>
        <color theme="1"/>
        <rFont val="Arial"/>
        <family val="2"/>
      </rPr>
      <t>N</t>
    </r>
    <r>
      <rPr>
        <vertAlign val="subscript"/>
        <sz val="10"/>
        <color theme="1"/>
        <rFont val="Arial"/>
        <family val="2"/>
      </rPr>
      <t>2</t>
    </r>
    <r>
      <rPr>
        <sz val="10"/>
        <color theme="1"/>
        <rFont val="Arial"/>
        <family val="2"/>
      </rPr>
      <t>O (lb/MMBTU)</t>
    </r>
  </si>
  <si>
    <r>
      <rPr>
        <b/>
        <sz val="10"/>
        <color theme="1"/>
        <rFont val="Arial"/>
        <family val="2"/>
      </rPr>
      <t>CO</t>
    </r>
    <r>
      <rPr>
        <b/>
        <vertAlign val="subscript"/>
        <sz val="10"/>
        <color theme="1"/>
        <rFont val="Arial"/>
        <family val="2"/>
      </rPr>
      <t>2</t>
    </r>
  </si>
  <si>
    <r>
      <rPr>
        <b/>
        <sz val="10"/>
        <color theme="1"/>
        <rFont val="Arial"/>
        <family val="2"/>
      </rPr>
      <t>CH</t>
    </r>
    <r>
      <rPr>
        <b/>
        <vertAlign val="subscript"/>
        <sz val="10"/>
        <color theme="1"/>
        <rFont val="Arial"/>
        <family val="2"/>
      </rPr>
      <t>4</t>
    </r>
  </si>
  <si>
    <r>
      <rPr>
        <b/>
        <sz val="10"/>
        <color theme="1"/>
        <rFont val="Arial"/>
        <family val="2"/>
      </rPr>
      <t>N</t>
    </r>
    <r>
      <rPr>
        <b/>
        <vertAlign val="subscript"/>
        <sz val="10"/>
        <color theme="1"/>
        <rFont val="Arial"/>
        <family val="2"/>
      </rPr>
      <t>2</t>
    </r>
    <r>
      <rPr>
        <b/>
        <sz val="10"/>
        <color theme="1"/>
        <rFont val="Arial"/>
        <family val="2"/>
      </rPr>
      <t>O</t>
    </r>
  </si>
  <si>
    <t>Emission Certificate Report-Easton Utility</t>
  </si>
  <si>
    <t>BTU for #2 Fuel Oil =137,000</t>
  </si>
  <si>
    <r>
      <rPr>
        <sz val="10"/>
        <color rgb="FFFF0000"/>
        <rFont val="Arial"/>
        <family val="2"/>
      </rPr>
      <t>N</t>
    </r>
    <r>
      <rPr>
        <vertAlign val="subscript"/>
        <sz val="10"/>
        <color rgb="FFFF0000"/>
        <rFont val="Arial"/>
        <family val="2"/>
      </rPr>
      <t>2</t>
    </r>
    <r>
      <rPr>
        <sz val="10"/>
        <color rgb="FFFF0000"/>
        <rFont val="Arial"/>
        <family val="2"/>
      </rPr>
      <t>O Emission Factor =</t>
    </r>
  </si>
  <si>
    <t>0.11 lbs/1,000 gal</t>
  </si>
  <si>
    <r>
      <rPr>
        <sz val="10"/>
        <color rgb="FFFF0000"/>
        <rFont val="Arial"/>
        <family val="2"/>
      </rPr>
      <t>CH</t>
    </r>
    <r>
      <rPr>
        <vertAlign val="subscript"/>
        <sz val="10"/>
        <color rgb="FFFF0000"/>
        <rFont val="Arial"/>
        <family val="2"/>
      </rPr>
      <t>4</t>
    </r>
    <r>
      <rPr>
        <sz val="10"/>
        <color rgb="FFFF0000"/>
        <rFont val="Arial"/>
        <family val="2"/>
      </rPr>
      <t xml:space="preserve"> Emission Factors =</t>
    </r>
  </si>
  <si>
    <t>1.11 lbs/1,000 gallons of Fuel</t>
  </si>
  <si>
    <r>
      <rPr>
        <sz val="10"/>
        <color rgb="FFFF0000"/>
        <rFont val="Arial"/>
        <family val="2"/>
      </rPr>
      <t>CO</t>
    </r>
    <r>
      <rPr>
        <vertAlign val="subscript"/>
        <sz val="10"/>
        <color rgb="FFFF0000"/>
        <rFont val="Arial"/>
        <family val="2"/>
      </rPr>
      <t>2</t>
    </r>
    <r>
      <rPr>
        <sz val="10"/>
        <color rgb="FFFF0000"/>
        <rFont val="Arial"/>
        <family val="2"/>
      </rPr>
      <t xml:space="preserve"> Emission Factor =</t>
    </r>
  </si>
  <si>
    <t>22,600 lbs/1,000 gallons</t>
  </si>
  <si>
    <t>Berlin Town</t>
  </si>
  <si>
    <r>
      <rPr>
        <sz val="10"/>
        <color theme="1"/>
        <rFont val="Arial"/>
        <family val="2"/>
      </rPr>
      <t>CO</t>
    </r>
    <r>
      <rPr>
        <b/>
        <vertAlign val="subscript"/>
        <sz val="10"/>
        <color rgb="FFFF0000"/>
        <rFont val="Arial"/>
        <family val="2"/>
      </rPr>
      <t xml:space="preserve">2 </t>
    </r>
    <r>
      <rPr>
        <b/>
        <sz val="10"/>
        <color rgb="FFFF0000"/>
        <rFont val="Arial"/>
        <family val="2"/>
      </rPr>
      <t>Emission factor Sources ; 22.2 pounds/gallons . Http;www.epa.gov/oms/climate/420f05001.htm</t>
    </r>
  </si>
  <si>
    <r>
      <rPr>
        <sz val="10"/>
        <color theme="1"/>
        <rFont val="Arial"/>
        <family val="2"/>
      </rPr>
      <t>CH</t>
    </r>
    <r>
      <rPr>
        <b/>
        <vertAlign val="subscript"/>
        <sz val="10"/>
        <color rgb="FFFF0000"/>
        <rFont val="Arial"/>
        <family val="2"/>
      </rPr>
      <t>4</t>
    </r>
    <r>
      <rPr>
        <b/>
        <sz val="10"/>
        <color rgb="FFFF0000"/>
        <rFont val="Arial"/>
        <family val="2"/>
      </rPr>
      <t xml:space="preserve"> ;3g/MMBTU</t>
    </r>
  </si>
  <si>
    <t>0.9 lbs/1,000 gal</t>
  </si>
  <si>
    <r>
      <rPr>
        <sz val="10"/>
        <color theme="1"/>
        <rFont val="Arial"/>
        <family val="2"/>
      </rPr>
      <t>N</t>
    </r>
    <r>
      <rPr>
        <b/>
        <vertAlign val="subscript"/>
        <sz val="10"/>
        <color rgb="FFFF0000"/>
        <rFont val="Arial"/>
        <family val="2"/>
      </rPr>
      <t>2</t>
    </r>
    <r>
      <rPr>
        <b/>
        <sz val="10"/>
        <color rgb="FFFF0000"/>
        <rFont val="Arial"/>
        <family val="2"/>
      </rPr>
      <t>O ; 0.6 g/MMBTU</t>
    </r>
  </si>
  <si>
    <t>0.2 lbs/1,000 gal</t>
  </si>
  <si>
    <r>
      <rPr>
        <sz val="10"/>
        <color rgb="FFFF0000"/>
        <rFont val="Arial"/>
        <family val="2"/>
      </rPr>
      <t>CO</t>
    </r>
    <r>
      <rPr>
        <vertAlign val="subscript"/>
        <sz val="10"/>
        <color rgb="FFFF0000"/>
        <rFont val="Arial"/>
        <family val="2"/>
      </rPr>
      <t>2</t>
    </r>
    <r>
      <rPr>
        <sz val="10"/>
        <color rgb="FFFF0000"/>
        <rFont val="Arial"/>
        <family val="2"/>
      </rPr>
      <t xml:space="preserve"> =</t>
    </r>
  </si>
  <si>
    <t>22.2 lbs/gal</t>
  </si>
  <si>
    <t>Crisfield</t>
  </si>
  <si>
    <t>(lb/MMBTU)</t>
  </si>
  <si>
    <t>(lb/Mgal)</t>
  </si>
  <si>
    <r>
      <rPr>
        <sz val="10"/>
        <color theme="1"/>
        <rFont val="Arial"/>
        <family val="2"/>
      </rPr>
      <t>CO</t>
    </r>
    <r>
      <rPr>
        <vertAlign val="subscript"/>
        <sz val="10"/>
        <color theme="1"/>
        <rFont val="Arial"/>
        <family val="2"/>
      </rPr>
      <t>2</t>
    </r>
    <r>
      <rPr>
        <sz val="10"/>
        <color theme="1"/>
        <rFont val="Arial"/>
        <family val="2"/>
      </rPr>
      <t xml:space="preserve"> Emission Factor</t>
    </r>
  </si>
  <si>
    <r>
      <rPr>
        <sz val="10"/>
        <color theme="1"/>
        <rFont val="Arial"/>
        <family val="2"/>
      </rPr>
      <t>CH</t>
    </r>
    <r>
      <rPr>
        <vertAlign val="subscript"/>
        <sz val="10"/>
        <color theme="1"/>
        <rFont val="Arial"/>
        <family val="2"/>
      </rPr>
      <t>4</t>
    </r>
    <r>
      <rPr>
        <sz val="10"/>
        <color theme="1"/>
        <rFont val="Arial"/>
        <family val="2"/>
      </rPr>
      <t xml:space="preserve"> Emission Factor</t>
    </r>
  </si>
  <si>
    <r>
      <rPr>
        <sz val="10"/>
        <color theme="1"/>
        <rFont val="Arial"/>
        <family val="2"/>
      </rPr>
      <t>N</t>
    </r>
    <r>
      <rPr>
        <vertAlign val="subscript"/>
        <sz val="10"/>
        <color theme="1"/>
        <rFont val="Arial"/>
        <family val="2"/>
      </rPr>
      <t>2</t>
    </r>
    <r>
      <rPr>
        <sz val="10"/>
        <color theme="1"/>
        <rFont val="Arial"/>
        <family val="2"/>
      </rPr>
      <t>O</t>
    </r>
  </si>
  <si>
    <t>NC</t>
  </si>
  <si>
    <t>Calvert Cliff</t>
  </si>
  <si>
    <r>
      <rPr>
        <sz val="10"/>
        <color theme="1"/>
        <rFont val="Arial"/>
        <family val="2"/>
      </rPr>
      <t>CO</t>
    </r>
    <r>
      <rPr>
        <vertAlign val="subscript"/>
        <sz val="10"/>
        <color theme="1"/>
        <rFont val="Arial"/>
        <family val="2"/>
      </rPr>
      <t>2</t>
    </r>
    <r>
      <rPr>
        <sz val="10"/>
        <color theme="1"/>
        <rFont val="Arial"/>
        <family val="2"/>
      </rPr>
      <t xml:space="preserve"> Emission Factor for EDG ;Table 3.4-1 of AP-42 =165 lbs/MMBTU</t>
    </r>
  </si>
  <si>
    <r>
      <rPr>
        <sz val="10"/>
        <color theme="1"/>
        <rFont val="Arial"/>
        <family val="2"/>
      </rPr>
      <t>CO</t>
    </r>
    <r>
      <rPr>
        <vertAlign val="subscript"/>
        <sz val="10"/>
        <color theme="1"/>
        <rFont val="Arial"/>
        <family val="2"/>
      </rPr>
      <t>2</t>
    </r>
    <r>
      <rPr>
        <sz val="10"/>
        <color theme="1"/>
        <rFont val="Arial"/>
        <family val="2"/>
      </rPr>
      <t xml:space="preserve"> Emission Factor for Aux Boilers  ;Table 1.3-12 of AP-42 =2.23E+04 lbs/1,000gal</t>
    </r>
  </si>
  <si>
    <t>CH4 Emission Factor for EDG ;Table 3.4-1 of AP-42 =1.00E-06 lbs/gal</t>
  </si>
  <si>
    <t>CH4 Emission Factor for Aux Boilers  ;Table 1.3-3 of AP-42 =1.00E+03 lbs/gal</t>
  </si>
  <si>
    <r>
      <rPr>
        <sz val="10"/>
        <color theme="1"/>
        <rFont val="Arial"/>
        <family val="2"/>
      </rPr>
      <t>N</t>
    </r>
    <r>
      <rPr>
        <vertAlign val="subscript"/>
        <sz val="10"/>
        <color theme="1"/>
        <rFont val="Arial"/>
        <family val="2"/>
      </rPr>
      <t>2</t>
    </r>
    <r>
      <rPr>
        <sz val="10"/>
        <color theme="1"/>
        <rFont val="Arial"/>
        <family val="2"/>
      </rPr>
      <t>O Emission Factor for EDG ;Table 1.3.8 of AP-42 =1.00E+03 lbs/gal</t>
    </r>
  </si>
  <si>
    <t>GHG</t>
  </si>
  <si>
    <t>Hours</t>
  </si>
  <si>
    <t>E.F (lb/hr)</t>
  </si>
  <si>
    <t>Emissions (Tons/Yr)</t>
  </si>
  <si>
    <t>Rating (gallon/hr)</t>
  </si>
  <si>
    <t>Fuel Usage (Gallons)</t>
  </si>
  <si>
    <r>
      <rPr>
        <b/>
        <sz val="10"/>
        <color theme="1"/>
        <rFont val="Arial"/>
        <family val="2"/>
      </rPr>
      <t xml:space="preserve">CPSG - </t>
    </r>
    <r>
      <rPr>
        <b/>
        <sz val="10"/>
        <color rgb="FFFF0000"/>
        <rFont val="Arial"/>
        <family val="2"/>
      </rPr>
      <t>Gould Street</t>
    </r>
  </si>
  <si>
    <t>AP-42 Method</t>
  </si>
  <si>
    <t>Projected Electric Consumption (Imported Electricity) Emissions for Maryland</t>
  </si>
  <si>
    <t>Fuel Consumption For Electricity Generation</t>
  </si>
  <si>
    <t>Coal (Short Tons)</t>
  </si>
  <si>
    <t>Petroleum (Barrels)</t>
  </si>
  <si>
    <t>Natural Gas (Mcf)</t>
  </si>
  <si>
    <t>Other Gases (MMBTU)</t>
  </si>
  <si>
    <t xml:space="preserve"> MD In-State Gross Generation (MWh)</t>
  </si>
  <si>
    <t>Other Gases</t>
  </si>
  <si>
    <t>Nuclear</t>
  </si>
  <si>
    <t>Hydroelectric Conventional</t>
  </si>
  <si>
    <t>Wind</t>
  </si>
  <si>
    <t>Solar Thermal and Photovoltaic</t>
  </si>
  <si>
    <t>Wood and Wood Derived Fuels</t>
  </si>
  <si>
    <t>Other Biomass</t>
  </si>
  <si>
    <t>Other</t>
  </si>
  <si>
    <t>MD -Electricity Losses (MWh) (Transmission and Distribution) Assume 6.25 %</t>
  </si>
  <si>
    <t>T &amp;D Losses</t>
  </si>
  <si>
    <r>
      <rPr>
        <b/>
        <sz val="10"/>
        <color theme="1"/>
        <rFont val="Open Sans"/>
        <family val="2"/>
      </rPr>
      <t xml:space="preserve"> </t>
    </r>
    <r>
      <rPr>
        <b/>
        <sz val="10"/>
        <color rgb="FF339966"/>
        <rFont val="MS Sans Serif"/>
      </rPr>
      <t>Net MD In-State Electricity Generated (MWh)</t>
    </r>
    <r>
      <rPr>
        <b/>
        <sz val="10"/>
        <color theme="1"/>
        <rFont val="MS Sans Serif"/>
      </rPr>
      <t xml:space="preserve"> =</t>
    </r>
    <r>
      <rPr>
        <b/>
        <sz val="10"/>
        <color rgb="FF0000FF"/>
        <rFont val="MS Sans Serif"/>
      </rPr>
      <t xml:space="preserve"> (MD Gross In-State Electricity Generated)</t>
    </r>
    <r>
      <rPr>
        <b/>
        <sz val="10"/>
        <color theme="1"/>
        <rFont val="MS Sans Serif"/>
      </rPr>
      <t xml:space="preserve"> - (</t>
    </r>
    <r>
      <rPr>
        <b/>
        <sz val="10"/>
        <color rgb="FFFF0000"/>
        <rFont val="MS Sans Serif"/>
      </rPr>
      <t>T &amp;D Losses)</t>
    </r>
  </si>
  <si>
    <t>Net In -State Generated Electricity</t>
  </si>
  <si>
    <t>Electricity Consumption (MWh) (MD Retail Sales)</t>
  </si>
  <si>
    <t>Residential</t>
  </si>
  <si>
    <t>Commercial</t>
  </si>
  <si>
    <t>Industrial</t>
  </si>
  <si>
    <t>Transportation</t>
  </si>
  <si>
    <t>Others</t>
  </si>
  <si>
    <t>Total Electric Consumption (Mwh) NET</t>
  </si>
  <si>
    <t>Total Electric Consumption (Mwh) GROSS</t>
  </si>
  <si>
    <r>
      <rPr>
        <b/>
        <sz val="10"/>
        <color theme="1"/>
        <rFont val="Open Sans"/>
        <family val="2"/>
      </rPr>
      <t xml:space="preserve">Electricity Imported (MWh) = </t>
    </r>
    <r>
      <rPr>
        <sz val="10"/>
        <color rgb="FF993366"/>
        <rFont val="MS Sans Serif"/>
      </rPr>
      <t>MD Retail Sales</t>
    </r>
    <r>
      <rPr>
        <sz val="10"/>
        <color theme="1"/>
        <rFont val="MS Sans Serif"/>
      </rPr>
      <t xml:space="preserve"> - </t>
    </r>
    <r>
      <rPr>
        <sz val="10"/>
        <color rgb="FF339966"/>
        <rFont val="MS Sans Serif"/>
      </rPr>
      <t>Net In-state Generation</t>
    </r>
  </si>
  <si>
    <t>Gross Imported Electricity to Meet MD Demand (MWh)</t>
  </si>
  <si>
    <t>GHG Associated with Imported Electricity</t>
  </si>
  <si>
    <r>
      <rPr>
        <b/>
        <sz val="10"/>
        <color theme="1"/>
        <rFont val="Open Sans"/>
        <family val="2"/>
      </rPr>
      <t>PJM</t>
    </r>
    <r>
      <rPr>
        <sz val="10"/>
        <color theme="1"/>
        <rFont val="Arial"/>
        <family val="2"/>
      </rPr>
      <t xml:space="preserve"> Average CO</t>
    </r>
    <r>
      <rPr>
        <vertAlign val="subscript"/>
        <sz val="10"/>
        <color theme="1"/>
        <rFont val="MS Sans Serif"/>
      </rPr>
      <t>2</t>
    </r>
    <r>
      <rPr>
        <sz val="10"/>
        <color theme="1"/>
        <rFont val="Arial"/>
        <family val="2"/>
      </rPr>
      <t xml:space="preserve"> Emission Rate (lbs/MWh)</t>
    </r>
  </si>
  <si>
    <r>
      <rPr>
        <sz val="8"/>
        <color theme="1"/>
        <rFont val="Arial"/>
        <family val="2"/>
      </rPr>
      <t>CO</t>
    </r>
    <r>
      <rPr>
        <vertAlign val="subscript"/>
        <sz val="10"/>
        <color theme="1"/>
        <rFont val="MS Sans Serif"/>
      </rPr>
      <t>2</t>
    </r>
    <r>
      <rPr>
        <sz val="10"/>
        <color theme="1"/>
        <rFont val="Arial"/>
        <family val="2"/>
      </rPr>
      <t xml:space="preserve"> Emission</t>
    </r>
  </si>
  <si>
    <r>
      <rPr>
        <sz val="8"/>
        <color theme="1"/>
        <rFont val="Arial"/>
        <family val="2"/>
      </rPr>
      <t>(CO</t>
    </r>
    <r>
      <rPr>
        <vertAlign val="subscript"/>
        <sz val="10"/>
        <color theme="1"/>
        <rFont val="MS Sans Serif"/>
      </rPr>
      <t>2</t>
    </r>
    <r>
      <rPr>
        <sz val="10"/>
        <color theme="1"/>
        <rFont val="Arial"/>
        <family val="2"/>
      </rPr>
      <t xml:space="preserve"> Emission Rate of Marginal Units)</t>
    </r>
  </si>
  <si>
    <t>Oil</t>
  </si>
  <si>
    <t>Hydroelectric</t>
  </si>
  <si>
    <t>Solid Waste</t>
  </si>
  <si>
    <r>
      <rPr>
        <b/>
        <sz val="10"/>
        <color theme="1"/>
        <rFont val="Open Sans"/>
        <family val="2"/>
      </rPr>
      <t>Captured CH</t>
    </r>
    <r>
      <rPr>
        <b/>
        <vertAlign val="subscript"/>
        <sz val="10"/>
        <color theme="1"/>
        <rFont val="MS Sans Serif"/>
      </rPr>
      <t>4</t>
    </r>
  </si>
  <si>
    <t>Solar</t>
  </si>
  <si>
    <t>Wood</t>
  </si>
  <si>
    <t>Actual Total 2017</t>
  </si>
  <si>
    <t>PJM Electricity Generation Fuel Mix 2017 (%)</t>
  </si>
  <si>
    <t>Maryland 2017  Import Share (MWh)</t>
  </si>
  <si>
    <r>
      <rPr>
        <sz val="10"/>
        <color theme="1"/>
        <rFont val="Arial"/>
        <family val="2"/>
      </rPr>
      <t>Imported Electric CO</t>
    </r>
    <r>
      <rPr>
        <vertAlign val="subscript"/>
        <sz val="10"/>
        <color theme="1"/>
        <rFont val="MS Sans Serif"/>
      </rPr>
      <t>2</t>
    </r>
    <r>
      <rPr>
        <sz val="10"/>
        <color theme="1"/>
        <rFont val="Arial"/>
        <family val="2"/>
      </rPr>
      <t xml:space="preserve"> Emissions Factors (tons/MWh)</t>
    </r>
  </si>
  <si>
    <r>
      <rPr>
        <sz val="10"/>
        <color theme="1"/>
        <rFont val="Arial"/>
        <family val="2"/>
      </rPr>
      <t>Imported Electric CO</t>
    </r>
    <r>
      <rPr>
        <vertAlign val="subscript"/>
        <sz val="10"/>
        <color theme="1"/>
        <rFont val="MS Sans Serif"/>
      </rPr>
      <t>2</t>
    </r>
    <r>
      <rPr>
        <sz val="10"/>
        <color theme="1"/>
        <rFont val="Arial"/>
        <family val="2"/>
      </rPr>
      <t xml:space="preserve"> Emissions (metric tons)</t>
    </r>
  </si>
  <si>
    <r>
      <rPr>
        <sz val="10"/>
        <color theme="1"/>
        <rFont val="Arial"/>
        <family val="2"/>
      </rPr>
      <t>Imported Electric CO</t>
    </r>
    <r>
      <rPr>
        <vertAlign val="subscript"/>
        <sz val="10"/>
        <color theme="1"/>
        <rFont val="MS Sans Serif"/>
      </rPr>
      <t>2</t>
    </r>
    <r>
      <rPr>
        <sz val="10"/>
        <color theme="1"/>
        <rFont val="Arial"/>
        <family val="2"/>
      </rPr>
      <t xml:space="preserve"> Emissions (MMTCO</t>
    </r>
    <r>
      <rPr>
        <vertAlign val="subscript"/>
        <sz val="10"/>
        <color theme="1"/>
        <rFont val="MS Sans Serif"/>
      </rPr>
      <t>2</t>
    </r>
    <r>
      <rPr>
        <sz val="10"/>
        <color theme="1"/>
        <rFont val="Arial"/>
        <family val="2"/>
      </rPr>
      <t>)</t>
    </r>
  </si>
  <si>
    <r>
      <rPr>
        <b/>
        <sz val="10"/>
        <color theme="1"/>
        <rFont val="Open Sans"/>
        <family val="2"/>
      </rPr>
      <t xml:space="preserve"> Imported Electricity Emissions  (MMTCO</t>
    </r>
    <r>
      <rPr>
        <b/>
        <vertAlign val="subscript"/>
        <sz val="10"/>
        <color theme="1"/>
        <rFont val="MS Sans Serif"/>
      </rPr>
      <t>2</t>
    </r>
    <r>
      <rPr>
        <b/>
        <sz val="10"/>
        <color theme="1"/>
        <rFont val="MS Sans Serif"/>
      </rPr>
      <t>E)</t>
    </r>
  </si>
  <si>
    <t>Imported Electricity to Meet MD Demand (MWh)</t>
  </si>
  <si>
    <t>Transportation - NonRoad GHG Emissions</t>
  </si>
  <si>
    <t xml:space="preserve">                                                                                 Summary Table</t>
  </si>
  <si>
    <r>
      <rPr>
        <sz val="14"/>
        <color theme="1"/>
        <rFont val="Calibri"/>
        <family val="2"/>
      </rPr>
      <t>CH</t>
    </r>
    <r>
      <rPr>
        <vertAlign val="subscript"/>
        <sz val="14"/>
        <color theme="1"/>
        <rFont val="Calibri"/>
        <family val="2"/>
      </rPr>
      <t>4</t>
    </r>
  </si>
  <si>
    <r>
      <rPr>
        <sz val="14"/>
        <color theme="1"/>
        <rFont val="Calibri"/>
        <family val="2"/>
      </rPr>
      <t>CO</t>
    </r>
    <r>
      <rPr>
        <vertAlign val="subscript"/>
        <sz val="14"/>
        <color theme="1"/>
        <rFont val="Calibri"/>
        <family val="2"/>
      </rPr>
      <t>2</t>
    </r>
  </si>
  <si>
    <r>
      <rPr>
        <sz val="14"/>
        <color theme="1"/>
        <rFont val="Calibri"/>
        <family val="2"/>
      </rPr>
      <t>CH</t>
    </r>
    <r>
      <rPr>
        <vertAlign val="subscript"/>
        <sz val="14"/>
        <color theme="1"/>
        <rFont val="Calibri"/>
        <family val="2"/>
      </rPr>
      <t>4</t>
    </r>
  </si>
  <si>
    <r>
      <rPr>
        <sz val="14"/>
        <color theme="1"/>
        <rFont val="Calibri"/>
        <family val="2"/>
      </rPr>
      <t>CO</t>
    </r>
    <r>
      <rPr>
        <vertAlign val="subscript"/>
        <sz val="14"/>
        <color theme="1"/>
        <rFont val="Calibri"/>
        <family val="2"/>
      </rPr>
      <t>2</t>
    </r>
  </si>
  <si>
    <t>(short tons/yr)</t>
  </si>
  <si>
    <r>
      <rPr>
        <b/>
        <sz val="14"/>
        <color theme="1"/>
        <rFont val="Calibri"/>
        <family val="2"/>
      </rPr>
      <t>(MMTCO</t>
    </r>
    <r>
      <rPr>
        <b/>
        <vertAlign val="subscript"/>
        <sz val="14"/>
        <color theme="1"/>
        <rFont val="Calibri"/>
        <family val="2"/>
      </rPr>
      <t>2</t>
    </r>
    <r>
      <rPr>
        <b/>
        <sz val="14"/>
        <color theme="1"/>
        <rFont val="Calibri"/>
        <family val="2"/>
      </rPr>
      <t>E)</t>
    </r>
  </si>
  <si>
    <r>
      <rPr>
        <b/>
        <sz val="14"/>
        <color theme="1"/>
        <rFont val="Calibri"/>
        <family val="2"/>
      </rPr>
      <t>(MMTCO</t>
    </r>
    <r>
      <rPr>
        <b/>
        <vertAlign val="subscript"/>
        <sz val="14"/>
        <color theme="1"/>
        <rFont val="Calibri"/>
        <family val="2"/>
      </rPr>
      <t>2</t>
    </r>
    <r>
      <rPr>
        <b/>
        <sz val="14"/>
        <color theme="1"/>
        <rFont val="Calibri"/>
        <family val="2"/>
      </rPr>
      <t>E)</t>
    </r>
  </si>
  <si>
    <t>Compressed Natural gas</t>
  </si>
  <si>
    <t>Gasoline Total</t>
  </si>
  <si>
    <t>Liquefied Petroleum Gas (LPG)</t>
  </si>
  <si>
    <t>Marine Diesel Fuel</t>
  </si>
  <si>
    <t>Non-Road Diesel fuel</t>
  </si>
  <si>
    <t>yearID</t>
  </si>
  <si>
    <t>countyID</t>
  </si>
  <si>
    <t>O3 Nonattainment Area</t>
  </si>
  <si>
    <t>data category</t>
  </si>
  <si>
    <t>fuelTypeDesc</t>
  </si>
  <si>
    <t>scc</t>
  </si>
  <si>
    <t>scc level three</t>
  </si>
  <si>
    <t>tier 3 description</t>
  </si>
  <si>
    <r>
      <rPr>
        <sz val="14"/>
        <color rgb="FF000000"/>
        <rFont val="Calibri"/>
        <family val="2"/>
      </rPr>
      <t>CH</t>
    </r>
    <r>
      <rPr>
        <vertAlign val="subscript"/>
        <sz val="14"/>
        <color rgb="FF000000"/>
        <rFont val="Calibri"/>
        <family val="2"/>
      </rPr>
      <t>4</t>
    </r>
  </si>
  <si>
    <r>
      <rPr>
        <sz val="14"/>
        <color rgb="FF000000"/>
        <rFont val="Calibri"/>
        <family val="2"/>
      </rPr>
      <t>CO</t>
    </r>
    <r>
      <rPr>
        <vertAlign val="subscript"/>
        <sz val="14"/>
        <color rgb="FF000000"/>
        <rFont val="Calibri"/>
        <family val="2"/>
      </rPr>
      <t>2</t>
    </r>
  </si>
  <si>
    <t>2017</t>
  </si>
  <si>
    <t>24001</t>
  </si>
  <si>
    <t>Attain</t>
  </si>
  <si>
    <t>Nonroad</t>
  </si>
  <si>
    <t>Compressed Natural Gas (CNG)</t>
  </si>
  <si>
    <t>2268002081</t>
  </si>
  <si>
    <t>Construction and Mining Equipment</t>
  </si>
  <si>
    <t>Compressed Natural Gas</t>
  </si>
  <si>
    <t>2268003020</t>
  </si>
  <si>
    <t>Industrial Equipment</t>
  </si>
  <si>
    <t>2268003030</t>
  </si>
  <si>
    <t>2268003040</t>
  </si>
  <si>
    <t>2268003060</t>
  </si>
  <si>
    <t>2268003070</t>
  </si>
  <si>
    <t>2268005055</t>
  </si>
  <si>
    <t>Agricultural Equipment</t>
  </si>
  <si>
    <t>2268005060</t>
  </si>
  <si>
    <t>2268006005</t>
  </si>
  <si>
    <t>Commercial Equipment</t>
  </si>
  <si>
    <t>2268006010</t>
  </si>
  <si>
    <t>2268006015</t>
  </si>
  <si>
    <t>2268006020</t>
  </si>
  <si>
    <t>2260001010</t>
  </si>
  <si>
    <t>Recreational Equipment</t>
  </si>
  <si>
    <t>Recreational</t>
  </si>
  <si>
    <t>2260001030</t>
  </si>
  <si>
    <t>2260001060</t>
  </si>
  <si>
    <t>2260002006</t>
  </si>
  <si>
    <t>Construction</t>
  </si>
  <si>
    <t>2260002009</t>
  </si>
  <si>
    <t>2260002021</t>
  </si>
  <si>
    <t>2260002027</t>
  </si>
  <si>
    <t>2260002039</t>
  </si>
  <si>
    <t>2260002054</t>
  </si>
  <si>
    <t>2260003030</t>
  </si>
  <si>
    <t>2260003040</t>
  </si>
  <si>
    <t>2260004015</t>
  </si>
  <si>
    <t>Lawn and Garden Equipment</t>
  </si>
  <si>
    <t>Lawn &amp; Garden</t>
  </si>
  <si>
    <t>2260004016</t>
  </si>
  <si>
    <t>2260004020</t>
  </si>
  <si>
    <t>2260004021</t>
  </si>
  <si>
    <t>2260004025</t>
  </si>
  <si>
    <t>2260004026</t>
  </si>
  <si>
    <t>2260004030</t>
  </si>
  <si>
    <t>2260004031</t>
  </si>
  <si>
    <t>2260004035</t>
  </si>
  <si>
    <t>2260004036</t>
  </si>
  <si>
    <t>2260004071</t>
  </si>
  <si>
    <t>2260005035</t>
  </si>
  <si>
    <t>Farm</t>
  </si>
  <si>
    <t>2260006005</t>
  </si>
  <si>
    <t>Light Commercial</t>
  </si>
  <si>
    <t>2260006010</t>
  </si>
  <si>
    <t>2260006015</t>
  </si>
  <si>
    <t>2260006035</t>
  </si>
  <si>
    <t>2260007005</t>
  </si>
  <si>
    <t>Logging Equipment</t>
  </si>
  <si>
    <t>Logging</t>
  </si>
  <si>
    <t>2265001010</t>
  </si>
  <si>
    <t>2265001030</t>
  </si>
  <si>
    <t>2265001050</t>
  </si>
  <si>
    <t>2265001060</t>
  </si>
  <si>
    <t>2265002003</t>
  </si>
  <si>
    <t>2265002006</t>
  </si>
  <si>
    <t>2265002009</t>
  </si>
  <si>
    <t>2265002015</t>
  </si>
  <si>
    <t>2265002021</t>
  </si>
  <si>
    <t>2265002024</t>
  </si>
  <si>
    <t>2265002027</t>
  </si>
  <si>
    <t>2265002030</t>
  </si>
  <si>
    <t>2265002033</t>
  </si>
  <si>
    <t>2265002039</t>
  </si>
  <si>
    <t>2265002042</t>
  </si>
  <si>
    <t>2265002045</t>
  </si>
  <si>
    <t>2265002054</t>
  </si>
  <si>
    <t>2265002057</t>
  </si>
  <si>
    <t>2265002060</t>
  </si>
  <si>
    <t>2265002066</t>
  </si>
  <si>
    <t>2265002072</t>
  </si>
  <si>
    <t>2265002078</t>
  </si>
  <si>
    <t>2265002081</t>
  </si>
  <si>
    <t>2265003010</t>
  </si>
  <si>
    <t>2265003020</t>
  </si>
  <si>
    <t>2265003030</t>
  </si>
  <si>
    <t>2265003040</t>
  </si>
  <si>
    <t>2265003050</t>
  </si>
  <si>
    <t>2265003060</t>
  </si>
  <si>
    <t>2265003070</t>
  </si>
  <si>
    <t>2265004010</t>
  </si>
  <si>
    <t>2265004011</t>
  </si>
  <si>
    <t>2265004015</t>
  </si>
  <si>
    <t>2265004016</t>
  </si>
  <si>
    <t>2265004025</t>
  </si>
  <si>
    <t>2265004026</t>
  </si>
  <si>
    <t>2265004030</t>
  </si>
  <si>
    <t>2265004031</t>
  </si>
  <si>
    <t>2265004035</t>
  </si>
  <si>
    <t>2265004036</t>
  </si>
  <si>
    <t>2265004040</t>
  </si>
  <si>
    <t>2265004041</t>
  </si>
  <si>
    <t>2265004046</t>
  </si>
  <si>
    <t>2265004051</t>
  </si>
  <si>
    <t>2265004055</t>
  </si>
  <si>
    <t>2265004056</t>
  </si>
  <si>
    <t>2265004066</t>
  </si>
  <si>
    <t>2265004071</t>
  </si>
  <si>
    <t>2265004075</t>
  </si>
  <si>
    <t>2265004076</t>
  </si>
  <si>
    <t>2265005010</t>
  </si>
  <si>
    <t>2265005015</t>
  </si>
  <si>
    <t>2265005020</t>
  </si>
  <si>
    <t>2265005025</t>
  </si>
  <si>
    <t>2265005030</t>
  </si>
  <si>
    <t>2265005035</t>
  </si>
  <si>
    <t>2265005040</t>
  </si>
  <si>
    <t>2265005045</t>
  </si>
  <si>
    <t>2265005055</t>
  </si>
  <si>
    <t>2265005060</t>
  </si>
  <si>
    <t>2265006005</t>
  </si>
  <si>
    <t>2265006010</t>
  </si>
  <si>
    <t>2265006015</t>
  </si>
  <si>
    <t>2265006025</t>
  </si>
  <si>
    <t>2265006030</t>
  </si>
  <si>
    <t>2265006035</t>
  </si>
  <si>
    <t>2265007010</t>
  </si>
  <si>
    <t>2265007015</t>
  </si>
  <si>
    <t>2282005010</t>
  </si>
  <si>
    <t>Gasoline 2-Stroke</t>
  </si>
  <si>
    <t>Recreational Marine Vessels</t>
  </si>
  <si>
    <t>2282005015</t>
  </si>
  <si>
    <t>2282010005</t>
  </si>
  <si>
    <t>Gasoline 4-Stroke</t>
  </si>
  <si>
    <t>2285004015</t>
  </si>
  <si>
    <t>Gasoline, 4-Stroke</t>
  </si>
  <si>
    <t>Railway Maintenance</t>
  </si>
  <si>
    <t>2267001060</t>
  </si>
  <si>
    <t>Liquified Petroleum Gas</t>
  </si>
  <si>
    <t>2267002003</t>
  </si>
  <si>
    <t>2267002015</t>
  </si>
  <si>
    <t>2267002021</t>
  </si>
  <si>
    <t>2267002024</t>
  </si>
  <si>
    <t>2267002030</t>
  </si>
  <si>
    <t>2267002033</t>
  </si>
  <si>
    <t>2267002039</t>
  </si>
  <si>
    <t>2267002045</t>
  </si>
  <si>
    <t>2267002054</t>
  </si>
  <si>
    <t>2267002057</t>
  </si>
  <si>
    <t>2267002060</t>
  </si>
  <si>
    <t>2267002066</t>
  </si>
  <si>
    <t>2267002072</t>
  </si>
  <si>
    <t>2267002081</t>
  </si>
  <si>
    <t>2267003010</t>
  </si>
  <si>
    <t>2267003020</t>
  </si>
  <si>
    <t>2267003030</t>
  </si>
  <si>
    <t>2267003040</t>
  </si>
  <si>
    <t>2267003050</t>
  </si>
  <si>
    <t>2267003070</t>
  </si>
  <si>
    <t>2267004066</t>
  </si>
  <si>
    <t>2267005055</t>
  </si>
  <si>
    <t>2267005060</t>
  </si>
  <si>
    <t>2267006005</t>
  </si>
  <si>
    <t>2267006010</t>
  </si>
  <si>
    <t>2267006015</t>
  </si>
  <si>
    <t>2267006025</t>
  </si>
  <si>
    <t>2267006030</t>
  </si>
  <si>
    <t>2267006035</t>
  </si>
  <si>
    <t>2285006015</t>
  </si>
  <si>
    <t>LPG</t>
  </si>
  <si>
    <t>2282020005</t>
  </si>
  <si>
    <t>2282020010</t>
  </si>
  <si>
    <t>Nonroad Diesel Fuel</t>
  </si>
  <si>
    <t>2270001060</t>
  </si>
  <si>
    <t>2270002003</t>
  </si>
  <si>
    <t>2270002006</t>
  </si>
  <si>
    <t>2270002009</t>
  </si>
  <si>
    <t>2270002015</t>
  </si>
  <si>
    <t>2270002018</t>
  </si>
  <si>
    <t>2270002021</t>
  </si>
  <si>
    <t>2270002024</t>
  </si>
  <si>
    <t>2270002027</t>
  </si>
  <si>
    <t>2270002030</t>
  </si>
  <si>
    <t>2270002033</t>
  </si>
  <si>
    <t>2270002036</t>
  </si>
  <si>
    <t>2270002039</t>
  </si>
  <si>
    <t>2270002042</t>
  </si>
  <si>
    <t>2270002045</t>
  </si>
  <si>
    <t>2270002048</t>
  </si>
  <si>
    <t>2270002051</t>
  </si>
  <si>
    <t>2270002054</t>
  </si>
  <si>
    <t>2270002057</t>
  </si>
  <si>
    <t>2270002060</t>
  </si>
  <si>
    <t>2270002066</t>
  </si>
  <si>
    <t>2270002069</t>
  </si>
  <si>
    <t>2270002072</t>
  </si>
  <si>
    <t>2270002075</t>
  </si>
  <si>
    <t>2270002078</t>
  </si>
  <si>
    <t>2270002081</t>
  </si>
  <si>
    <t>2270003010</t>
  </si>
  <si>
    <t>2270003020</t>
  </si>
  <si>
    <t>2270003030</t>
  </si>
  <si>
    <t>2270003040</t>
  </si>
  <si>
    <t>2270003050</t>
  </si>
  <si>
    <t>2270003060</t>
  </si>
  <si>
    <t>2270003070</t>
  </si>
  <si>
    <t>2270004031</t>
  </si>
  <si>
    <t>2270004036</t>
  </si>
  <si>
    <t>2270004046</t>
  </si>
  <si>
    <t>2270004056</t>
  </si>
  <si>
    <t>2270004066</t>
  </si>
  <si>
    <t>2270004071</t>
  </si>
  <si>
    <t>2270004076</t>
  </si>
  <si>
    <t>2270005010</t>
  </si>
  <si>
    <t>2270005015</t>
  </si>
  <si>
    <t>2270005020</t>
  </si>
  <si>
    <t>2270005025</t>
  </si>
  <si>
    <t>2270005030</t>
  </si>
  <si>
    <t>2270005035</t>
  </si>
  <si>
    <t>2270005040</t>
  </si>
  <si>
    <t>2270005045</t>
  </si>
  <si>
    <t>2270005055</t>
  </si>
  <si>
    <t>2270005060</t>
  </si>
  <si>
    <t>2270006005</t>
  </si>
  <si>
    <t>2270006010</t>
  </si>
  <si>
    <t>2270006015</t>
  </si>
  <si>
    <t>2270006025</t>
  </si>
  <si>
    <t>2270006030</t>
  </si>
  <si>
    <t>2270006035</t>
  </si>
  <si>
    <t>2270007015</t>
  </si>
  <si>
    <t>2270009010</t>
  </si>
  <si>
    <t>Underground Mining Equipment</t>
  </si>
  <si>
    <t>2285002015</t>
  </si>
  <si>
    <t>24003</t>
  </si>
  <si>
    <t>BNAA</t>
  </si>
  <si>
    <t>Point</t>
  </si>
  <si>
    <t>2265008005</t>
  </si>
  <si>
    <t>Airport Ground Support Equipment</t>
  </si>
  <si>
    <t>Airport Service</t>
  </si>
  <si>
    <t>2267008005</t>
  </si>
  <si>
    <t>2270008005</t>
  </si>
  <si>
    <t>24005</t>
  </si>
  <si>
    <t>2268010010</t>
  </si>
  <si>
    <t>2265010010</t>
  </si>
  <si>
    <t>2270010010</t>
  </si>
  <si>
    <t>24510</t>
  </si>
  <si>
    <t>24009</t>
  </si>
  <si>
    <t>MWCOG</t>
  </si>
  <si>
    <t>24011</t>
  </si>
  <si>
    <t>24013</t>
  </si>
  <si>
    <t>24015</t>
  </si>
  <si>
    <t>Philly</t>
  </si>
  <si>
    <t>24017</t>
  </si>
  <si>
    <t>24019</t>
  </si>
  <si>
    <t>24021</t>
  </si>
  <si>
    <t>24023</t>
  </si>
  <si>
    <t>2260001020</t>
  </si>
  <si>
    <t>24025</t>
  </si>
  <si>
    <t>24027</t>
  </si>
  <si>
    <t>24029</t>
  </si>
  <si>
    <t>KQA</t>
  </si>
  <si>
    <t>24031</t>
  </si>
  <si>
    <t>24033</t>
  </si>
  <si>
    <t>24035</t>
  </si>
  <si>
    <t>24037</t>
  </si>
  <si>
    <t>24039</t>
  </si>
  <si>
    <t>24041</t>
  </si>
  <si>
    <t>24043</t>
  </si>
  <si>
    <t>24045</t>
  </si>
  <si>
    <t>24047</t>
  </si>
  <si>
    <t>2017 Total</t>
  </si>
  <si>
    <t>TOTAL ALL FUELS</t>
  </si>
  <si>
    <t>Grand Total</t>
  </si>
  <si>
    <t>Transportation - OnRoad Consumption and GHG Emissions</t>
  </si>
  <si>
    <r>
      <rPr>
        <b/>
        <sz val="16"/>
        <color theme="1"/>
        <rFont val="Calibri"/>
        <family val="2"/>
      </rPr>
      <t xml:space="preserve">2017 PEI GHG </t>
    </r>
    <r>
      <rPr>
        <b/>
        <sz val="16"/>
        <color rgb="FF0000FF"/>
        <rFont val="Calibri"/>
        <family val="2"/>
      </rPr>
      <t>Annual</t>
    </r>
    <r>
      <rPr>
        <b/>
        <sz val="16"/>
        <color theme="1"/>
        <rFont val="Calibri"/>
        <family val="2"/>
      </rPr>
      <t xml:space="preserve"> Estimates for MD using MOVES2014a Model</t>
    </r>
  </si>
  <si>
    <t>Fuel Consumption from MOVES2014a Model</t>
  </si>
  <si>
    <t>D R A F T</t>
  </si>
  <si>
    <t>(Energy Consumption in Million BTU)</t>
  </si>
  <si>
    <r>
      <rPr>
        <sz val="8"/>
        <color theme="1"/>
        <rFont val="Arial"/>
        <family val="2"/>
      </rPr>
      <t>CO</t>
    </r>
    <r>
      <rPr>
        <vertAlign val="subscript"/>
        <sz val="8"/>
        <color theme="1"/>
        <rFont val="Arial"/>
        <family val="2"/>
      </rPr>
      <t>2</t>
    </r>
    <r>
      <rPr>
        <sz val="8"/>
        <color theme="1"/>
        <rFont val="Arial"/>
        <family val="2"/>
      </rPr>
      <t xml:space="preserve"> E in grams per year</t>
    </r>
  </si>
  <si>
    <r>
      <rPr>
        <b/>
        <sz val="11"/>
        <color rgb="FF0000FF"/>
        <rFont val="Calibri"/>
        <family val="2"/>
      </rPr>
      <t>CO</t>
    </r>
    <r>
      <rPr>
        <b/>
        <vertAlign val="subscript"/>
        <sz val="11"/>
        <color rgb="FF0000FF"/>
        <rFont val="Calibri"/>
        <family val="2"/>
      </rPr>
      <t>2</t>
    </r>
    <r>
      <rPr>
        <b/>
        <sz val="11"/>
        <color rgb="FF0000FF"/>
        <rFont val="Calibri"/>
        <family val="2"/>
      </rPr>
      <t xml:space="preserve"> E in MMTons</t>
    </r>
  </si>
  <si>
    <t>County</t>
  </si>
  <si>
    <t>CNG</t>
  </si>
  <si>
    <t>Ethanol (E85)</t>
  </si>
  <si>
    <t>All Fuels</t>
  </si>
  <si>
    <t>2017 PEI</t>
  </si>
  <si>
    <t>Allegany</t>
  </si>
  <si>
    <t>Anne Arundel</t>
  </si>
  <si>
    <t>Baltimore</t>
  </si>
  <si>
    <t>Calvert</t>
  </si>
  <si>
    <t>Caroline</t>
  </si>
  <si>
    <t>Carroll</t>
  </si>
  <si>
    <t>Cecil</t>
  </si>
  <si>
    <t>Charles</t>
  </si>
  <si>
    <t>Dorchester</t>
  </si>
  <si>
    <t>Frederick</t>
  </si>
  <si>
    <t>Garrett</t>
  </si>
  <si>
    <t>Harford</t>
  </si>
  <si>
    <t>Howard</t>
  </si>
  <si>
    <t>Kent</t>
  </si>
  <si>
    <t>Montgomery</t>
  </si>
  <si>
    <t>Prince George's</t>
  </si>
  <si>
    <t>Queen Anne's</t>
  </si>
  <si>
    <t>Saint Mary's</t>
  </si>
  <si>
    <t>Somerset</t>
  </si>
  <si>
    <t>Talbot</t>
  </si>
  <si>
    <t>Washington</t>
  </si>
  <si>
    <t>Wicomico</t>
  </si>
  <si>
    <t>Worcester</t>
  </si>
  <si>
    <t>Baltimore City</t>
  </si>
  <si>
    <t>State of MD</t>
  </si>
  <si>
    <r>
      <rPr>
        <b/>
        <sz val="8"/>
        <color rgb="FFFF0000"/>
        <rFont val="Arial"/>
        <family val="2"/>
      </rPr>
      <t>CO</t>
    </r>
    <r>
      <rPr>
        <b/>
        <vertAlign val="subscript"/>
        <sz val="8"/>
        <color rgb="FFFF0000"/>
        <rFont val="Arial"/>
        <family val="2"/>
      </rPr>
      <t>2</t>
    </r>
    <r>
      <rPr>
        <b/>
        <sz val="8"/>
        <color rgb="FFFF0000"/>
        <rFont val="Arial"/>
        <family val="2"/>
      </rPr>
      <t xml:space="preserve"> Emissions (MMTCO</t>
    </r>
    <r>
      <rPr>
        <b/>
        <vertAlign val="subscript"/>
        <sz val="8"/>
        <color rgb="FFFF0000"/>
        <rFont val="Arial"/>
        <family val="2"/>
      </rPr>
      <t>2</t>
    </r>
    <r>
      <rPr>
        <b/>
        <sz val="8"/>
        <color rgb="FFFF0000"/>
        <rFont val="Arial"/>
        <family val="2"/>
      </rPr>
      <t>E)</t>
    </r>
  </si>
  <si>
    <t xml:space="preserve">EIA Conversion Factor </t>
  </si>
  <si>
    <t>Btu/Gallon</t>
  </si>
  <si>
    <t>Gallons</t>
  </si>
  <si>
    <t>CONSTANTS</t>
  </si>
  <si>
    <r>
      <rPr>
        <sz val="14"/>
        <color theme="1"/>
        <rFont val="Comic Sans MS"/>
        <family val="4"/>
      </rPr>
      <t>Emissions Data (MMTCO</t>
    </r>
    <r>
      <rPr>
        <vertAlign val="subscript"/>
        <sz val="14"/>
        <color theme="1"/>
        <rFont val="Comic Sans MS"/>
        <family val="4"/>
      </rPr>
      <t>2</t>
    </r>
    <r>
      <rPr>
        <sz val="14"/>
        <color theme="1"/>
        <rFont val="Comic Sans MS"/>
        <family val="4"/>
      </rPr>
      <t>e)</t>
    </r>
  </si>
  <si>
    <t>Transportation Sector: On-Road Mobile Sources  2017</t>
  </si>
  <si>
    <r>
      <rPr>
        <b/>
        <sz val="8"/>
        <color rgb="FF000000"/>
        <rFont val="Arial"/>
        <family val="2"/>
      </rPr>
      <t>N</t>
    </r>
    <r>
      <rPr>
        <b/>
        <vertAlign val="subscript"/>
        <sz val="8"/>
        <color rgb="FF000000"/>
        <rFont val="Arial"/>
        <family val="2"/>
      </rPr>
      <t>2</t>
    </r>
    <r>
      <rPr>
        <b/>
        <sz val="8"/>
        <color rgb="FF000000"/>
        <rFont val="Arial"/>
        <family val="2"/>
      </rPr>
      <t>O Emissions</t>
    </r>
  </si>
  <si>
    <r>
      <rPr>
        <b/>
        <sz val="8"/>
        <color rgb="FF000000"/>
        <rFont val="Arial"/>
        <family val="2"/>
      </rPr>
      <t>CH</t>
    </r>
    <r>
      <rPr>
        <b/>
        <vertAlign val="subscript"/>
        <sz val="8"/>
        <color rgb="FF000000"/>
        <rFont val="Arial"/>
        <family val="2"/>
      </rPr>
      <t>4</t>
    </r>
    <r>
      <rPr>
        <b/>
        <sz val="8"/>
        <color rgb="FF000000"/>
        <rFont val="Arial"/>
        <family val="2"/>
      </rPr>
      <t xml:space="preserve"> Emissions</t>
    </r>
  </si>
  <si>
    <t>(gallon)</t>
  </si>
  <si>
    <t>Density
(kg/gallon)</t>
  </si>
  <si>
    <r>
      <rPr>
        <b/>
        <sz val="8"/>
        <color theme="1"/>
        <rFont val="Arial"/>
        <family val="2"/>
      </rPr>
      <t>N</t>
    </r>
    <r>
      <rPr>
        <b/>
        <vertAlign val="subscript"/>
        <sz val="8"/>
        <color theme="1"/>
        <rFont val="Arial"/>
        <family val="2"/>
      </rPr>
      <t>2</t>
    </r>
    <r>
      <rPr>
        <b/>
        <sz val="8"/>
        <color theme="1"/>
        <rFont val="Arial"/>
        <family val="2"/>
      </rPr>
      <t>O EF
(g/kg fuel)</t>
    </r>
  </si>
  <si>
    <r>
      <rPr>
        <b/>
        <sz val="8"/>
        <color theme="1"/>
        <rFont val="Arial"/>
        <family val="2"/>
      </rPr>
      <t>N</t>
    </r>
    <r>
      <rPr>
        <b/>
        <vertAlign val="subscript"/>
        <sz val="8"/>
        <color theme="1"/>
        <rFont val="Arial"/>
        <family val="2"/>
      </rPr>
      <t>2</t>
    </r>
    <r>
      <rPr>
        <b/>
        <sz val="8"/>
        <color theme="1"/>
        <rFont val="Arial"/>
        <family val="2"/>
      </rPr>
      <t>O EM
Gigagrams</t>
    </r>
  </si>
  <si>
    <r>
      <rPr>
        <b/>
        <sz val="8"/>
        <color theme="1"/>
        <rFont val="Arial"/>
        <family val="2"/>
      </rPr>
      <t>N</t>
    </r>
    <r>
      <rPr>
        <b/>
        <vertAlign val="subscript"/>
        <sz val="8"/>
        <color theme="1"/>
        <rFont val="Arial"/>
        <family val="2"/>
      </rPr>
      <t>2</t>
    </r>
    <r>
      <rPr>
        <b/>
        <sz val="8"/>
        <color theme="1"/>
        <rFont val="Arial"/>
        <family val="2"/>
      </rPr>
      <t>O
(MTCE)</t>
    </r>
  </si>
  <si>
    <r>
      <rPr>
        <b/>
        <sz val="8"/>
        <color theme="1"/>
        <rFont val="Arial"/>
        <family val="2"/>
      </rPr>
      <t>N</t>
    </r>
    <r>
      <rPr>
        <b/>
        <vertAlign val="subscript"/>
        <sz val="8"/>
        <color theme="1"/>
        <rFont val="Arial"/>
        <family val="2"/>
      </rPr>
      <t>2</t>
    </r>
    <r>
      <rPr>
        <b/>
        <sz val="8"/>
        <color theme="1"/>
        <rFont val="Arial"/>
        <family val="2"/>
      </rPr>
      <t>O
(MMTCO</t>
    </r>
    <r>
      <rPr>
        <b/>
        <vertAlign val="subscript"/>
        <sz val="8"/>
        <color theme="1"/>
        <rFont val="Arial"/>
        <family val="2"/>
      </rPr>
      <t>2</t>
    </r>
    <r>
      <rPr>
        <b/>
        <sz val="8"/>
        <color theme="1"/>
        <rFont val="Arial"/>
        <family val="2"/>
      </rPr>
      <t>E)</t>
    </r>
  </si>
  <si>
    <r>
      <rPr>
        <b/>
        <sz val="8"/>
        <color theme="1"/>
        <rFont val="Arial"/>
        <family val="2"/>
      </rPr>
      <t>CH</t>
    </r>
    <r>
      <rPr>
        <b/>
        <vertAlign val="subscript"/>
        <sz val="8"/>
        <color theme="1"/>
        <rFont val="Arial"/>
        <family val="2"/>
      </rPr>
      <t>4</t>
    </r>
    <r>
      <rPr>
        <b/>
        <sz val="8"/>
        <color theme="1"/>
        <rFont val="Arial"/>
        <family val="2"/>
      </rPr>
      <t xml:space="preserve"> EF
(g/kg fuel)</t>
    </r>
  </si>
  <si>
    <r>
      <rPr>
        <b/>
        <sz val="8"/>
        <color theme="1"/>
        <rFont val="Arial"/>
        <family val="2"/>
      </rPr>
      <t>CH</t>
    </r>
    <r>
      <rPr>
        <b/>
        <vertAlign val="subscript"/>
        <sz val="8"/>
        <color theme="1"/>
        <rFont val="Arial"/>
        <family val="2"/>
      </rPr>
      <t>4</t>
    </r>
    <r>
      <rPr>
        <b/>
        <sz val="8"/>
        <color theme="1"/>
        <rFont val="Arial"/>
        <family val="2"/>
      </rPr>
      <t xml:space="preserve"> EM
(Gigagrams)</t>
    </r>
  </si>
  <si>
    <r>
      <rPr>
        <b/>
        <sz val="8"/>
        <color theme="1"/>
        <rFont val="Arial"/>
        <family val="2"/>
      </rPr>
      <t>CH</t>
    </r>
    <r>
      <rPr>
        <b/>
        <vertAlign val="subscript"/>
        <sz val="8"/>
        <color theme="1"/>
        <rFont val="Arial"/>
        <family val="2"/>
      </rPr>
      <t>4</t>
    </r>
    <r>
      <rPr>
        <b/>
        <sz val="8"/>
        <color theme="1"/>
        <rFont val="Arial"/>
        <family val="2"/>
      </rPr>
      <t xml:space="preserve">
(MT)</t>
    </r>
  </si>
  <si>
    <r>
      <rPr>
        <b/>
        <sz val="8"/>
        <color theme="1"/>
        <rFont val="Arial"/>
        <family val="2"/>
      </rPr>
      <t>CH</t>
    </r>
    <r>
      <rPr>
        <b/>
        <vertAlign val="subscript"/>
        <sz val="8"/>
        <color theme="1"/>
        <rFont val="Arial"/>
        <family val="2"/>
      </rPr>
      <t>4</t>
    </r>
    <r>
      <rPr>
        <b/>
        <sz val="8"/>
        <color theme="1"/>
        <rFont val="Arial"/>
        <family val="2"/>
      </rPr>
      <t xml:space="preserve">
(MMTCO</t>
    </r>
    <r>
      <rPr>
        <b/>
        <vertAlign val="subscript"/>
        <sz val="8"/>
        <color theme="1"/>
        <rFont val="Arial"/>
        <family val="2"/>
      </rPr>
      <t>2</t>
    </r>
    <r>
      <rPr>
        <b/>
        <sz val="8"/>
        <color theme="1"/>
        <rFont val="Arial"/>
        <family val="2"/>
      </rPr>
      <t>E)</t>
    </r>
  </si>
  <si>
    <t>Motor Diesel  (On-Road)</t>
  </si>
  <si>
    <t>=</t>
  </si>
  <si>
    <t>Motor Gasoline (On Road)</t>
  </si>
  <si>
    <r>
      <rPr>
        <b/>
        <sz val="8"/>
        <color theme="1"/>
        <rFont val="Arial"/>
        <family val="2"/>
      </rPr>
      <t>N</t>
    </r>
    <r>
      <rPr>
        <b/>
        <vertAlign val="subscript"/>
        <sz val="8"/>
        <color theme="1"/>
        <rFont val="Arial"/>
        <family val="2"/>
      </rPr>
      <t>2</t>
    </r>
    <r>
      <rPr>
        <b/>
        <sz val="8"/>
        <color theme="1"/>
        <rFont val="Arial"/>
        <family val="2"/>
      </rPr>
      <t>O
(MMTCO</t>
    </r>
    <r>
      <rPr>
        <b/>
        <vertAlign val="subscript"/>
        <sz val="8"/>
        <color theme="1"/>
        <rFont val="Arial"/>
        <family val="2"/>
      </rPr>
      <t>2</t>
    </r>
    <r>
      <rPr>
        <b/>
        <sz val="8"/>
        <color theme="1"/>
        <rFont val="Arial"/>
        <family val="2"/>
      </rPr>
      <t>E)</t>
    </r>
  </si>
  <si>
    <t xml:space="preserve">       Transportation Consumption and GHG Emissions</t>
  </si>
  <si>
    <t>Activity Data (Consumption)</t>
  </si>
  <si>
    <t xml:space="preserve"> State Energy Data  2017</t>
  </si>
  <si>
    <t>(Thousand Barrels)</t>
  </si>
  <si>
    <t>(Gallons)</t>
  </si>
  <si>
    <t xml:space="preserve">Aviation Gasoline </t>
  </si>
  <si>
    <t xml:space="preserve">Jet Fuel- Kerosene Type </t>
  </si>
  <si>
    <t xml:space="preserve">Lubricant </t>
  </si>
  <si>
    <t>Distillate Fuel - Locomotive</t>
  </si>
  <si>
    <t>Distillate Fuel - Vessel Bunkering</t>
  </si>
  <si>
    <t>Residual Fuel Oil -Vessel Bunkering</t>
  </si>
  <si>
    <r>
      <rPr>
        <sz val="14"/>
        <color theme="1"/>
        <rFont val="Comic Sans MS"/>
        <family val="4"/>
      </rPr>
      <t>Emissions Data (MMTCO</t>
    </r>
    <r>
      <rPr>
        <vertAlign val="subscript"/>
        <sz val="14"/>
        <color theme="1"/>
        <rFont val="Comic Sans MS"/>
        <family val="4"/>
      </rPr>
      <t>2</t>
    </r>
    <r>
      <rPr>
        <sz val="14"/>
        <color theme="1"/>
        <rFont val="Comic Sans MS"/>
        <family val="4"/>
      </rPr>
      <t>e)</t>
    </r>
  </si>
  <si>
    <t>Transportation Sector Emissions: Other-Non-Road Mobile Sources  2017</t>
  </si>
  <si>
    <r>
      <rPr>
        <b/>
        <sz val="8"/>
        <color rgb="FF000000"/>
        <rFont val="Arial"/>
        <family val="2"/>
      </rPr>
      <t>CO</t>
    </r>
    <r>
      <rPr>
        <b/>
        <vertAlign val="subscript"/>
        <sz val="8"/>
        <color rgb="FF000000"/>
        <rFont val="Arial"/>
        <family val="2"/>
      </rPr>
      <t>2</t>
    </r>
    <r>
      <rPr>
        <b/>
        <sz val="8"/>
        <color rgb="FF000000"/>
        <rFont val="Arial"/>
        <family val="2"/>
      </rPr>
      <t xml:space="preserve"> Emissions</t>
    </r>
  </si>
  <si>
    <r>
      <rPr>
        <b/>
        <sz val="8"/>
        <color rgb="FF000000"/>
        <rFont val="Arial"/>
        <family val="2"/>
      </rPr>
      <t>N</t>
    </r>
    <r>
      <rPr>
        <b/>
        <vertAlign val="subscript"/>
        <sz val="8"/>
        <color rgb="FF000000"/>
        <rFont val="Arial"/>
        <family val="2"/>
      </rPr>
      <t>2</t>
    </r>
    <r>
      <rPr>
        <b/>
        <sz val="8"/>
        <color rgb="FF000000"/>
        <rFont val="Arial"/>
        <family val="2"/>
      </rPr>
      <t>O Emissions</t>
    </r>
  </si>
  <si>
    <r>
      <rPr>
        <b/>
        <sz val="8"/>
        <color rgb="FF000000"/>
        <rFont val="Arial"/>
        <family val="2"/>
      </rPr>
      <t>CH</t>
    </r>
    <r>
      <rPr>
        <b/>
        <vertAlign val="subscript"/>
        <sz val="8"/>
        <color rgb="FF000000"/>
        <rFont val="Arial"/>
        <family val="2"/>
      </rPr>
      <t>4</t>
    </r>
    <r>
      <rPr>
        <b/>
        <sz val="8"/>
        <color rgb="FF000000"/>
        <rFont val="Arial"/>
        <family val="2"/>
      </rPr>
      <t xml:space="preserve"> Emissions</t>
    </r>
  </si>
  <si>
    <t>Emission Factor</t>
  </si>
  <si>
    <t>Combustion</t>
  </si>
  <si>
    <t>(lbs C/Million Btu)</t>
  </si>
  <si>
    <t>Efficiency (%)</t>
  </si>
  <si>
    <t>(short tons carbon)</t>
  </si>
  <si>
    <t>(MMTCE)</t>
  </si>
  <si>
    <r>
      <rPr>
        <b/>
        <sz val="10"/>
        <color theme="1"/>
        <rFont val="Calibri"/>
        <family val="2"/>
      </rPr>
      <t>(MMTCO</t>
    </r>
    <r>
      <rPr>
        <b/>
        <vertAlign val="subscript"/>
        <sz val="10"/>
        <color theme="1"/>
        <rFont val="Calibri"/>
        <family val="2"/>
      </rPr>
      <t>2</t>
    </r>
    <r>
      <rPr>
        <b/>
        <sz val="10"/>
        <color theme="1"/>
        <rFont val="Calibri"/>
        <family val="2"/>
      </rPr>
      <t>E)</t>
    </r>
  </si>
  <si>
    <t>Energy Content
(kg/Mbtu)</t>
  </si>
  <si>
    <r>
      <rPr>
        <b/>
        <sz val="8"/>
        <color theme="1"/>
        <rFont val="Arial"/>
        <family val="2"/>
      </rPr>
      <t>N</t>
    </r>
    <r>
      <rPr>
        <b/>
        <vertAlign val="subscript"/>
        <sz val="8"/>
        <color theme="1"/>
        <rFont val="Arial"/>
        <family val="2"/>
      </rPr>
      <t>2</t>
    </r>
    <r>
      <rPr>
        <b/>
        <sz val="8"/>
        <color theme="1"/>
        <rFont val="Arial"/>
        <family val="2"/>
      </rPr>
      <t>O EF
(g/kg fuel)</t>
    </r>
  </si>
  <si>
    <r>
      <rPr>
        <b/>
        <sz val="8"/>
        <color theme="1"/>
        <rFont val="Arial"/>
        <family val="2"/>
      </rPr>
      <t>N</t>
    </r>
    <r>
      <rPr>
        <b/>
        <vertAlign val="subscript"/>
        <sz val="8"/>
        <color theme="1"/>
        <rFont val="Arial"/>
        <family val="2"/>
      </rPr>
      <t>2</t>
    </r>
    <r>
      <rPr>
        <b/>
        <sz val="8"/>
        <color theme="1"/>
        <rFont val="Arial"/>
        <family val="2"/>
      </rPr>
      <t>O EM
(Gigagrams)</t>
    </r>
  </si>
  <si>
    <r>
      <rPr>
        <b/>
        <sz val="8"/>
        <color theme="1"/>
        <rFont val="Arial"/>
        <family val="2"/>
      </rPr>
      <t>N</t>
    </r>
    <r>
      <rPr>
        <b/>
        <vertAlign val="subscript"/>
        <sz val="8"/>
        <color theme="1"/>
        <rFont val="Arial"/>
        <family val="2"/>
      </rPr>
      <t>2</t>
    </r>
    <r>
      <rPr>
        <b/>
        <sz val="8"/>
        <color theme="1"/>
        <rFont val="Arial"/>
        <family val="2"/>
      </rPr>
      <t>O
(MT)</t>
    </r>
  </si>
  <si>
    <r>
      <rPr>
        <b/>
        <sz val="8"/>
        <color theme="1"/>
        <rFont val="Arial"/>
        <family val="2"/>
      </rPr>
      <t>N</t>
    </r>
    <r>
      <rPr>
        <b/>
        <vertAlign val="subscript"/>
        <sz val="8"/>
        <color theme="1"/>
        <rFont val="Arial"/>
        <family val="2"/>
      </rPr>
      <t>2</t>
    </r>
    <r>
      <rPr>
        <b/>
        <sz val="8"/>
        <color theme="1"/>
        <rFont val="Arial"/>
        <family val="2"/>
      </rPr>
      <t>O
(MMTCO</t>
    </r>
    <r>
      <rPr>
        <b/>
        <vertAlign val="subscript"/>
        <sz val="8"/>
        <color theme="1"/>
        <rFont val="Arial"/>
        <family val="2"/>
      </rPr>
      <t>2</t>
    </r>
    <r>
      <rPr>
        <b/>
        <sz val="8"/>
        <color theme="1"/>
        <rFont val="Arial"/>
        <family val="2"/>
      </rPr>
      <t>E)</t>
    </r>
  </si>
  <si>
    <r>
      <rPr>
        <b/>
        <sz val="8"/>
        <color theme="1"/>
        <rFont val="Arial"/>
        <family val="2"/>
      </rPr>
      <t>CH</t>
    </r>
    <r>
      <rPr>
        <b/>
        <vertAlign val="subscript"/>
        <sz val="8"/>
        <color theme="1"/>
        <rFont val="Arial"/>
        <family val="2"/>
      </rPr>
      <t>4</t>
    </r>
    <r>
      <rPr>
        <b/>
        <sz val="8"/>
        <color theme="1"/>
        <rFont val="Arial"/>
        <family val="2"/>
      </rPr>
      <t xml:space="preserve"> EF
(g/kg fuel)</t>
    </r>
  </si>
  <si>
    <r>
      <rPr>
        <b/>
        <sz val="8"/>
        <color theme="1"/>
        <rFont val="Arial"/>
        <family val="2"/>
      </rPr>
      <t>CH</t>
    </r>
    <r>
      <rPr>
        <b/>
        <vertAlign val="subscript"/>
        <sz val="8"/>
        <color theme="1"/>
        <rFont val="Arial"/>
        <family val="2"/>
      </rPr>
      <t>4</t>
    </r>
    <r>
      <rPr>
        <b/>
        <sz val="8"/>
        <color theme="1"/>
        <rFont val="Arial"/>
        <family val="2"/>
      </rPr>
      <t xml:space="preserve"> EM
(Gigagrams)</t>
    </r>
  </si>
  <si>
    <r>
      <rPr>
        <b/>
        <sz val="8"/>
        <color theme="1"/>
        <rFont val="Arial"/>
        <family val="2"/>
      </rPr>
      <t>CH</t>
    </r>
    <r>
      <rPr>
        <b/>
        <vertAlign val="subscript"/>
        <sz val="8"/>
        <color theme="1"/>
        <rFont val="Arial"/>
        <family val="2"/>
      </rPr>
      <t>4</t>
    </r>
    <r>
      <rPr>
        <b/>
        <sz val="8"/>
        <color theme="1"/>
        <rFont val="Arial"/>
        <family val="2"/>
      </rPr>
      <t xml:space="preserve">
(MT)</t>
    </r>
  </si>
  <si>
    <r>
      <rPr>
        <b/>
        <sz val="8"/>
        <color theme="1"/>
        <rFont val="Arial"/>
        <family val="2"/>
      </rPr>
      <t>CH</t>
    </r>
    <r>
      <rPr>
        <b/>
        <vertAlign val="subscript"/>
        <sz val="8"/>
        <color theme="1"/>
        <rFont val="Arial"/>
        <family val="2"/>
      </rPr>
      <t>4</t>
    </r>
    <r>
      <rPr>
        <b/>
        <sz val="8"/>
        <color theme="1"/>
        <rFont val="Arial"/>
        <family val="2"/>
      </rPr>
      <t xml:space="preserve">
(MMTCO</t>
    </r>
    <r>
      <rPr>
        <b/>
        <vertAlign val="subscript"/>
        <sz val="8"/>
        <color theme="1"/>
        <rFont val="Arial"/>
        <family val="2"/>
      </rPr>
      <t>2</t>
    </r>
    <r>
      <rPr>
        <b/>
        <sz val="8"/>
        <color theme="1"/>
        <rFont val="Arial"/>
        <family val="2"/>
      </rPr>
      <t>E)</t>
    </r>
  </si>
  <si>
    <t>Aviation Gasoline</t>
  </si>
  <si>
    <t>x</t>
  </si>
  <si>
    <t>Jet Fuel, Kerosene</t>
  </si>
  <si>
    <r>
      <rPr>
        <sz val="14"/>
        <color theme="1"/>
        <rFont val="Comic Sans MS"/>
        <family val="4"/>
      </rPr>
      <t>Emissions Data (MMTCO</t>
    </r>
    <r>
      <rPr>
        <vertAlign val="subscript"/>
        <sz val="14"/>
        <color theme="1"/>
        <rFont val="Comic Sans MS"/>
        <family val="4"/>
      </rPr>
      <t>2</t>
    </r>
    <r>
      <rPr>
        <sz val="14"/>
        <color theme="1"/>
        <rFont val="Comic Sans MS"/>
        <family val="4"/>
      </rPr>
      <t>e)</t>
    </r>
  </si>
  <si>
    <r>
      <rPr>
        <sz val="14"/>
        <color rgb="FF000000"/>
        <rFont val="Calibri"/>
        <family val="2"/>
      </rPr>
      <t>Transportation Sector Emissions:</t>
    </r>
    <r>
      <rPr>
        <sz val="14"/>
        <color rgb="FFFF0000"/>
        <rFont val="Calibri"/>
        <family val="2"/>
      </rPr>
      <t xml:space="preserve"> International Bunker Fuels 2017</t>
    </r>
  </si>
  <si>
    <r>
      <rPr>
        <b/>
        <sz val="8"/>
        <color rgb="FF000000"/>
        <rFont val="Arial"/>
        <family val="2"/>
      </rPr>
      <t>CO</t>
    </r>
    <r>
      <rPr>
        <b/>
        <vertAlign val="subscript"/>
        <sz val="8"/>
        <color rgb="FF000000"/>
        <rFont val="Arial"/>
        <family val="2"/>
      </rPr>
      <t>2</t>
    </r>
    <r>
      <rPr>
        <b/>
        <sz val="8"/>
        <color rgb="FF000000"/>
        <rFont val="Arial"/>
        <family val="2"/>
      </rPr>
      <t xml:space="preserve"> Emissions</t>
    </r>
  </si>
  <si>
    <r>
      <rPr>
        <b/>
        <sz val="8"/>
        <color rgb="FF000000"/>
        <rFont val="Arial"/>
        <family val="2"/>
      </rPr>
      <t>N</t>
    </r>
    <r>
      <rPr>
        <b/>
        <vertAlign val="subscript"/>
        <sz val="8"/>
        <color rgb="FF000000"/>
        <rFont val="Arial"/>
        <family val="2"/>
      </rPr>
      <t>2</t>
    </r>
    <r>
      <rPr>
        <b/>
        <sz val="8"/>
        <color rgb="FF000000"/>
        <rFont val="Arial"/>
        <family val="2"/>
      </rPr>
      <t>O Emissions</t>
    </r>
  </si>
  <si>
    <r>
      <rPr>
        <b/>
        <sz val="8"/>
        <color rgb="FF000000"/>
        <rFont val="Arial"/>
        <family val="2"/>
      </rPr>
      <t>CH</t>
    </r>
    <r>
      <rPr>
        <b/>
        <vertAlign val="subscript"/>
        <sz val="8"/>
        <color rgb="FF000000"/>
        <rFont val="Arial"/>
        <family val="2"/>
      </rPr>
      <t>4</t>
    </r>
    <r>
      <rPr>
        <b/>
        <sz val="8"/>
        <color rgb="FF000000"/>
        <rFont val="Arial"/>
        <family val="2"/>
      </rPr>
      <t xml:space="preserve"> Emissions</t>
    </r>
  </si>
  <si>
    <r>
      <rPr>
        <b/>
        <sz val="10"/>
        <color theme="1"/>
        <rFont val="Calibri"/>
        <family val="2"/>
      </rPr>
      <t>(MMTCO</t>
    </r>
    <r>
      <rPr>
        <b/>
        <vertAlign val="subscript"/>
        <sz val="10"/>
        <color theme="1"/>
        <rFont val="Calibri"/>
        <family val="2"/>
      </rPr>
      <t>2</t>
    </r>
    <r>
      <rPr>
        <b/>
        <sz val="10"/>
        <color theme="1"/>
        <rFont val="Calibri"/>
        <family val="2"/>
      </rPr>
      <t>E)</t>
    </r>
  </si>
  <si>
    <r>
      <rPr>
        <b/>
        <sz val="8"/>
        <color theme="1"/>
        <rFont val="Arial"/>
        <family val="2"/>
      </rPr>
      <t>N</t>
    </r>
    <r>
      <rPr>
        <b/>
        <vertAlign val="subscript"/>
        <sz val="8"/>
        <color theme="1"/>
        <rFont val="Arial"/>
        <family val="2"/>
      </rPr>
      <t>2</t>
    </r>
    <r>
      <rPr>
        <b/>
        <sz val="8"/>
        <color theme="1"/>
        <rFont val="Arial"/>
        <family val="2"/>
      </rPr>
      <t>O EF
(g/kg fuel)</t>
    </r>
  </si>
  <si>
    <r>
      <rPr>
        <b/>
        <sz val="8"/>
        <color theme="1"/>
        <rFont val="Arial"/>
        <family val="2"/>
      </rPr>
      <t>N</t>
    </r>
    <r>
      <rPr>
        <b/>
        <vertAlign val="subscript"/>
        <sz val="8"/>
        <color theme="1"/>
        <rFont val="Arial"/>
        <family val="2"/>
      </rPr>
      <t>2</t>
    </r>
    <r>
      <rPr>
        <b/>
        <sz val="8"/>
        <color theme="1"/>
        <rFont val="Arial"/>
        <family val="2"/>
      </rPr>
      <t>O EM
(Gigagrams)</t>
    </r>
  </si>
  <si>
    <r>
      <rPr>
        <b/>
        <sz val="8"/>
        <color theme="1"/>
        <rFont val="Arial"/>
        <family val="2"/>
      </rPr>
      <t>N</t>
    </r>
    <r>
      <rPr>
        <b/>
        <vertAlign val="subscript"/>
        <sz val="8"/>
        <color theme="1"/>
        <rFont val="Arial"/>
        <family val="2"/>
      </rPr>
      <t>2</t>
    </r>
    <r>
      <rPr>
        <b/>
        <sz val="8"/>
        <color theme="1"/>
        <rFont val="Arial"/>
        <family val="2"/>
      </rPr>
      <t>O
(MT)</t>
    </r>
  </si>
  <si>
    <r>
      <rPr>
        <b/>
        <sz val="8"/>
        <color theme="1"/>
        <rFont val="Arial"/>
        <family val="2"/>
      </rPr>
      <t>N</t>
    </r>
    <r>
      <rPr>
        <b/>
        <vertAlign val="subscript"/>
        <sz val="8"/>
        <color theme="1"/>
        <rFont val="Arial"/>
        <family val="2"/>
      </rPr>
      <t>2</t>
    </r>
    <r>
      <rPr>
        <b/>
        <sz val="8"/>
        <color theme="1"/>
        <rFont val="Arial"/>
        <family val="2"/>
      </rPr>
      <t>O
(MMTCO</t>
    </r>
    <r>
      <rPr>
        <b/>
        <vertAlign val="subscript"/>
        <sz val="8"/>
        <color theme="1"/>
        <rFont val="Arial"/>
        <family val="2"/>
      </rPr>
      <t>2</t>
    </r>
    <r>
      <rPr>
        <b/>
        <sz val="8"/>
        <color theme="1"/>
        <rFont val="Arial"/>
        <family val="2"/>
      </rPr>
      <t>E)</t>
    </r>
  </si>
  <si>
    <r>
      <rPr>
        <b/>
        <sz val="8"/>
        <color theme="1"/>
        <rFont val="Arial"/>
        <family val="2"/>
      </rPr>
      <t>CH</t>
    </r>
    <r>
      <rPr>
        <b/>
        <vertAlign val="subscript"/>
        <sz val="8"/>
        <color theme="1"/>
        <rFont val="Arial"/>
        <family val="2"/>
      </rPr>
      <t>4</t>
    </r>
    <r>
      <rPr>
        <b/>
        <sz val="8"/>
        <color theme="1"/>
        <rFont val="Arial"/>
        <family val="2"/>
      </rPr>
      <t xml:space="preserve"> EF
(g/kg fuel)</t>
    </r>
  </si>
  <si>
    <r>
      <rPr>
        <b/>
        <sz val="8"/>
        <color theme="1"/>
        <rFont val="Arial"/>
        <family val="2"/>
      </rPr>
      <t>CH</t>
    </r>
    <r>
      <rPr>
        <b/>
        <vertAlign val="subscript"/>
        <sz val="8"/>
        <color theme="1"/>
        <rFont val="Arial"/>
        <family val="2"/>
      </rPr>
      <t>4</t>
    </r>
    <r>
      <rPr>
        <b/>
        <sz val="8"/>
        <color theme="1"/>
        <rFont val="Arial"/>
        <family val="2"/>
      </rPr>
      <t xml:space="preserve"> EM
(Gigagrams)</t>
    </r>
  </si>
  <si>
    <r>
      <rPr>
        <b/>
        <sz val="8"/>
        <color theme="1"/>
        <rFont val="Arial"/>
        <family val="2"/>
      </rPr>
      <t>CH</t>
    </r>
    <r>
      <rPr>
        <b/>
        <vertAlign val="subscript"/>
        <sz val="8"/>
        <color theme="1"/>
        <rFont val="Arial"/>
        <family val="2"/>
      </rPr>
      <t>4</t>
    </r>
    <r>
      <rPr>
        <b/>
        <sz val="8"/>
        <color theme="1"/>
        <rFont val="Arial"/>
        <family val="2"/>
      </rPr>
      <t xml:space="preserve">
(MT)</t>
    </r>
  </si>
  <si>
    <r>
      <rPr>
        <b/>
        <sz val="8"/>
        <color theme="1"/>
        <rFont val="Arial"/>
        <family val="2"/>
      </rPr>
      <t>CH</t>
    </r>
    <r>
      <rPr>
        <b/>
        <vertAlign val="subscript"/>
        <sz val="8"/>
        <color theme="1"/>
        <rFont val="Arial"/>
        <family val="2"/>
      </rPr>
      <t>4</t>
    </r>
    <r>
      <rPr>
        <b/>
        <sz val="8"/>
        <color theme="1"/>
        <rFont val="Arial"/>
        <family val="2"/>
      </rPr>
      <t xml:space="preserve">
(MMTCO</t>
    </r>
    <r>
      <rPr>
        <b/>
        <vertAlign val="subscript"/>
        <sz val="8"/>
        <color theme="1"/>
        <rFont val="Arial"/>
        <family val="2"/>
      </rPr>
      <t>2</t>
    </r>
    <r>
      <rPr>
        <b/>
        <sz val="8"/>
        <color theme="1"/>
        <rFont val="Arial"/>
        <family val="2"/>
      </rPr>
      <t>E)</t>
    </r>
  </si>
  <si>
    <t>Distillate Fuel -Vessel Bunkering</t>
  </si>
  <si>
    <t>Residual Fuel- Vessel Bunkering</t>
  </si>
  <si>
    <t xml:space="preserve">Non-Energy </t>
  </si>
  <si>
    <t xml:space="preserve">Net combustible </t>
  </si>
  <si>
    <t>Storage Factor (%)</t>
  </si>
  <si>
    <r>
      <rPr>
        <b/>
        <sz val="10"/>
        <color theme="1"/>
        <rFont val="Calibri"/>
        <family val="2"/>
      </rPr>
      <t>(MMTCO</t>
    </r>
    <r>
      <rPr>
        <b/>
        <vertAlign val="subscript"/>
        <sz val="10"/>
        <color theme="1"/>
        <rFont val="Calibri"/>
        <family val="2"/>
      </rPr>
      <t>2</t>
    </r>
    <r>
      <rPr>
        <b/>
        <sz val="10"/>
        <color theme="1"/>
        <rFont val="Calibri"/>
        <family val="2"/>
      </rPr>
      <t>E)</t>
    </r>
  </si>
  <si>
    <t>Lubricants</t>
  </si>
  <si>
    <t>- (</t>
  </si>
  <si>
    <t>) =</t>
  </si>
  <si>
    <r>
      <rPr>
        <b/>
        <sz val="10"/>
        <color theme="1"/>
        <rFont val="Calibri"/>
        <family val="2"/>
      </rPr>
      <t>CO</t>
    </r>
    <r>
      <rPr>
        <b/>
        <vertAlign val="subscript"/>
        <sz val="10"/>
        <color theme="1"/>
        <rFont val="Calibri"/>
        <family val="2"/>
      </rPr>
      <t>2</t>
    </r>
  </si>
  <si>
    <r>
      <rPr>
        <b/>
        <sz val="10"/>
        <color theme="1"/>
        <rFont val="Calibri"/>
        <family val="2"/>
      </rPr>
      <t>CH</t>
    </r>
    <r>
      <rPr>
        <b/>
        <vertAlign val="subscript"/>
        <sz val="10"/>
        <color theme="1"/>
        <rFont val="Calibri"/>
        <family val="2"/>
      </rPr>
      <t>4</t>
    </r>
  </si>
  <si>
    <r>
      <rPr>
        <b/>
        <sz val="10"/>
        <color theme="1"/>
        <rFont val="Calibri"/>
        <family val="2"/>
      </rPr>
      <t>N</t>
    </r>
    <r>
      <rPr>
        <b/>
        <vertAlign val="subscript"/>
        <sz val="10"/>
        <color theme="1"/>
        <rFont val="Calibri"/>
        <family val="2"/>
      </rPr>
      <t>2</t>
    </r>
    <r>
      <rPr>
        <b/>
        <sz val="10"/>
        <color theme="1"/>
        <rFont val="Calibri"/>
        <family val="2"/>
      </rPr>
      <t>O</t>
    </r>
  </si>
  <si>
    <t>(Total)</t>
  </si>
  <si>
    <r>
      <rPr>
        <b/>
        <sz val="10"/>
        <color theme="1"/>
        <rFont val="Calibri"/>
        <family val="2"/>
      </rPr>
      <t>(MMTCO</t>
    </r>
    <r>
      <rPr>
        <b/>
        <vertAlign val="subscript"/>
        <sz val="10"/>
        <color theme="1"/>
        <rFont val="Calibri"/>
        <family val="2"/>
      </rPr>
      <t>2</t>
    </r>
    <r>
      <rPr>
        <b/>
        <sz val="10"/>
        <color theme="1"/>
        <rFont val="Calibri"/>
        <family val="2"/>
      </rPr>
      <t>E)</t>
    </r>
  </si>
  <si>
    <r>
      <rPr>
        <b/>
        <sz val="10"/>
        <color theme="1"/>
        <rFont val="Calibri"/>
        <family val="2"/>
      </rPr>
      <t>(MMTCO</t>
    </r>
    <r>
      <rPr>
        <b/>
        <vertAlign val="subscript"/>
        <sz val="10"/>
        <color theme="1"/>
        <rFont val="Calibri"/>
        <family val="2"/>
      </rPr>
      <t>2</t>
    </r>
    <r>
      <rPr>
        <b/>
        <sz val="10"/>
        <color theme="1"/>
        <rFont val="Calibri"/>
        <family val="2"/>
      </rPr>
      <t>E)</t>
    </r>
  </si>
  <si>
    <r>
      <rPr>
        <b/>
        <sz val="10"/>
        <color theme="1"/>
        <rFont val="Calibri"/>
        <family val="2"/>
      </rPr>
      <t>(MMTCO</t>
    </r>
    <r>
      <rPr>
        <b/>
        <vertAlign val="subscript"/>
        <sz val="10"/>
        <color theme="1"/>
        <rFont val="Calibri"/>
        <family val="2"/>
      </rPr>
      <t>2</t>
    </r>
    <r>
      <rPr>
        <b/>
        <sz val="10"/>
        <color theme="1"/>
        <rFont val="Calibri"/>
        <family val="2"/>
      </rPr>
      <t>E)</t>
    </r>
  </si>
  <si>
    <r>
      <rPr>
        <b/>
        <sz val="10"/>
        <color theme="1"/>
        <rFont val="Calibri"/>
        <family val="2"/>
      </rPr>
      <t>(MMTCO</t>
    </r>
    <r>
      <rPr>
        <b/>
        <vertAlign val="subscript"/>
        <sz val="10"/>
        <color theme="1"/>
        <rFont val="Calibri"/>
        <family val="2"/>
      </rPr>
      <t>2</t>
    </r>
    <r>
      <rPr>
        <b/>
        <sz val="10"/>
        <color theme="1"/>
        <rFont val="Calibri"/>
        <family val="2"/>
      </rPr>
      <t>E)</t>
    </r>
  </si>
  <si>
    <t>Distillate Fuel-Rail</t>
  </si>
  <si>
    <t>Residential Consumption and CO2 Emissions in Maryland</t>
  </si>
  <si>
    <r>
      <rPr>
        <sz val="14"/>
        <color theme="1"/>
        <rFont val="Comic Sans MS"/>
        <family val="4"/>
      </rPr>
      <t>Residential Sector CO</t>
    </r>
    <r>
      <rPr>
        <vertAlign val="subscript"/>
        <sz val="14"/>
        <color theme="1"/>
        <rFont val="Comic Sans MS"/>
        <family val="4"/>
      </rPr>
      <t>2</t>
    </r>
  </si>
  <si>
    <r>
      <rPr>
        <b/>
        <sz val="8"/>
        <color theme="1"/>
        <rFont val="Comic Sans MS"/>
        <family val="4"/>
      </rPr>
      <t>(MMTCO</t>
    </r>
    <r>
      <rPr>
        <b/>
        <vertAlign val="subscript"/>
        <sz val="8"/>
        <color theme="1"/>
        <rFont val="Comic Sans MS"/>
        <family val="4"/>
      </rPr>
      <t>2</t>
    </r>
    <r>
      <rPr>
        <b/>
        <sz val="8"/>
        <color theme="1"/>
        <rFont val="Comic Sans MS"/>
        <family val="4"/>
      </rPr>
      <t>E)</t>
    </r>
  </si>
  <si>
    <r>
      <rPr>
        <sz val="14"/>
        <color theme="1"/>
        <rFont val="Comic Sans MS"/>
        <family val="4"/>
      </rPr>
      <t>Residential Sector N</t>
    </r>
    <r>
      <rPr>
        <vertAlign val="subscript"/>
        <sz val="14"/>
        <color theme="1"/>
        <rFont val="Comic Sans MS"/>
        <family val="4"/>
      </rPr>
      <t>2</t>
    </r>
    <r>
      <rPr>
        <sz val="14"/>
        <color theme="1"/>
        <rFont val="Comic Sans MS"/>
        <family val="4"/>
      </rPr>
      <t>0</t>
    </r>
  </si>
  <si>
    <r>
      <rPr>
        <b/>
        <sz val="8"/>
        <color theme="1"/>
        <rFont val="Comic Sans MS"/>
        <family val="4"/>
      </rPr>
      <t>(metric tons N</t>
    </r>
    <r>
      <rPr>
        <b/>
        <vertAlign val="subscript"/>
        <sz val="8"/>
        <color theme="1"/>
        <rFont val="Comic Sans MS"/>
        <family val="4"/>
      </rPr>
      <t>2</t>
    </r>
    <r>
      <rPr>
        <b/>
        <sz val="8"/>
        <color theme="1"/>
        <rFont val="Comic Sans MS"/>
        <family val="4"/>
      </rPr>
      <t>O/BBtu)</t>
    </r>
  </si>
  <si>
    <r>
      <rPr>
        <b/>
        <sz val="8"/>
        <color theme="1"/>
        <rFont val="Comic Sans MS"/>
        <family val="4"/>
      </rPr>
      <t>(metric tons N</t>
    </r>
    <r>
      <rPr>
        <b/>
        <vertAlign val="subscript"/>
        <sz val="8"/>
        <color theme="1"/>
        <rFont val="Comic Sans MS"/>
        <family val="4"/>
      </rPr>
      <t>2</t>
    </r>
    <r>
      <rPr>
        <b/>
        <sz val="8"/>
        <color theme="1"/>
        <rFont val="Comic Sans MS"/>
        <family val="4"/>
      </rPr>
      <t>O)</t>
    </r>
  </si>
  <si>
    <r>
      <rPr>
        <b/>
        <sz val="8"/>
        <color theme="1"/>
        <rFont val="Comic Sans MS"/>
        <family val="4"/>
      </rPr>
      <t>(MMTCO</t>
    </r>
    <r>
      <rPr>
        <b/>
        <vertAlign val="subscript"/>
        <sz val="8"/>
        <color theme="1"/>
        <rFont val="Comic Sans MS"/>
        <family val="4"/>
      </rPr>
      <t>2</t>
    </r>
    <r>
      <rPr>
        <b/>
        <sz val="8"/>
        <color theme="1"/>
        <rFont val="Comic Sans MS"/>
        <family val="4"/>
      </rPr>
      <t>E)</t>
    </r>
  </si>
  <si>
    <r>
      <rPr>
        <sz val="14"/>
        <color theme="1"/>
        <rFont val="Comic Sans MS"/>
        <family val="4"/>
      </rPr>
      <t>Residential Sector CH</t>
    </r>
    <r>
      <rPr>
        <vertAlign val="subscript"/>
        <sz val="14"/>
        <color theme="1"/>
        <rFont val="Comic Sans MS"/>
        <family val="4"/>
      </rPr>
      <t>4</t>
    </r>
  </si>
  <si>
    <t>(metric tons CH4 /BBtu)</t>
  </si>
  <si>
    <r>
      <rPr>
        <b/>
        <sz val="8"/>
        <color theme="1"/>
        <rFont val="Comic Sans MS"/>
        <family val="4"/>
      </rPr>
      <t>(metric tons CH</t>
    </r>
    <r>
      <rPr>
        <b/>
        <vertAlign val="subscript"/>
        <sz val="8"/>
        <color theme="1"/>
        <rFont val="Comic Sans MS"/>
        <family val="4"/>
      </rPr>
      <t>4</t>
    </r>
    <r>
      <rPr>
        <b/>
        <sz val="8"/>
        <color theme="1"/>
        <rFont val="Comic Sans MS"/>
        <family val="4"/>
      </rPr>
      <t>)</t>
    </r>
  </si>
  <si>
    <t>(MMTCO2E)</t>
  </si>
  <si>
    <t xml:space="preserve">Residential Sector 2017 GHG Emissions </t>
  </si>
  <si>
    <r>
      <rPr>
        <b/>
        <sz val="8"/>
        <color theme="1"/>
        <rFont val="Arial"/>
        <family val="2"/>
      </rPr>
      <t>CO</t>
    </r>
    <r>
      <rPr>
        <b/>
        <vertAlign val="subscript"/>
        <sz val="8"/>
        <color theme="1"/>
        <rFont val="Arial"/>
        <family val="2"/>
      </rPr>
      <t>2</t>
    </r>
  </si>
  <si>
    <r>
      <rPr>
        <b/>
        <sz val="8"/>
        <color theme="1"/>
        <rFont val="Arial"/>
        <family val="2"/>
      </rPr>
      <t>N</t>
    </r>
    <r>
      <rPr>
        <b/>
        <vertAlign val="subscript"/>
        <sz val="8"/>
        <color theme="1"/>
        <rFont val="Arial"/>
        <family val="2"/>
      </rPr>
      <t>2</t>
    </r>
    <r>
      <rPr>
        <b/>
        <sz val="8"/>
        <color theme="1"/>
        <rFont val="Arial"/>
        <family val="2"/>
      </rPr>
      <t>O</t>
    </r>
  </si>
  <si>
    <r>
      <rPr>
        <b/>
        <sz val="8"/>
        <color theme="1"/>
        <rFont val="Arial"/>
        <family val="2"/>
      </rPr>
      <t>CH</t>
    </r>
    <r>
      <rPr>
        <b/>
        <vertAlign val="subscript"/>
        <sz val="8"/>
        <color theme="1"/>
        <rFont val="Arial"/>
        <family val="2"/>
      </rPr>
      <t>4</t>
    </r>
  </si>
  <si>
    <r>
      <rPr>
        <b/>
        <sz val="8"/>
        <color theme="1"/>
        <rFont val="Arial"/>
        <family val="2"/>
      </rPr>
      <t>(MMTCO</t>
    </r>
    <r>
      <rPr>
        <b/>
        <vertAlign val="subscript"/>
        <sz val="8"/>
        <color theme="1"/>
        <rFont val="Arial"/>
        <family val="2"/>
      </rPr>
      <t>2</t>
    </r>
    <r>
      <rPr>
        <b/>
        <sz val="8"/>
        <color theme="1"/>
        <rFont val="Arial"/>
        <family val="2"/>
      </rPr>
      <t>E)</t>
    </r>
  </si>
  <si>
    <r>
      <rPr>
        <b/>
        <sz val="8"/>
        <color theme="1"/>
        <rFont val="Arial"/>
        <family val="2"/>
      </rPr>
      <t>(MMTCO</t>
    </r>
    <r>
      <rPr>
        <b/>
        <vertAlign val="subscript"/>
        <sz val="8"/>
        <color theme="1"/>
        <rFont val="Arial"/>
        <family val="2"/>
      </rPr>
      <t>2</t>
    </r>
    <r>
      <rPr>
        <b/>
        <sz val="8"/>
        <color theme="1"/>
        <rFont val="Arial"/>
        <family val="2"/>
      </rPr>
      <t>E)</t>
    </r>
  </si>
  <si>
    <r>
      <rPr>
        <b/>
        <sz val="8"/>
        <color theme="1"/>
        <rFont val="Arial"/>
        <family val="2"/>
      </rPr>
      <t>(MMTCO</t>
    </r>
    <r>
      <rPr>
        <b/>
        <vertAlign val="subscript"/>
        <sz val="8"/>
        <color theme="1"/>
        <rFont val="Arial"/>
        <family val="2"/>
      </rPr>
      <t>2</t>
    </r>
    <r>
      <rPr>
        <b/>
        <sz val="8"/>
        <color theme="1"/>
        <rFont val="Arial"/>
        <family val="2"/>
      </rPr>
      <t>E)</t>
    </r>
  </si>
  <si>
    <r>
      <rPr>
        <b/>
        <sz val="8"/>
        <color theme="1"/>
        <rFont val="Arial"/>
        <family val="2"/>
      </rPr>
      <t>(MMTCO</t>
    </r>
    <r>
      <rPr>
        <b/>
        <vertAlign val="subscript"/>
        <sz val="8"/>
        <color theme="1"/>
        <rFont val="Arial"/>
        <family val="2"/>
      </rPr>
      <t>2</t>
    </r>
    <r>
      <rPr>
        <b/>
        <sz val="8"/>
        <color theme="1"/>
        <rFont val="Arial"/>
        <family val="2"/>
      </rPr>
      <t>E)</t>
    </r>
  </si>
  <si>
    <t>Commercial Consumption and CO2 Emissions in Maryland</t>
  </si>
  <si>
    <r>
      <rPr>
        <sz val="14"/>
        <color theme="1"/>
        <rFont val="Comic Sans MS"/>
        <family val="4"/>
      </rPr>
      <t>Commercial Sector CO</t>
    </r>
    <r>
      <rPr>
        <vertAlign val="subscript"/>
        <sz val="14"/>
        <color theme="1"/>
        <rFont val="Comic Sans MS"/>
        <family val="4"/>
      </rPr>
      <t>2</t>
    </r>
  </si>
  <si>
    <r>
      <rPr>
        <b/>
        <sz val="8"/>
        <color theme="1"/>
        <rFont val="Comic Sans MS"/>
        <family val="4"/>
      </rPr>
      <t>(MMTCO</t>
    </r>
    <r>
      <rPr>
        <b/>
        <vertAlign val="subscript"/>
        <sz val="8"/>
        <color theme="1"/>
        <rFont val="Comic Sans MS"/>
        <family val="4"/>
      </rPr>
      <t>2</t>
    </r>
    <r>
      <rPr>
        <b/>
        <sz val="8"/>
        <color theme="1"/>
        <rFont val="Comic Sans MS"/>
        <family val="4"/>
      </rPr>
      <t>E)</t>
    </r>
  </si>
  <si>
    <t>Motor Gasoline</t>
  </si>
  <si>
    <r>
      <rPr>
        <sz val="14"/>
        <color theme="1"/>
        <rFont val="Comic Sans MS"/>
        <family val="4"/>
      </rPr>
      <t>Commercial Sector N</t>
    </r>
    <r>
      <rPr>
        <vertAlign val="subscript"/>
        <sz val="14"/>
        <color theme="1"/>
        <rFont val="Comic Sans MS"/>
        <family val="4"/>
      </rPr>
      <t>2</t>
    </r>
    <r>
      <rPr>
        <sz val="14"/>
        <color theme="1"/>
        <rFont val="Comic Sans MS"/>
        <family val="4"/>
      </rPr>
      <t>O</t>
    </r>
  </si>
  <si>
    <r>
      <rPr>
        <b/>
        <sz val="8"/>
        <color theme="1"/>
        <rFont val="Comic Sans MS"/>
        <family val="4"/>
      </rPr>
      <t>(metric tons N</t>
    </r>
    <r>
      <rPr>
        <b/>
        <vertAlign val="subscript"/>
        <sz val="8"/>
        <color theme="1"/>
        <rFont val="Comic Sans MS"/>
        <family val="4"/>
      </rPr>
      <t>2</t>
    </r>
    <r>
      <rPr>
        <b/>
        <sz val="8"/>
        <color theme="1"/>
        <rFont val="Comic Sans MS"/>
        <family val="4"/>
      </rPr>
      <t>O/BBtu)</t>
    </r>
  </si>
  <si>
    <r>
      <rPr>
        <b/>
        <sz val="8"/>
        <color theme="1"/>
        <rFont val="Comic Sans MS"/>
        <family val="4"/>
      </rPr>
      <t>(metric tons N</t>
    </r>
    <r>
      <rPr>
        <b/>
        <vertAlign val="subscript"/>
        <sz val="8"/>
        <color theme="1"/>
        <rFont val="Comic Sans MS"/>
        <family val="4"/>
      </rPr>
      <t>2</t>
    </r>
    <r>
      <rPr>
        <b/>
        <sz val="8"/>
        <color theme="1"/>
        <rFont val="Comic Sans MS"/>
        <family val="4"/>
      </rPr>
      <t>O)</t>
    </r>
  </si>
  <si>
    <r>
      <rPr>
        <sz val="14"/>
        <color theme="1"/>
        <rFont val="Comic Sans MS"/>
        <family val="4"/>
      </rPr>
      <t>Commercial Sector CH</t>
    </r>
    <r>
      <rPr>
        <vertAlign val="subscript"/>
        <sz val="14"/>
        <color theme="1"/>
        <rFont val="Comic Sans MS"/>
        <family val="4"/>
      </rPr>
      <t>4</t>
    </r>
  </si>
  <si>
    <r>
      <rPr>
        <b/>
        <sz val="8"/>
        <color theme="1"/>
        <rFont val="Comic Sans MS"/>
        <family val="4"/>
      </rPr>
      <t>(metric tons CH</t>
    </r>
    <r>
      <rPr>
        <b/>
        <vertAlign val="subscript"/>
        <sz val="8"/>
        <color theme="1"/>
        <rFont val="Comic Sans MS"/>
        <family val="4"/>
      </rPr>
      <t>4</t>
    </r>
    <r>
      <rPr>
        <b/>
        <sz val="8"/>
        <color theme="1"/>
        <rFont val="Comic Sans MS"/>
        <family val="4"/>
      </rPr>
      <t xml:space="preserve"> /BBtu)</t>
    </r>
  </si>
  <si>
    <r>
      <rPr>
        <b/>
        <sz val="8"/>
        <color theme="1"/>
        <rFont val="Comic Sans MS"/>
        <family val="4"/>
      </rPr>
      <t>(metric tons CH</t>
    </r>
    <r>
      <rPr>
        <b/>
        <vertAlign val="subscript"/>
        <sz val="8"/>
        <color theme="1"/>
        <rFont val="Comic Sans MS"/>
        <family val="4"/>
      </rPr>
      <t>4</t>
    </r>
    <r>
      <rPr>
        <b/>
        <sz val="8"/>
        <color theme="1"/>
        <rFont val="Comic Sans MS"/>
        <family val="4"/>
      </rPr>
      <t>)</t>
    </r>
  </si>
  <si>
    <r>
      <rPr>
        <b/>
        <sz val="8"/>
        <color theme="1"/>
        <rFont val="Comic Sans MS"/>
        <family val="4"/>
      </rPr>
      <t>(MMTCO</t>
    </r>
    <r>
      <rPr>
        <b/>
        <vertAlign val="subscript"/>
        <sz val="8"/>
        <color theme="1"/>
        <rFont val="Comic Sans MS"/>
        <family val="4"/>
      </rPr>
      <t>2</t>
    </r>
    <r>
      <rPr>
        <b/>
        <sz val="8"/>
        <color theme="1"/>
        <rFont val="Comic Sans MS"/>
        <family val="4"/>
      </rPr>
      <t>E)</t>
    </r>
  </si>
  <si>
    <t>Commercial Sector 2017 GHG Emission</t>
  </si>
  <si>
    <r>
      <rPr>
        <b/>
        <sz val="8"/>
        <color theme="1"/>
        <rFont val="Arial"/>
        <family val="2"/>
      </rPr>
      <t>CO</t>
    </r>
    <r>
      <rPr>
        <b/>
        <vertAlign val="subscript"/>
        <sz val="8"/>
        <color theme="1"/>
        <rFont val="Arial"/>
        <family val="2"/>
      </rPr>
      <t>2</t>
    </r>
  </si>
  <si>
    <r>
      <rPr>
        <b/>
        <sz val="8"/>
        <color theme="1"/>
        <rFont val="Arial"/>
        <family val="2"/>
      </rPr>
      <t>CH</t>
    </r>
    <r>
      <rPr>
        <b/>
        <vertAlign val="subscript"/>
        <sz val="8"/>
        <color theme="1"/>
        <rFont val="Arial"/>
        <family val="2"/>
      </rPr>
      <t>4</t>
    </r>
  </si>
  <si>
    <r>
      <rPr>
        <b/>
        <sz val="8"/>
        <color theme="1"/>
        <rFont val="Arial"/>
        <family val="2"/>
      </rPr>
      <t>N</t>
    </r>
    <r>
      <rPr>
        <b/>
        <vertAlign val="subscript"/>
        <sz val="8"/>
        <color theme="1"/>
        <rFont val="Arial"/>
        <family val="2"/>
      </rPr>
      <t>2</t>
    </r>
    <r>
      <rPr>
        <b/>
        <sz val="8"/>
        <color theme="1"/>
        <rFont val="Arial"/>
        <family val="2"/>
      </rPr>
      <t>O</t>
    </r>
  </si>
  <si>
    <r>
      <rPr>
        <b/>
        <sz val="8"/>
        <color theme="1"/>
        <rFont val="Comic Sans MS"/>
        <family val="4"/>
      </rPr>
      <t>(MMTCO</t>
    </r>
    <r>
      <rPr>
        <b/>
        <vertAlign val="subscript"/>
        <sz val="8"/>
        <color theme="1"/>
        <rFont val="Comic Sans MS"/>
        <family val="4"/>
      </rPr>
      <t>2</t>
    </r>
    <r>
      <rPr>
        <b/>
        <sz val="8"/>
        <color theme="1"/>
        <rFont val="Comic Sans MS"/>
        <family val="4"/>
      </rPr>
      <t>E)</t>
    </r>
  </si>
  <si>
    <r>
      <rPr>
        <b/>
        <sz val="8"/>
        <color theme="1"/>
        <rFont val="Comic Sans MS"/>
        <family val="4"/>
      </rPr>
      <t>(MMTCO</t>
    </r>
    <r>
      <rPr>
        <b/>
        <vertAlign val="subscript"/>
        <sz val="8"/>
        <color theme="1"/>
        <rFont val="Comic Sans MS"/>
        <family val="4"/>
      </rPr>
      <t>2</t>
    </r>
    <r>
      <rPr>
        <b/>
        <sz val="8"/>
        <color theme="1"/>
        <rFont val="Comic Sans MS"/>
        <family val="4"/>
      </rPr>
      <t>E)</t>
    </r>
  </si>
  <si>
    <r>
      <rPr>
        <b/>
        <sz val="8"/>
        <color theme="1"/>
        <rFont val="Comic Sans MS"/>
        <family val="4"/>
      </rPr>
      <t>(MMTCO</t>
    </r>
    <r>
      <rPr>
        <b/>
        <vertAlign val="subscript"/>
        <sz val="8"/>
        <color theme="1"/>
        <rFont val="Comic Sans MS"/>
        <family val="4"/>
      </rPr>
      <t>2</t>
    </r>
    <r>
      <rPr>
        <b/>
        <sz val="8"/>
        <color theme="1"/>
        <rFont val="Comic Sans MS"/>
        <family val="4"/>
      </rPr>
      <t>E)</t>
    </r>
  </si>
  <si>
    <r>
      <rPr>
        <b/>
        <sz val="8"/>
        <color theme="1"/>
        <rFont val="Comic Sans MS"/>
        <family val="4"/>
      </rPr>
      <t>(MMTCO</t>
    </r>
    <r>
      <rPr>
        <b/>
        <vertAlign val="subscript"/>
        <sz val="8"/>
        <color theme="1"/>
        <rFont val="Comic Sans MS"/>
        <family val="4"/>
      </rPr>
      <t>2</t>
    </r>
    <r>
      <rPr>
        <b/>
        <sz val="8"/>
        <color theme="1"/>
        <rFont val="Comic Sans MS"/>
        <family val="4"/>
      </rPr>
      <t>E)</t>
    </r>
  </si>
  <si>
    <t>Industrial Consumption and CO2 Emissions in Maryland</t>
  </si>
  <si>
    <r>
      <rPr>
        <sz val="8"/>
        <color rgb="FF000000"/>
        <rFont val="Comic Sans MS"/>
        <family val="4"/>
      </rPr>
      <t>Industrial Sector CO</t>
    </r>
    <r>
      <rPr>
        <vertAlign val="subscript"/>
        <sz val="8"/>
        <color rgb="FF000000"/>
        <rFont val="Comic Sans MS"/>
        <family val="4"/>
      </rPr>
      <t>2</t>
    </r>
  </si>
  <si>
    <t>Percent</t>
  </si>
  <si>
    <t>Non-Energy</t>
  </si>
  <si>
    <t>Consumption (%)</t>
  </si>
  <si>
    <r>
      <rPr>
        <b/>
        <sz val="8"/>
        <color theme="1"/>
        <rFont val="Comic Sans MS"/>
        <family val="4"/>
      </rPr>
      <t>(MMTCO</t>
    </r>
    <r>
      <rPr>
        <b/>
        <vertAlign val="subscript"/>
        <sz val="8"/>
        <color theme="1"/>
        <rFont val="Comic Sans MS"/>
        <family val="4"/>
      </rPr>
      <t>2</t>
    </r>
    <r>
      <rPr>
        <b/>
        <sz val="8"/>
        <color theme="1"/>
        <rFont val="Comic Sans MS"/>
        <family val="4"/>
      </rPr>
      <t>E)</t>
    </r>
  </si>
  <si>
    <t>Coking Coal</t>
  </si>
  <si>
    <t>Other Coal</t>
  </si>
  <si>
    <t>Asphalt and Road Oil</t>
  </si>
  <si>
    <t>Aviation Gasoline Blending Components</t>
  </si>
  <si>
    <t>Crude Oil</t>
  </si>
  <si>
    <t>Feedstocks, Naphtha less than 401 F</t>
  </si>
  <si>
    <t>Feedstocks, Other Oils greater than 401 F</t>
  </si>
  <si>
    <t>Motor Gasoline Blending Components</t>
  </si>
  <si>
    <t>Misc. Petro Products</t>
  </si>
  <si>
    <t>Petroleum Coke</t>
  </si>
  <si>
    <t>Pentanes Plus</t>
  </si>
  <si>
    <t>Still Gas</t>
  </si>
  <si>
    <t>Special Naphthas</t>
  </si>
  <si>
    <t>Unfinished Oils</t>
  </si>
  <si>
    <t>Waxes</t>
  </si>
  <si>
    <r>
      <rPr>
        <sz val="8"/>
        <color theme="1"/>
        <rFont val="Comic Sans MS"/>
        <family val="4"/>
      </rPr>
      <t>Industrial Sector N</t>
    </r>
    <r>
      <rPr>
        <vertAlign val="subscript"/>
        <sz val="8"/>
        <color theme="1"/>
        <rFont val="Comic Sans MS"/>
        <family val="4"/>
      </rPr>
      <t>2</t>
    </r>
    <r>
      <rPr>
        <sz val="8"/>
        <color theme="1"/>
        <rFont val="Comic Sans MS"/>
        <family val="4"/>
      </rPr>
      <t>O</t>
    </r>
  </si>
  <si>
    <r>
      <rPr>
        <b/>
        <sz val="8"/>
        <color theme="1"/>
        <rFont val="Comic Sans MS"/>
        <family val="4"/>
      </rPr>
      <t>(metric tons N</t>
    </r>
    <r>
      <rPr>
        <b/>
        <vertAlign val="subscript"/>
        <sz val="8"/>
        <color theme="1"/>
        <rFont val="Comic Sans MS"/>
        <family val="4"/>
      </rPr>
      <t>2</t>
    </r>
    <r>
      <rPr>
        <b/>
        <sz val="8"/>
        <color theme="1"/>
        <rFont val="Comic Sans MS"/>
        <family val="4"/>
      </rPr>
      <t>O/BBtu)</t>
    </r>
  </si>
  <si>
    <r>
      <rPr>
        <b/>
        <sz val="8"/>
        <color theme="1"/>
        <rFont val="Comic Sans MS"/>
        <family val="4"/>
      </rPr>
      <t>(metric tons N</t>
    </r>
    <r>
      <rPr>
        <b/>
        <vertAlign val="subscript"/>
        <sz val="8"/>
        <color theme="1"/>
        <rFont val="Comic Sans MS"/>
        <family val="4"/>
      </rPr>
      <t>2</t>
    </r>
    <r>
      <rPr>
        <b/>
        <sz val="8"/>
        <color theme="1"/>
        <rFont val="Comic Sans MS"/>
        <family val="4"/>
      </rPr>
      <t>O)</t>
    </r>
  </si>
  <si>
    <r>
      <rPr>
        <b/>
        <sz val="8"/>
        <color theme="1"/>
        <rFont val="Comic Sans MS"/>
        <family val="4"/>
      </rPr>
      <t>(MMTCO</t>
    </r>
    <r>
      <rPr>
        <b/>
        <vertAlign val="subscript"/>
        <sz val="8"/>
        <color theme="1"/>
        <rFont val="Comic Sans MS"/>
        <family val="4"/>
      </rPr>
      <t>2</t>
    </r>
    <r>
      <rPr>
        <b/>
        <sz val="8"/>
        <color theme="1"/>
        <rFont val="Comic Sans MS"/>
        <family val="4"/>
      </rPr>
      <t>E)</t>
    </r>
  </si>
  <si>
    <t>NA</t>
  </si>
  <si>
    <r>
      <rPr>
        <sz val="8"/>
        <color rgb="FF000000"/>
        <rFont val="Comic Sans MS"/>
        <family val="4"/>
      </rPr>
      <t>Industrial Sector CH</t>
    </r>
    <r>
      <rPr>
        <vertAlign val="subscript"/>
        <sz val="8"/>
        <color rgb="FF000000"/>
        <rFont val="Comic Sans MS"/>
        <family val="4"/>
      </rPr>
      <t>4</t>
    </r>
  </si>
  <si>
    <t>(metric tons CH4)</t>
  </si>
  <si>
    <t>Industrial Sector GHG</t>
  </si>
  <si>
    <r>
      <rPr>
        <b/>
        <sz val="8"/>
        <color rgb="FF000000"/>
        <rFont val="Arial"/>
        <family val="2"/>
      </rPr>
      <t>CO</t>
    </r>
    <r>
      <rPr>
        <b/>
        <vertAlign val="subscript"/>
        <sz val="8"/>
        <color rgb="FF000000"/>
        <rFont val="Arial"/>
        <family val="2"/>
      </rPr>
      <t>2</t>
    </r>
  </si>
  <si>
    <r>
      <rPr>
        <b/>
        <sz val="8"/>
        <color rgb="FF000000"/>
        <rFont val="Arial"/>
        <family val="2"/>
      </rPr>
      <t>CH</t>
    </r>
    <r>
      <rPr>
        <b/>
        <vertAlign val="subscript"/>
        <sz val="8"/>
        <color rgb="FF000000"/>
        <rFont val="Arial"/>
        <family val="2"/>
      </rPr>
      <t>4</t>
    </r>
  </si>
  <si>
    <r>
      <rPr>
        <b/>
        <sz val="8"/>
        <color rgb="FF000000"/>
        <rFont val="Arial"/>
        <family val="2"/>
      </rPr>
      <t>N</t>
    </r>
    <r>
      <rPr>
        <b/>
        <vertAlign val="subscript"/>
        <sz val="8"/>
        <color rgb="FF000000"/>
        <rFont val="Arial"/>
        <family val="2"/>
      </rPr>
      <t>2</t>
    </r>
    <r>
      <rPr>
        <b/>
        <sz val="8"/>
        <color rgb="FF000000"/>
        <rFont val="Arial"/>
        <family val="2"/>
      </rPr>
      <t>O</t>
    </r>
  </si>
  <si>
    <r>
      <rPr>
        <b/>
        <sz val="8"/>
        <color theme="1"/>
        <rFont val="Comic Sans MS"/>
        <family val="4"/>
      </rPr>
      <t>(MMTCO</t>
    </r>
    <r>
      <rPr>
        <b/>
        <vertAlign val="subscript"/>
        <sz val="8"/>
        <color theme="1"/>
        <rFont val="Comic Sans MS"/>
        <family val="4"/>
      </rPr>
      <t>2</t>
    </r>
    <r>
      <rPr>
        <b/>
        <sz val="8"/>
        <color theme="1"/>
        <rFont val="Comic Sans MS"/>
        <family val="4"/>
      </rPr>
      <t>E)</t>
    </r>
  </si>
  <si>
    <r>
      <rPr>
        <b/>
        <sz val="8"/>
        <color theme="1"/>
        <rFont val="Comic Sans MS"/>
        <family val="4"/>
      </rPr>
      <t>(MMTCO</t>
    </r>
    <r>
      <rPr>
        <b/>
        <vertAlign val="subscript"/>
        <sz val="8"/>
        <color theme="1"/>
        <rFont val="Comic Sans MS"/>
        <family val="4"/>
      </rPr>
      <t>2</t>
    </r>
    <r>
      <rPr>
        <b/>
        <sz val="8"/>
        <color theme="1"/>
        <rFont val="Comic Sans MS"/>
        <family val="4"/>
      </rPr>
      <t>E)</t>
    </r>
  </si>
  <si>
    <r>
      <rPr>
        <b/>
        <sz val="8"/>
        <color theme="1"/>
        <rFont val="Comic Sans MS"/>
        <family val="4"/>
      </rPr>
      <t>(MMTCO</t>
    </r>
    <r>
      <rPr>
        <b/>
        <vertAlign val="subscript"/>
        <sz val="8"/>
        <color theme="1"/>
        <rFont val="Comic Sans MS"/>
        <family val="4"/>
      </rPr>
      <t>2</t>
    </r>
    <r>
      <rPr>
        <b/>
        <sz val="8"/>
        <color theme="1"/>
        <rFont val="Comic Sans MS"/>
        <family val="4"/>
      </rPr>
      <t>E)</t>
    </r>
  </si>
  <si>
    <r>
      <rPr>
        <b/>
        <sz val="8"/>
        <color theme="1"/>
        <rFont val="Comic Sans MS"/>
        <family val="4"/>
      </rPr>
      <t>(MMTCO</t>
    </r>
    <r>
      <rPr>
        <b/>
        <vertAlign val="subscript"/>
        <sz val="8"/>
        <color theme="1"/>
        <rFont val="Comic Sans MS"/>
        <family val="4"/>
      </rPr>
      <t>2</t>
    </r>
    <r>
      <rPr>
        <b/>
        <sz val="8"/>
        <color theme="1"/>
        <rFont val="Comic Sans MS"/>
        <family val="4"/>
      </rPr>
      <t>E)</t>
    </r>
  </si>
  <si>
    <t>- Default state synthetic natural gas data obtained from Table 12 of EIA’s Historical Natural Gas Annual (EIA 2009), and Table 8 for Natural Gas Annual publications from 2001-2007 http://www.eia.doe.gov/oil_gas/natural_gas/data_publications/natural_gas_annual/nga.html</t>
  </si>
  <si>
    <t>https://www.eia.gov/state/seds/seds-data-complete.php?sid=US</t>
  </si>
  <si>
    <r>
      <rPr>
        <b/>
        <sz val="14"/>
        <color theme="1"/>
        <rFont val="Comic Sans MS"/>
        <family val="4"/>
      </rPr>
      <t>Limestone &amp; Dolomite; Soda Ash; Ammonia &amp; Urea; ODS; Electric Power T&amp;D Summary (MTCO</t>
    </r>
    <r>
      <rPr>
        <b/>
        <vertAlign val="subscript"/>
        <sz val="14"/>
        <color theme="1"/>
        <rFont val="Comic Sans MS"/>
        <family val="4"/>
      </rPr>
      <t>2</t>
    </r>
    <r>
      <rPr>
        <b/>
        <sz val="14"/>
        <color theme="1"/>
        <rFont val="Comic Sans MS"/>
        <family val="4"/>
      </rPr>
      <t>E)</t>
    </r>
  </si>
  <si>
    <t>Limestone and Dolomite Use</t>
  </si>
  <si>
    <t>Consumption
(Metric Tons)</t>
  </si>
  <si>
    <r>
      <rPr>
        <b/>
        <sz val="9"/>
        <color theme="1"/>
        <rFont val="Calibri"/>
        <family val="2"/>
      </rPr>
      <t>Emission Factor
(t CO</t>
    </r>
    <r>
      <rPr>
        <b/>
        <vertAlign val="subscript"/>
        <sz val="9"/>
        <color theme="1"/>
        <rFont val="Calibri"/>
        <family val="2"/>
      </rPr>
      <t>2</t>
    </r>
    <r>
      <rPr>
        <b/>
        <sz val="9"/>
        <color theme="1"/>
        <rFont val="Calibri"/>
        <family val="2"/>
      </rPr>
      <t>/t production)</t>
    </r>
  </si>
  <si>
    <t>Emissions
(MTCE)</t>
  </si>
  <si>
    <r>
      <rPr>
        <b/>
        <sz val="9"/>
        <color theme="1"/>
        <rFont val="Calibri"/>
        <family val="2"/>
      </rPr>
      <t>Emissions
(MTCO</t>
    </r>
    <r>
      <rPr>
        <b/>
        <vertAlign val="subscript"/>
        <sz val="9"/>
        <color theme="1"/>
        <rFont val="Calibri"/>
        <family val="2"/>
      </rPr>
      <t>2</t>
    </r>
    <r>
      <rPr>
        <b/>
        <sz val="9"/>
        <color theme="1"/>
        <rFont val="Calibri"/>
        <family val="2"/>
      </rPr>
      <t>E)</t>
    </r>
  </si>
  <si>
    <t>Limestone</t>
  </si>
  <si>
    <t>Dolomite</t>
  </si>
  <si>
    <t>Magesium Production from Dolomite</t>
  </si>
  <si>
    <t>Soda Ash Use</t>
  </si>
  <si>
    <t>Manufacture and Consumption
(Metric tons)</t>
  </si>
  <si>
    <r>
      <rPr>
        <b/>
        <sz val="9"/>
        <color theme="1"/>
        <rFont val="Calibri"/>
        <family val="2"/>
      </rPr>
      <t>Emission Factor
(t CO</t>
    </r>
    <r>
      <rPr>
        <b/>
        <vertAlign val="subscript"/>
        <sz val="9"/>
        <color theme="1"/>
        <rFont val="Calibri"/>
        <family val="2"/>
      </rPr>
      <t>2</t>
    </r>
    <r>
      <rPr>
        <b/>
        <sz val="9"/>
        <color theme="1"/>
        <rFont val="Calibri"/>
        <family val="2"/>
      </rPr>
      <t>/t production)</t>
    </r>
  </si>
  <si>
    <r>
      <rPr>
        <b/>
        <sz val="9"/>
        <color theme="1"/>
        <rFont val="Calibri"/>
        <family val="2"/>
      </rPr>
      <t>Emissions
(MTCO</t>
    </r>
    <r>
      <rPr>
        <b/>
        <vertAlign val="subscript"/>
        <sz val="9"/>
        <color theme="1"/>
        <rFont val="Calibri"/>
        <family val="2"/>
      </rPr>
      <t>2</t>
    </r>
    <r>
      <rPr>
        <b/>
        <sz val="9"/>
        <color theme="1"/>
        <rFont val="Calibri"/>
        <family val="2"/>
      </rPr>
      <t>E)</t>
    </r>
  </si>
  <si>
    <t>Manufacture</t>
  </si>
  <si>
    <t>EPA U.S. Inventory State-Level Emission Estimates for Maryland</t>
  </si>
  <si>
    <t>Ammonia Production and Urea Consumption</t>
  </si>
  <si>
    <t>MMTCO2e (AR4 100-yr GWP)</t>
  </si>
  <si>
    <t>Production &amp; Consumption
(Metric Tons)</t>
  </si>
  <si>
    <r>
      <rPr>
        <b/>
        <sz val="9"/>
        <color theme="1"/>
        <rFont val="Calibri"/>
        <family val="2"/>
      </rPr>
      <t>Emission Factor
(mt CO</t>
    </r>
    <r>
      <rPr>
        <b/>
        <vertAlign val="subscript"/>
        <sz val="9"/>
        <color theme="1"/>
        <rFont val="Calibri"/>
        <family val="2"/>
      </rPr>
      <t>2</t>
    </r>
    <r>
      <rPr>
        <b/>
        <sz val="9"/>
        <color theme="1"/>
        <rFont val="Calibri"/>
        <family val="2"/>
      </rPr>
      <t>/mt activity)</t>
    </r>
  </si>
  <si>
    <t>Subract emissions from Urea</t>
  </si>
  <si>
    <r>
      <rPr>
        <b/>
        <sz val="9"/>
        <color theme="1"/>
        <rFont val="Calibri"/>
        <family val="2"/>
      </rPr>
      <t>Emissions
(MTCO</t>
    </r>
    <r>
      <rPr>
        <b/>
        <vertAlign val="subscript"/>
        <sz val="9"/>
        <color theme="1"/>
        <rFont val="Calibri"/>
        <family val="2"/>
      </rPr>
      <t>2</t>
    </r>
    <r>
      <rPr>
        <b/>
        <sz val="9"/>
        <color theme="1"/>
        <rFont val="Calibri"/>
        <family val="2"/>
      </rPr>
      <t>E)</t>
    </r>
  </si>
  <si>
    <t>MMTCO2e (AR4 20-yr GWP)</t>
  </si>
  <si>
    <t xml:space="preserve">Ammonia Production </t>
  </si>
  <si>
    <t>ratio 20-yr : 100-yr</t>
  </si>
  <si>
    <t>Urea Consumption</t>
  </si>
  <si>
    <t xml:space="preserve">   =</t>
  </si>
  <si>
    <t>100-yr emissions from EPA state-level GHG inventory, https://www.epa.gov/ghgemissions/state-ghg-emissions-and-removals
20-yr emissions from email correspondence, 6/28/2022</t>
  </si>
  <si>
    <t>Ozone Depleting Substances (ODS) Substitutes</t>
  </si>
  <si>
    <r>
      <rPr>
        <b/>
        <sz val="9"/>
        <color theme="1"/>
        <rFont val="Calibri"/>
        <family val="2"/>
      </rPr>
      <t xml:space="preserve"> National Emissions
(Metric Tons </t>
    </r>
    <r>
      <rPr>
        <b/>
        <vertAlign val="subscript"/>
        <sz val="9"/>
        <color theme="1"/>
        <rFont val="Calibri"/>
        <family val="2"/>
      </rPr>
      <t>C</t>
    </r>
    <r>
      <rPr>
        <b/>
        <sz val="9"/>
        <color theme="1"/>
        <rFont val="Calibri"/>
        <family val="2"/>
      </rPr>
      <t>O2 Eq.)</t>
    </r>
  </si>
  <si>
    <t>State Population</t>
  </si>
  <si>
    <t>Regional (NE) Population</t>
  </si>
  <si>
    <t xml:space="preserve">Regional ODS Consumption  %
</t>
  </si>
  <si>
    <r>
      <rPr>
        <b/>
        <sz val="9"/>
        <color theme="1"/>
        <rFont val="Calibri"/>
        <family val="2"/>
      </rPr>
      <t>Apportioned National Emissions
(MTCO</t>
    </r>
    <r>
      <rPr>
        <b/>
        <vertAlign val="subscript"/>
        <sz val="9"/>
        <color theme="1"/>
        <rFont val="Calibri"/>
        <family val="2"/>
      </rPr>
      <t>2</t>
    </r>
    <r>
      <rPr>
        <b/>
        <sz val="9"/>
        <color theme="1"/>
        <rFont val="Calibri"/>
        <family val="2"/>
      </rPr>
      <t>E)</t>
    </r>
  </si>
  <si>
    <t>/</t>
  </si>
  <si>
    <t>Electric Power Transmission &amp; Distribution (T&amp;D)</t>
  </si>
  <si>
    <r>
      <rPr>
        <b/>
        <sz val="9"/>
        <color theme="1"/>
        <rFont val="Calibri"/>
        <family val="2"/>
      </rPr>
      <t>SF</t>
    </r>
    <r>
      <rPr>
        <b/>
        <vertAlign val="subscript"/>
        <sz val="9"/>
        <color theme="1"/>
        <rFont val="Calibri"/>
        <family val="2"/>
      </rPr>
      <t>6</t>
    </r>
    <r>
      <rPr>
        <b/>
        <sz val="9"/>
        <color theme="1"/>
        <rFont val="Calibri"/>
        <family val="2"/>
      </rPr>
      <t xml:space="preserve"> Consumption
(Metric Tons)</t>
    </r>
  </si>
  <si>
    <r>
      <rPr>
        <b/>
        <sz val="9"/>
        <color theme="1"/>
        <rFont val="Calibri"/>
        <family val="2"/>
      </rPr>
      <t>Emission Factor
(t SF</t>
    </r>
    <r>
      <rPr>
        <b/>
        <vertAlign val="subscript"/>
        <sz val="9"/>
        <color theme="1"/>
        <rFont val="Calibri"/>
        <family val="2"/>
      </rPr>
      <t>6</t>
    </r>
    <r>
      <rPr>
        <b/>
        <sz val="9"/>
        <color theme="1"/>
        <rFont val="Calibri"/>
        <family val="2"/>
      </rPr>
      <t>/t Consumption)</t>
    </r>
  </si>
  <si>
    <r>
      <rPr>
        <b/>
        <sz val="9"/>
        <color theme="1"/>
        <rFont val="Calibri"/>
        <family val="2"/>
      </rPr>
      <t>Emissions
(Metric Tons SF</t>
    </r>
    <r>
      <rPr>
        <b/>
        <vertAlign val="subscript"/>
        <sz val="9"/>
        <color theme="1"/>
        <rFont val="Calibri"/>
        <family val="2"/>
      </rPr>
      <t>6</t>
    </r>
    <r>
      <rPr>
        <b/>
        <sz val="9"/>
        <color theme="1"/>
        <rFont val="Calibri"/>
        <family val="2"/>
      </rPr>
      <t>)</t>
    </r>
  </si>
  <si>
    <t>Emissions (MTCE)</t>
  </si>
  <si>
    <r>
      <rPr>
        <b/>
        <sz val="9"/>
        <color theme="1"/>
        <rFont val="Calibri"/>
        <family val="2"/>
      </rPr>
      <t>Emissions
(MTCO</t>
    </r>
    <r>
      <rPr>
        <b/>
        <vertAlign val="subscript"/>
        <sz val="9"/>
        <color theme="1"/>
        <rFont val="Calibri"/>
        <family val="2"/>
      </rPr>
      <t>2</t>
    </r>
    <r>
      <rPr>
        <b/>
        <sz val="9"/>
        <color theme="1"/>
        <rFont val="Calibri"/>
        <family val="2"/>
      </rPr>
      <t>E)</t>
    </r>
  </si>
  <si>
    <t>Aluminum Production (EastAlCo Shut Down)</t>
  </si>
  <si>
    <t>Production
(Metric Tons)</t>
  </si>
  <si>
    <t>Emission Factor
(t CE/t Production)</t>
  </si>
  <si>
    <r>
      <rPr>
        <b/>
        <sz val="9"/>
        <color theme="1"/>
        <rFont val="Calibri"/>
        <family val="2"/>
      </rPr>
      <t>Emissions
(MTCO</t>
    </r>
    <r>
      <rPr>
        <b/>
        <vertAlign val="subscript"/>
        <sz val="9"/>
        <color theme="1"/>
        <rFont val="Calibri"/>
        <family val="2"/>
      </rPr>
      <t>2</t>
    </r>
    <r>
      <rPr>
        <b/>
        <sz val="9"/>
        <color theme="1"/>
        <rFont val="Calibri"/>
        <family val="2"/>
      </rPr>
      <t>E)</t>
    </r>
  </si>
  <si>
    <r>
      <rPr>
        <sz val="8"/>
        <color theme="1"/>
        <rFont val="Comic Sans MS"/>
        <family val="4"/>
      </rPr>
      <t>Carbon Dioxide Emissions (MTCO</t>
    </r>
    <r>
      <rPr>
        <vertAlign val="subscript"/>
        <sz val="8"/>
        <color theme="1"/>
        <rFont val="Comic Sans MS"/>
        <family val="4"/>
      </rPr>
      <t>2</t>
    </r>
    <r>
      <rPr>
        <sz val="8"/>
        <color theme="1"/>
        <rFont val="Comic Sans MS"/>
        <family val="4"/>
      </rPr>
      <t>E)</t>
    </r>
  </si>
  <si>
    <t>Cement Manufacture</t>
  </si>
  <si>
    <t>Lime Manufacture</t>
  </si>
  <si>
    <t>Soda Ash</t>
  </si>
  <si>
    <t>Ammonia &amp; Urea</t>
  </si>
  <si>
    <t>Iron &amp; Steel Production</t>
  </si>
  <si>
    <r>
      <rPr>
        <sz val="8"/>
        <color theme="1"/>
        <rFont val="Comic Sans MS"/>
        <family val="4"/>
      </rPr>
      <t>Nitrous Oxide Emissions (MTCO</t>
    </r>
    <r>
      <rPr>
        <vertAlign val="subscript"/>
        <sz val="8"/>
        <color theme="1"/>
        <rFont val="Comic Sans MS"/>
        <family val="4"/>
      </rPr>
      <t>2</t>
    </r>
    <r>
      <rPr>
        <sz val="8"/>
        <color theme="1"/>
        <rFont val="Comic Sans MS"/>
        <family val="4"/>
      </rPr>
      <t>E)</t>
    </r>
  </si>
  <si>
    <t>Nitric Acid Production</t>
  </si>
  <si>
    <t>Adipic Acid Production</t>
  </si>
  <si>
    <r>
      <rPr>
        <sz val="8"/>
        <color theme="1"/>
        <rFont val="Comic Sans MS"/>
        <family val="4"/>
      </rPr>
      <t>HFC, PFC, and SF6 Emissions (MTCO</t>
    </r>
    <r>
      <rPr>
        <vertAlign val="subscript"/>
        <sz val="8"/>
        <color theme="1"/>
        <rFont val="Comic Sans MS"/>
        <family val="4"/>
      </rPr>
      <t>2</t>
    </r>
    <r>
      <rPr>
        <sz val="8"/>
        <color theme="1"/>
        <rFont val="Comic Sans MS"/>
        <family val="4"/>
      </rPr>
      <t>E)</t>
    </r>
  </si>
  <si>
    <t>ODS Substitutes</t>
  </si>
  <si>
    <t>Semiconductor Manufacturing</t>
  </si>
  <si>
    <t>Magnesium Production</t>
  </si>
  <si>
    <t>Electric Power Transmission and Distribution Systems</t>
  </si>
  <si>
    <t>HCFC-22 Production</t>
  </si>
  <si>
    <t>Aluminum Production</t>
  </si>
  <si>
    <r>
      <rPr>
        <b/>
        <sz val="8"/>
        <color theme="1"/>
        <rFont val="Comic Sans MS"/>
        <family val="4"/>
      </rPr>
      <t>Total Emissions (MTCO</t>
    </r>
    <r>
      <rPr>
        <b/>
        <vertAlign val="subscript"/>
        <sz val="8"/>
        <color theme="1"/>
        <rFont val="Comic Sans MS"/>
        <family val="4"/>
      </rPr>
      <t>2</t>
    </r>
    <r>
      <rPr>
        <b/>
        <sz val="8"/>
        <color theme="1"/>
        <rFont val="Comic Sans MS"/>
        <family val="4"/>
      </rPr>
      <t>E)</t>
    </r>
  </si>
  <si>
    <t>Cement Industry Production Emissions</t>
  </si>
  <si>
    <t>EPA- Mandatory GHG Rule Reporting Methodology used in Emission Certification Reports.</t>
  </si>
  <si>
    <t>% Biomass</t>
  </si>
  <si>
    <r>
      <rPr>
        <b/>
        <sz val="8"/>
        <color theme="1"/>
        <rFont val="Arial"/>
        <family val="2"/>
      </rPr>
      <t>CO</t>
    </r>
    <r>
      <rPr>
        <b/>
        <vertAlign val="subscript"/>
        <sz val="8"/>
        <color theme="1"/>
        <rFont val="Arial"/>
        <family val="2"/>
      </rPr>
      <t>2</t>
    </r>
    <r>
      <rPr>
        <b/>
        <sz val="8"/>
        <color theme="1"/>
        <rFont val="Arial"/>
        <family val="2"/>
      </rPr>
      <t xml:space="preserve"> Emissions (metric tons)</t>
    </r>
  </si>
  <si>
    <r>
      <rPr>
        <b/>
        <sz val="8"/>
        <color theme="1"/>
        <rFont val="Arial"/>
        <family val="2"/>
      </rPr>
      <t>CH</t>
    </r>
    <r>
      <rPr>
        <b/>
        <vertAlign val="subscript"/>
        <sz val="8"/>
        <color theme="1"/>
        <rFont val="Arial"/>
        <family val="2"/>
      </rPr>
      <t>4</t>
    </r>
    <r>
      <rPr>
        <b/>
        <sz val="8"/>
        <color theme="1"/>
        <rFont val="Arial"/>
        <family val="2"/>
      </rPr>
      <t xml:space="preserve"> Emissions (metric tons CH</t>
    </r>
    <r>
      <rPr>
        <b/>
        <vertAlign val="subscript"/>
        <sz val="8"/>
        <color theme="1"/>
        <rFont val="Arial"/>
        <family val="2"/>
      </rPr>
      <t>4</t>
    </r>
    <r>
      <rPr>
        <b/>
        <sz val="8"/>
        <color theme="1"/>
        <rFont val="Arial"/>
        <family val="2"/>
      </rPr>
      <t>)</t>
    </r>
  </si>
  <si>
    <r>
      <rPr>
        <b/>
        <sz val="8"/>
        <color theme="1"/>
        <rFont val="Arial"/>
        <family val="2"/>
      </rPr>
      <t>N</t>
    </r>
    <r>
      <rPr>
        <b/>
        <vertAlign val="subscript"/>
        <sz val="8"/>
        <color theme="1"/>
        <rFont val="Arial"/>
        <family val="2"/>
      </rPr>
      <t>2</t>
    </r>
    <r>
      <rPr>
        <b/>
        <sz val="8"/>
        <color theme="1"/>
        <rFont val="Arial"/>
        <family val="2"/>
      </rPr>
      <t>O Emissions (metric tons CH</t>
    </r>
    <r>
      <rPr>
        <b/>
        <vertAlign val="subscript"/>
        <sz val="8"/>
        <color theme="1"/>
        <rFont val="Arial"/>
        <family val="2"/>
      </rPr>
      <t>4</t>
    </r>
    <r>
      <rPr>
        <b/>
        <sz val="8"/>
        <color theme="1"/>
        <rFont val="Arial"/>
        <family val="2"/>
      </rPr>
      <t>)</t>
    </r>
  </si>
  <si>
    <t>(A)</t>
  </si>
  <si>
    <t xml:space="preserve"> Lehigh Kiln System </t>
  </si>
  <si>
    <t xml:space="preserve"> -Coal</t>
  </si>
  <si>
    <t>metric  tons</t>
  </si>
  <si>
    <t xml:space="preserve"> - DBS (Preheater/Precalciner Kiln)</t>
  </si>
  <si>
    <t xml:space="preserve"> - #2 Oil</t>
  </si>
  <si>
    <t xml:space="preserve"> - Fly Ash</t>
  </si>
  <si>
    <t>metric tons</t>
  </si>
  <si>
    <t>Kiln Fossil Fuel Combustion (Calculation)</t>
  </si>
  <si>
    <r>
      <rPr>
        <b/>
        <sz val="8"/>
        <color theme="1"/>
        <rFont val="Arial"/>
        <family val="2"/>
      </rPr>
      <t>Kiln System Total CO</t>
    </r>
    <r>
      <rPr>
        <b/>
        <vertAlign val="subscript"/>
        <sz val="8"/>
        <color theme="1"/>
        <rFont val="Arial"/>
        <family val="2"/>
      </rPr>
      <t>2</t>
    </r>
    <r>
      <rPr>
        <b/>
        <sz val="8"/>
        <color theme="1"/>
        <rFont val="Arial"/>
        <family val="2"/>
      </rPr>
      <t xml:space="preserve"> (CEM Measured)</t>
    </r>
  </si>
  <si>
    <r>
      <rPr>
        <b/>
        <sz val="8"/>
        <color theme="1"/>
        <rFont val="Arial"/>
        <family val="2"/>
      </rPr>
      <t>Cement Production-Process CO</t>
    </r>
    <r>
      <rPr>
        <b/>
        <vertAlign val="subscript"/>
        <sz val="8"/>
        <color theme="1"/>
        <rFont val="Arial"/>
        <family val="2"/>
      </rPr>
      <t xml:space="preserve">2 </t>
    </r>
    <r>
      <rPr>
        <b/>
        <sz val="8"/>
        <color theme="1"/>
        <rFont val="Arial"/>
        <family val="2"/>
      </rPr>
      <t>(metric tons)</t>
    </r>
    <r>
      <rPr>
        <b/>
        <vertAlign val="subscript"/>
        <sz val="8"/>
        <color theme="1"/>
        <rFont val="Arial"/>
        <family val="2"/>
      </rPr>
      <t xml:space="preserve">  </t>
    </r>
    <r>
      <rPr>
        <b/>
        <sz val="8"/>
        <color theme="1"/>
        <rFont val="Arial"/>
        <family val="2"/>
      </rPr>
      <t>= Kiln System Total CO</t>
    </r>
    <r>
      <rPr>
        <b/>
        <vertAlign val="subscript"/>
        <sz val="8"/>
        <color theme="1"/>
        <rFont val="Arial"/>
        <family val="2"/>
      </rPr>
      <t>2</t>
    </r>
    <r>
      <rPr>
        <b/>
        <sz val="8"/>
        <color theme="1"/>
        <rFont val="Arial"/>
        <family val="2"/>
      </rPr>
      <t xml:space="preserve"> - Kiln Fossil Fuel Combustion CO</t>
    </r>
    <r>
      <rPr>
        <b/>
        <vertAlign val="subscript"/>
        <sz val="8"/>
        <color theme="1"/>
        <rFont val="Arial"/>
        <family val="2"/>
      </rPr>
      <t>2</t>
    </r>
  </si>
  <si>
    <t>Non Kiln</t>
  </si>
  <si>
    <t xml:space="preserve"> Finish Mill (#2 Oil)</t>
  </si>
  <si>
    <r>
      <rPr>
        <b/>
        <sz val="8"/>
        <color theme="1"/>
        <rFont val="Arial"/>
        <family val="2"/>
      </rPr>
      <t>Total Facility CO</t>
    </r>
    <r>
      <rPr>
        <b/>
        <vertAlign val="subscript"/>
        <sz val="8"/>
        <color theme="1"/>
        <rFont val="Arial"/>
        <family val="2"/>
      </rPr>
      <t xml:space="preserve">2 </t>
    </r>
    <r>
      <rPr>
        <b/>
        <sz val="8"/>
        <color theme="1"/>
        <rFont val="Arial"/>
        <family val="2"/>
      </rPr>
      <t>= (Kiln System CO</t>
    </r>
    <r>
      <rPr>
        <b/>
        <vertAlign val="subscript"/>
        <sz val="8"/>
        <color theme="1"/>
        <rFont val="Arial"/>
        <family val="2"/>
      </rPr>
      <t>2</t>
    </r>
    <r>
      <rPr>
        <b/>
        <sz val="8"/>
        <color theme="1"/>
        <rFont val="Arial"/>
        <family val="2"/>
      </rPr>
      <t>) + (Non-Kiln CO</t>
    </r>
    <r>
      <rPr>
        <b/>
        <vertAlign val="subscript"/>
        <sz val="8"/>
        <color theme="1"/>
        <rFont val="Arial"/>
        <family val="2"/>
      </rPr>
      <t>2</t>
    </r>
    <r>
      <rPr>
        <b/>
        <sz val="8"/>
        <color theme="1"/>
        <rFont val="Arial"/>
        <family val="2"/>
      </rPr>
      <t>)</t>
    </r>
  </si>
  <si>
    <t>Emissions (short tons)</t>
  </si>
  <si>
    <t>Kiln Fossil Fuel Combustion (short tons)</t>
  </si>
  <si>
    <r>
      <rPr>
        <b/>
        <sz val="8"/>
        <color theme="1"/>
        <rFont val="Arial"/>
        <family val="2"/>
      </rPr>
      <t>Kiln System Total CO</t>
    </r>
    <r>
      <rPr>
        <b/>
        <vertAlign val="subscript"/>
        <sz val="8"/>
        <color theme="1"/>
        <rFont val="Arial"/>
        <family val="2"/>
      </rPr>
      <t>2</t>
    </r>
    <r>
      <rPr>
        <b/>
        <sz val="8"/>
        <color theme="1"/>
        <rFont val="Arial"/>
        <family val="2"/>
      </rPr>
      <t xml:space="preserve"> (CEM Measured) (short tons)</t>
    </r>
  </si>
  <si>
    <r>
      <rPr>
        <b/>
        <sz val="8"/>
        <color theme="1"/>
        <rFont val="Arial"/>
        <family val="2"/>
      </rPr>
      <t>Cement Production-Process CO</t>
    </r>
    <r>
      <rPr>
        <b/>
        <vertAlign val="subscript"/>
        <sz val="8"/>
        <color theme="1"/>
        <rFont val="Arial"/>
        <family val="2"/>
      </rPr>
      <t xml:space="preserve">2 </t>
    </r>
    <r>
      <rPr>
        <b/>
        <sz val="8"/>
        <color theme="1"/>
        <rFont val="Arial"/>
        <family val="2"/>
      </rPr>
      <t>(short tons)</t>
    </r>
    <r>
      <rPr>
        <b/>
        <vertAlign val="subscript"/>
        <sz val="8"/>
        <color theme="1"/>
        <rFont val="Arial"/>
        <family val="2"/>
      </rPr>
      <t xml:space="preserve">  </t>
    </r>
    <r>
      <rPr>
        <b/>
        <sz val="8"/>
        <color theme="1"/>
        <rFont val="Arial"/>
        <family val="2"/>
      </rPr>
      <t>= Kiln System Total CO</t>
    </r>
    <r>
      <rPr>
        <b/>
        <vertAlign val="subscript"/>
        <sz val="8"/>
        <color theme="1"/>
        <rFont val="Arial"/>
        <family val="2"/>
      </rPr>
      <t>2</t>
    </r>
    <r>
      <rPr>
        <b/>
        <sz val="8"/>
        <color theme="1"/>
        <rFont val="Arial"/>
        <family val="2"/>
      </rPr>
      <t xml:space="preserve"> - Kiln Fossil Fuel Combustion CO</t>
    </r>
    <r>
      <rPr>
        <b/>
        <vertAlign val="subscript"/>
        <sz val="8"/>
        <color theme="1"/>
        <rFont val="Arial"/>
        <family val="2"/>
      </rPr>
      <t>2</t>
    </r>
  </si>
  <si>
    <r>
      <rPr>
        <b/>
        <sz val="8"/>
        <color theme="1"/>
        <rFont val="Arial"/>
        <family val="2"/>
      </rPr>
      <t>Total Facility CO</t>
    </r>
    <r>
      <rPr>
        <b/>
        <vertAlign val="subscript"/>
        <sz val="8"/>
        <color theme="1"/>
        <rFont val="Arial"/>
        <family val="2"/>
      </rPr>
      <t>2</t>
    </r>
    <r>
      <rPr>
        <b/>
        <sz val="8"/>
        <color theme="1"/>
        <rFont val="Arial"/>
        <family val="2"/>
      </rPr>
      <t xml:space="preserve"> (short tons)</t>
    </r>
    <r>
      <rPr>
        <b/>
        <vertAlign val="subscript"/>
        <sz val="8"/>
        <color theme="1"/>
        <rFont val="Arial"/>
        <family val="2"/>
      </rPr>
      <t xml:space="preserve"> </t>
    </r>
    <r>
      <rPr>
        <b/>
        <sz val="8"/>
        <color theme="1"/>
        <rFont val="Arial"/>
        <family val="2"/>
      </rPr>
      <t>= Kiln System CO</t>
    </r>
    <r>
      <rPr>
        <b/>
        <vertAlign val="subscript"/>
        <sz val="8"/>
        <color theme="1"/>
        <rFont val="Arial"/>
        <family val="2"/>
      </rPr>
      <t>2</t>
    </r>
    <r>
      <rPr>
        <b/>
        <sz val="8"/>
        <color theme="1"/>
        <rFont val="Arial"/>
        <family val="2"/>
      </rPr>
      <t xml:space="preserve"> + Non-Kiln CO</t>
    </r>
    <r>
      <rPr>
        <b/>
        <vertAlign val="subscript"/>
        <sz val="8"/>
        <color theme="1"/>
        <rFont val="Arial"/>
        <family val="2"/>
      </rPr>
      <t>2</t>
    </r>
  </si>
  <si>
    <t>(B)</t>
  </si>
  <si>
    <t>Holcim Kiln 2017</t>
  </si>
  <si>
    <r>
      <rPr>
        <b/>
        <sz val="8"/>
        <color theme="1"/>
        <rFont val="Arial"/>
        <family val="2"/>
      </rPr>
      <t>CO</t>
    </r>
    <r>
      <rPr>
        <b/>
        <vertAlign val="subscript"/>
        <sz val="8"/>
        <color theme="1"/>
        <rFont val="Arial"/>
        <family val="2"/>
      </rPr>
      <t>2</t>
    </r>
    <r>
      <rPr>
        <b/>
        <sz val="8"/>
        <color theme="1"/>
        <rFont val="Arial"/>
        <family val="2"/>
      </rPr>
      <t xml:space="preserve"> Emissions (metric tons)</t>
    </r>
  </si>
  <si>
    <r>
      <rPr>
        <b/>
        <sz val="8"/>
        <color theme="1"/>
        <rFont val="Arial"/>
        <family val="2"/>
      </rPr>
      <t>CH</t>
    </r>
    <r>
      <rPr>
        <b/>
        <vertAlign val="subscript"/>
        <sz val="8"/>
        <color theme="1"/>
        <rFont val="Arial"/>
        <family val="2"/>
      </rPr>
      <t>4</t>
    </r>
    <r>
      <rPr>
        <b/>
        <sz val="8"/>
        <color theme="1"/>
        <rFont val="Arial"/>
        <family val="2"/>
      </rPr>
      <t xml:space="preserve"> Emissions (metric tons CH</t>
    </r>
    <r>
      <rPr>
        <b/>
        <vertAlign val="subscript"/>
        <sz val="8"/>
        <color theme="1"/>
        <rFont val="Arial"/>
        <family val="2"/>
      </rPr>
      <t>4</t>
    </r>
    <r>
      <rPr>
        <b/>
        <sz val="8"/>
        <color theme="1"/>
        <rFont val="Arial"/>
        <family val="2"/>
      </rPr>
      <t>)</t>
    </r>
  </si>
  <si>
    <r>
      <rPr>
        <b/>
        <sz val="8"/>
        <color theme="1"/>
        <rFont val="Arial"/>
        <family val="2"/>
      </rPr>
      <t>N</t>
    </r>
    <r>
      <rPr>
        <b/>
        <vertAlign val="subscript"/>
        <sz val="8"/>
        <color theme="1"/>
        <rFont val="Arial"/>
        <family val="2"/>
      </rPr>
      <t>2</t>
    </r>
    <r>
      <rPr>
        <b/>
        <sz val="8"/>
        <color theme="1"/>
        <rFont val="Arial"/>
        <family val="2"/>
      </rPr>
      <t>O  Emissions   (metric tons N</t>
    </r>
    <r>
      <rPr>
        <b/>
        <vertAlign val="subscript"/>
        <sz val="8"/>
        <color theme="1"/>
        <rFont val="Arial"/>
        <family val="2"/>
      </rPr>
      <t>2</t>
    </r>
    <r>
      <rPr>
        <b/>
        <sz val="8"/>
        <color theme="1"/>
        <rFont val="Arial"/>
        <family val="2"/>
      </rPr>
      <t>O)</t>
    </r>
  </si>
  <si>
    <t>Kiln System</t>
  </si>
  <si>
    <t>short  tons</t>
  </si>
  <si>
    <t xml:space="preserve"> - Tire</t>
  </si>
  <si>
    <r>
      <rPr>
        <b/>
        <sz val="8"/>
        <color theme="1"/>
        <rFont val="Arial"/>
        <family val="2"/>
      </rPr>
      <t>Kiln Fossil Fuel Alone CO</t>
    </r>
    <r>
      <rPr>
        <b/>
        <vertAlign val="subscript"/>
        <sz val="8"/>
        <color theme="1"/>
        <rFont val="Arial"/>
        <family val="2"/>
      </rPr>
      <t>2</t>
    </r>
    <r>
      <rPr>
        <b/>
        <sz val="8"/>
        <color theme="1"/>
        <rFont val="Arial"/>
        <family val="2"/>
      </rPr>
      <t xml:space="preserve"> (Calculation)</t>
    </r>
  </si>
  <si>
    <t xml:space="preserve">Non Kiln </t>
  </si>
  <si>
    <t>Raw Meal - # 2 Oil</t>
  </si>
  <si>
    <r>
      <rPr>
        <b/>
        <sz val="8"/>
        <color theme="1"/>
        <rFont val="Arial"/>
        <family val="2"/>
      </rPr>
      <t>Kiln System Total CO</t>
    </r>
    <r>
      <rPr>
        <b/>
        <vertAlign val="subscript"/>
        <sz val="8"/>
        <color theme="1"/>
        <rFont val="Arial"/>
        <family val="2"/>
      </rPr>
      <t>2</t>
    </r>
    <r>
      <rPr>
        <b/>
        <sz val="8"/>
        <color theme="1"/>
        <rFont val="Arial"/>
        <family val="2"/>
      </rPr>
      <t xml:space="preserve"> (CEM Measured).</t>
    </r>
  </si>
  <si>
    <r>
      <rPr>
        <b/>
        <sz val="8"/>
        <color theme="1"/>
        <rFont val="Arial"/>
        <family val="2"/>
      </rPr>
      <t>Kiln Fossil Fuel Alone CO</t>
    </r>
    <r>
      <rPr>
        <b/>
        <vertAlign val="subscript"/>
        <sz val="8"/>
        <color theme="1"/>
        <rFont val="Arial"/>
        <family val="2"/>
      </rPr>
      <t>2</t>
    </r>
    <r>
      <rPr>
        <b/>
        <sz val="8"/>
        <color theme="1"/>
        <rFont val="Arial"/>
        <family val="2"/>
      </rPr>
      <t xml:space="preserve"> (Calculation)</t>
    </r>
  </si>
  <si>
    <r>
      <rPr>
        <b/>
        <sz val="8"/>
        <color theme="1"/>
        <rFont val="Arial"/>
        <family val="2"/>
      </rPr>
      <t>Cement Process CO</t>
    </r>
    <r>
      <rPr>
        <b/>
        <vertAlign val="subscript"/>
        <sz val="8"/>
        <color theme="1"/>
        <rFont val="Arial"/>
        <family val="2"/>
      </rPr>
      <t xml:space="preserve">2 </t>
    </r>
    <r>
      <rPr>
        <b/>
        <sz val="8"/>
        <color theme="1"/>
        <rFont val="Arial"/>
        <family val="2"/>
      </rPr>
      <t>(metric tons)</t>
    </r>
    <r>
      <rPr>
        <b/>
        <vertAlign val="subscript"/>
        <sz val="8"/>
        <color theme="1"/>
        <rFont val="Arial"/>
        <family val="2"/>
      </rPr>
      <t xml:space="preserve"> </t>
    </r>
    <r>
      <rPr>
        <b/>
        <sz val="8"/>
        <color theme="1"/>
        <rFont val="Arial"/>
        <family val="2"/>
      </rPr>
      <t xml:space="preserve"> = (Total Kiln CO</t>
    </r>
    <r>
      <rPr>
        <b/>
        <vertAlign val="subscript"/>
        <sz val="8"/>
        <color theme="1"/>
        <rFont val="Arial"/>
        <family val="2"/>
      </rPr>
      <t>2</t>
    </r>
    <r>
      <rPr>
        <b/>
        <sz val="8"/>
        <color theme="1"/>
        <rFont val="Arial"/>
        <family val="2"/>
      </rPr>
      <t>)  - (Kiln Fossil Fuel Alone CO</t>
    </r>
    <r>
      <rPr>
        <b/>
        <vertAlign val="subscript"/>
        <sz val="8"/>
        <color theme="1"/>
        <rFont val="Arial"/>
        <family val="2"/>
      </rPr>
      <t>2</t>
    </r>
    <r>
      <rPr>
        <b/>
        <sz val="8"/>
        <color theme="1"/>
        <rFont val="Arial"/>
        <family val="2"/>
      </rPr>
      <t>)</t>
    </r>
  </si>
  <si>
    <r>
      <rPr>
        <b/>
        <sz val="8"/>
        <color theme="1"/>
        <rFont val="Arial"/>
        <family val="2"/>
      </rPr>
      <t>Total Facility CO</t>
    </r>
    <r>
      <rPr>
        <b/>
        <vertAlign val="subscript"/>
        <sz val="8"/>
        <color theme="1"/>
        <rFont val="Arial"/>
        <family val="2"/>
      </rPr>
      <t>2</t>
    </r>
    <r>
      <rPr>
        <b/>
        <sz val="8"/>
        <color theme="1"/>
        <rFont val="Arial"/>
        <family val="2"/>
      </rPr>
      <t xml:space="preserve"> Emission = (Kiln System Total CO</t>
    </r>
    <r>
      <rPr>
        <b/>
        <vertAlign val="subscript"/>
        <sz val="8"/>
        <color theme="1"/>
        <rFont val="Arial"/>
        <family val="2"/>
      </rPr>
      <t>2</t>
    </r>
    <r>
      <rPr>
        <b/>
        <sz val="8"/>
        <color theme="1"/>
        <rFont val="Arial"/>
        <family val="2"/>
      </rPr>
      <t>) + (Non Kiln CO</t>
    </r>
    <r>
      <rPr>
        <b/>
        <vertAlign val="subscript"/>
        <sz val="8"/>
        <color theme="1"/>
        <rFont val="Arial"/>
        <family val="2"/>
      </rPr>
      <t>2</t>
    </r>
    <r>
      <rPr>
        <b/>
        <sz val="8"/>
        <color theme="1"/>
        <rFont val="Arial"/>
        <family val="2"/>
      </rPr>
      <t>)</t>
    </r>
  </si>
  <si>
    <r>
      <rPr>
        <b/>
        <sz val="8"/>
        <color theme="1"/>
        <rFont val="Arial"/>
        <family val="2"/>
      </rPr>
      <t>Kiln System Total CO</t>
    </r>
    <r>
      <rPr>
        <b/>
        <vertAlign val="subscript"/>
        <sz val="8"/>
        <color theme="1"/>
        <rFont val="Arial"/>
        <family val="2"/>
      </rPr>
      <t>2</t>
    </r>
    <r>
      <rPr>
        <b/>
        <sz val="8"/>
        <color theme="1"/>
        <rFont val="Arial"/>
        <family val="2"/>
      </rPr>
      <t xml:space="preserve"> (CEM Measured) (short tons)</t>
    </r>
  </si>
  <si>
    <r>
      <rPr>
        <b/>
        <sz val="8"/>
        <color theme="1"/>
        <rFont val="Arial"/>
        <family val="2"/>
      </rPr>
      <t>Kiln Fossil Fuel Alone CO</t>
    </r>
    <r>
      <rPr>
        <b/>
        <vertAlign val="subscript"/>
        <sz val="8"/>
        <color theme="1"/>
        <rFont val="Arial"/>
        <family val="2"/>
      </rPr>
      <t>2</t>
    </r>
    <r>
      <rPr>
        <b/>
        <sz val="8"/>
        <color theme="1"/>
        <rFont val="Arial"/>
        <family val="2"/>
      </rPr>
      <t xml:space="preserve"> (Calculated) (short tons)</t>
    </r>
  </si>
  <si>
    <r>
      <rPr>
        <b/>
        <sz val="8"/>
        <color theme="1"/>
        <rFont val="Arial"/>
        <family val="2"/>
      </rPr>
      <t>Cement Process CO</t>
    </r>
    <r>
      <rPr>
        <b/>
        <vertAlign val="subscript"/>
        <sz val="8"/>
        <color theme="1"/>
        <rFont val="Arial"/>
        <family val="2"/>
      </rPr>
      <t>2</t>
    </r>
    <r>
      <rPr>
        <b/>
        <sz val="8"/>
        <color theme="1"/>
        <rFont val="Arial"/>
        <family val="2"/>
      </rPr>
      <t xml:space="preserve"> (short tons) = (Total Kiln CO</t>
    </r>
    <r>
      <rPr>
        <b/>
        <vertAlign val="subscript"/>
        <sz val="8"/>
        <color theme="1"/>
        <rFont val="Arial"/>
        <family val="2"/>
      </rPr>
      <t>2</t>
    </r>
    <r>
      <rPr>
        <b/>
        <sz val="8"/>
        <color theme="1"/>
        <rFont val="Arial"/>
        <family val="2"/>
      </rPr>
      <t>)  - (Kiln Fossil Fuel Alone CO</t>
    </r>
    <r>
      <rPr>
        <b/>
        <vertAlign val="subscript"/>
        <sz val="8"/>
        <color theme="1"/>
        <rFont val="Arial"/>
        <family val="2"/>
      </rPr>
      <t>2</t>
    </r>
    <r>
      <rPr>
        <b/>
        <sz val="8"/>
        <color theme="1"/>
        <rFont val="Arial"/>
        <family val="2"/>
      </rPr>
      <t>)</t>
    </r>
  </si>
  <si>
    <r>
      <rPr>
        <b/>
        <sz val="8"/>
        <color theme="1"/>
        <rFont val="Arial"/>
        <family val="2"/>
      </rPr>
      <t>Total Facility CO</t>
    </r>
    <r>
      <rPr>
        <b/>
        <vertAlign val="subscript"/>
        <sz val="8"/>
        <color theme="1"/>
        <rFont val="Arial"/>
        <family val="2"/>
      </rPr>
      <t>2</t>
    </r>
    <r>
      <rPr>
        <b/>
        <sz val="8"/>
        <color theme="1"/>
        <rFont val="Arial"/>
        <family val="2"/>
      </rPr>
      <t xml:space="preserve"> Emission(short tons) = (Kiln System Total CO</t>
    </r>
    <r>
      <rPr>
        <b/>
        <vertAlign val="subscript"/>
        <sz val="8"/>
        <color theme="1"/>
        <rFont val="Arial"/>
        <family val="2"/>
      </rPr>
      <t>2</t>
    </r>
    <r>
      <rPr>
        <b/>
        <sz val="8"/>
        <color theme="1"/>
        <rFont val="Arial"/>
        <family val="2"/>
      </rPr>
      <t>) + (Non Kiln CO</t>
    </r>
    <r>
      <rPr>
        <b/>
        <vertAlign val="subscript"/>
        <sz val="8"/>
        <color theme="1"/>
        <rFont val="Arial"/>
        <family val="2"/>
      </rPr>
      <t>2</t>
    </r>
    <r>
      <rPr>
        <b/>
        <sz val="8"/>
        <color theme="1"/>
        <rFont val="Arial"/>
        <family val="2"/>
      </rPr>
      <t>)</t>
    </r>
  </si>
  <si>
    <t>(A) +(B)</t>
  </si>
  <si>
    <r>
      <rPr>
        <b/>
        <sz val="8"/>
        <color theme="1"/>
        <rFont val="Arial"/>
        <family val="2"/>
      </rPr>
      <t>MD Summmary Cement Process CO</t>
    </r>
    <r>
      <rPr>
        <b/>
        <vertAlign val="subscript"/>
        <sz val="8"/>
        <color theme="1"/>
        <rFont val="Arial"/>
        <family val="2"/>
      </rPr>
      <t>2</t>
    </r>
    <r>
      <rPr>
        <b/>
        <sz val="8"/>
        <color theme="1"/>
        <rFont val="Arial"/>
        <family val="2"/>
      </rPr>
      <t xml:space="preserve"> Emissions (short tons) </t>
    </r>
  </si>
  <si>
    <r>
      <rPr>
        <b/>
        <sz val="8"/>
        <color theme="1"/>
        <rFont val="Arial"/>
        <family val="2"/>
      </rPr>
      <t>MD Summmary Cement Process CO</t>
    </r>
    <r>
      <rPr>
        <b/>
        <vertAlign val="subscript"/>
        <sz val="8"/>
        <color theme="1"/>
        <rFont val="Arial"/>
        <family val="2"/>
      </rPr>
      <t>2</t>
    </r>
    <r>
      <rPr>
        <b/>
        <sz val="8"/>
        <color theme="1"/>
        <rFont val="Arial"/>
        <family val="2"/>
      </rPr>
      <t xml:space="preserve"> Emissions (metric tons) </t>
    </r>
  </si>
  <si>
    <r>
      <rPr>
        <b/>
        <sz val="8"/>
        <color theme="1"/>
        <rFont val="Arial"/>
        <family val="2"/>
      </rPr>
      <t>MD Summmary Cement Process CO</t>
    </r>
    <r>
      <rPr>
        <b/>
        <vertAlign val="subscript"/>
        <sz val="8"/>
        <color theme="1"/>
        <rFont val="Arial"/>
        <family val="2"/>
      </rPr>
      <t>2</t>
    </r>
    <r>
      <rPr>
        <b/>
        <sz val="8"/>
        <color theme="1"/>
        <rFont val="Arial"/>
        <family val="2"/>
      </rPr>
      <t xml:space="preserve"> Emissions (MMTCO</t>
    </r>
    <r>
      <rPr>
        <b/>
        <vertAlign val="subscript"/>
        <sz val="8"/>
        <color theme="1"/>
        <rFont val="Arial"/>
        <family val="2"/>
      </rPr>
      <t>2</t>
    </r>
    <r>
      <rPr>
        <b/>
        <sz val="8"/>
        <color theme="1"/>
        <rFont val="Arial"/>
        <family val="2"/>
      </rPr>
      <t xml:space="preserve">E) </t>
    </r>
  </si>
  <si>
    <t>Production &amp; Consumption</t>
  </si>
  <si>
    <t>Subract emissions</t>
  </si>
  <si>
    <t>(Metric Tons)</t>
  </si>
  <si>
    <r>
      <rPr>
        <b/>
        <sz val="10"/>
        <color theme="1"/>
        <rFont val="Times New Roman"/>
        <family val="1"/>
      </rPr>
      <t>(mt CO</t>
    </r>
    <r>
      <rPr>
        <b/>
        <vertAlign val="subscript"/>
        <sz val="10"/>
        <color theme="1"/>
        <rFont val="Times New Roman"/>
        <family val="1"/>
      </rPr>
      <t>2</t>
    </r>
    <r>
      <rPr>
        <b/>
        <sz val="10"/>
        <color theme="1"/>
        <rFont val="Times New Roman"/>
        <family val="1"/>
      </rPr>
      <t>/mt activity)</t>
    </r>
  </si>
  <si>
    <t xml:space="preserve"> from Urea</t>
  </si>
  <si>
    <r>
      <rPr>
        <b/>
        <sz val="10"/>
        <color theme="1"/>
        <rFont val="Times New Roman"/>
        <family val="1"/>
      </rPr>
      <t>(MTCO</t>
    </r>
    <r>
      <rPr>
        <b/>
        <vertAlign val="subscript"/>
        <sz val="10"/>
        <color theme="1"/>
        <rFont val="Times New Roman"/>
        <family val="1"/>
      </rPr>
      <t>2</t>
    </r>
    <r>
      <rPr>
        <b/>
        <sz val="10"/>
        <color theme="1"/>
        <rFont val="Times New Roman"/>
        <family val="1"/>
      </rPr>
      <t>E)</t>
    </r>
  </si>
  <si>
    <r>
      <rPr>
        <b/>
        <sz val="10"/>
        <color theme="1"/>
        <rFont val="Times New Roman"/>
        <family val="1"/>
      </rPr>
      <t>(MMTCO</t>
    </r>
    <r>
      <rPr>
        <b/>
        <vertAlign val="subscript"/>
        <sz val="10"/>
        <color theme="1"/>
        <rFont val="Times New Roman"/>
        <family val="1"/>
      </rPr>
      <t>2</t>
    </r>
    <r>
      <rPr>
        <b/>
        <sz val="10"/>
        <color theme="1"/>
        <rFont val="Times New Roman"/>
        <family val="1"/>
      </rPr>
      <t>E)</t>
    </r>
  </si>
  <si>
    <t>Iron &amp; Steel Industry Production Emissions</t>
  </si>
  <si>
    <r>
      <rPr>
        <b/>
        <sz val="10"/>
        <color theme="1"/>
        <rFont val="Arial"/>
        <family val="2"/>
      </rPr>
      <t>CO</t>
    </r>
    <r>
      <rPr>
        <b/>
        <vertAlign val="subscript"/>
        <sz val="10"/>
        <color theme="1"/>
        <rFont val="Arial"/>
        <family val="2"/>
      </rPr>
      <t>2</t>
    </r>
    <r>
      <rPr>
        <b/>
        <sz val="10"/>
        <color theme="1"/>
        <rFont val="Arial"/>
        <family val="2"/>
      </rPr>
      <t xml:space="preserve"> Emissions (metric tons)</t>
    </r>
  </si>
  <si>
    <r>
      <rPr>
        <b/>
        <sz val="10"/>
        <color theme="1"/>
        <rFont val="Arial"/>
        <family val="2"/>
      </rPr>
      <t>CO</t>
    </r>
    <r>
      <rPr>
        <b/>
        <vertAlign val="subscript"/>
        <sz val="10"/>
        <color theme="1"/>
        <rFont val="Arial"/>
        <family val="2"/>
      </rPr>
      <t>2</t>
    </r>
    <r>
      <rPr>
        <b/>
        <sz val="10"/>
        <color theme="1"/>
        <rFont val="Arial"/>
        <family val="2"/>
      </rPr>
      <t xml:space="preserve"> Emissions (short tons)</t>
    </r>
  </si>
  <si>
    <r>
      <rPr>
        <sz val="8"/>
        <color theme="1"/>
        <rFont val="Arial"/>
        <family val="2"/>
      </rPr>
      <t>CO</t>
    </r>
    <r>
      <rPr>
        <vertAlign val="subscript"/>
        <sz val="10"/>
        <color theme="1"/>
        <rFont val="Arial"/>
        <family val="2"/>
      </rPr>
      <t>2</t>
    </r>
  </si>
  <si>
    <t>Bleeders</t>
  </si>
  <si>
    <r>
      <rPr>
        <sz val="8"/>
        <color theme="1"/>
        <rFont val="Arial"/>
        <family val="2"/>
      </rPr>
      <t>CH</t>
    </r>
    <r>
      <rPr>
        <vertAlign val="subscript"/>
        <sz val="10"/>
        <color theme="1"/>
        <rFont val="Arial"/>
        <family val="2"/>
      </rPr>
      <t>4</t>
    </r>
  </si>
  <si>
    <r>
      <rPr>
        <sz val="8"/>
        <color theme="1"/>
        <rFont val="Arial"/>
        <family val="2"/>
      </rPr>
      <t>N</t>
    </r>
    <r>
      <rPr>
        <vertAlign val="subscript"/>
        <sz val="10"/>
        <color theme="1"/>
        <rFont val="Arial"/>
        <family val="2"/>
      </rPr>
      <t>2</t>
    </r>
    <r>
      <rPr>
        <sz val="8"/>
        <color theme="1"/>
        <rFont val="Arial"/>
        <family val="2"/>
      </rPr>
      <t>O</t>
    </r>
  </si>
  <si>
    <r>
      <rPr>
        <sz val="8"/>
        <color theme="1"/>
        <rFont val="Arial"/>
        <family val="2"/>
      </rPr>
      <t>CO</t>
    </r>
    <r>
      <rPr>
        <vertAlign val="subscript"/>
        <sz val="10"/>
        <color theme="1"/>
        <rFont val="Arial"/>
        <family val="2"/>
      </rPr>
      <t>2</t>
    </r>
  </si>
  <si>
    <t>L Blast Furnace</t>
  </si>
  <si>
    <r>
      <rPr>
        <sz val="8"/>
        <color theme="1"/>
        <rFont val="Arial"/>
        <family val="2"/>
      </rPr>
      <t>CH</t>
    </r>
    <r>
      <rPr>
        <vertAlign val="subscript"/>
        <sz val="10"/>
        <color theme="1"/>
        <rFont val="Arial"/>
        <family val="2"/>
      </rPr>
      <t>4</t>
    </r>
  </si>
  <si>
    <r>
      <rPr>
        <sz val="8"/>
        <color theme="1"/>
        <rFont val="Arial"/>
        <family val="2"/>
      </rPr>
      <t>N</t>
    </r>
    <r>
      <rPr>
        <vertAlign val="subscript"/>
        <sz val="10"/>
        <color theme="1"/>
        <rFont val="Arial"/>
        <family val="2"/>
      </rPr>
      <t>2</t>
    </r>
    <r>
      <rPr>
        <sz val="8"/>
        <color theme="1"/>
        <rFont val="Arial"/>
        <family val="2"/>
      </rPr>
      <t>O</t>
    </r>
  </si>
  <si>
    <t>Sinter Plant</t>
  </si>
  <si>
    <r>
      <rPr>
        <sz val="8"/>
        <color theme="1"/>
        <rFont val="Arial"/>
        <family val="2"/>
      </rPr>
      <t>CO</t>
    </r>
    <r>
      <rPr>
        <vertAlign val="subscript"/>
        <sz val="10"/>
        <color theme="1"/>
        <rFont val="Arial"/>
        <family val="2"/>
      </rPr>
      <t>2</t>
    </r>
  </si>
  <si>
    <t>BOF</t>
  </si>
  <si>
    <r>
      <rPr>
        <sz val="8"/>
        <color theme="1"/>
        <rFont val="Arial"/>
        <family val="2"/>
      </rPr>
      <t>CO</t>
    </r>
    <r>
      <rPr>
        <vertAlign val="subscript"/>
        <sz val="10"/>
        <color theme="1"/>
        <rFont val="Arial"/>
        <family val="2"/>
      </rPr>
      <t>2</t>
    </r>
  </si>
  <si>
    <r>
      <rPr>
        <sz val="8"/>
        <color theme="1"/>
        <rFont val="Arial"/>
        <family val="2"/>
      </rPr>
      <t>CO</t>
    </r>
    <r>
      <rPr>
        <vertAlign val="subscript"/>
        <sz val="10"/>
        <color theme="1"/>
        <rFont val="Arial"/>
        <family val="2"/>
      </rPr>
      <t>2</t>
    </r>
  </si>
  <si>
    <r>
      <rPr>
        <sz val="8"/>
        <color theme="1"/>
        <rFont val="Arial"/>
        <family val="2"/>
      </rPr>
      <t>CH</t>
    </r>
    <r>
      <rPr>
        <vertAlign val="subscript"/>
        <sz val="10"/>
        <color theme="1"/>
        <rFont val="Arial"/>
        <family val="2"/>
      </rPr>
      <t>4</t>
    </r>
  </si>
  <si>
    <r>
      <rPr>
        <sz val="8"/>
        <color theme="1"/>
        <rFont val="Arial"/>
        <family val="2"/>
      </rPr>
      <t>N</t>
    </r>
    <r>
      <rPr>
        <vertAlign val="subscript"/>
        <sz val="10"/>
        <color theme="1"/>
        <rFont val="Arial"/>
        <family val="2"/>
      </rPr>
      <t>2</t>
    </r>
    <r>
      <rPr>
        <sz val="8"/>
        <color theme="1"/>
        <rFont val="Arial"/>
        <family val="2"/>
      </rPr>
      <t>O</t>
    </r>
  </si>
  <si>
    <t>Landfill Emissions</t>
  </si>
  <si>
    <t>Uncontrolled Landfills</t>
  </si>
  <si>
    <t>Flared Landfills</t>
  </si>
  <si>
    <t>LFTGE Landfills</t>
  </si>
  <si>
    <t>Facility Name</t>
  </si>
  <si>
    <t>TOTAL Landfill Capacity (Million tons)</t>
  </si>
  <si>
    <t>Correct Capacity (MegaGrams)</t>
  </si>
  <si>
    <t>Average Acceptance / Yearly Disposal (tons/yr)</t>
  </si>
  <si>
    <t>Average Acceptance / Yearly Disposal (Mg/yr)</t>
  </si>
  <si>
    <t>Year Opened</t>
  </si>
  <si>
    <t>Year Closed</t>
  </si>
  <si>
    <r>
      <rPr>
        <b/>
        <sz val="9"/>
        <color theme="1"/>
        <rFont val="Arial"/>
        <family val="2"/>
      </rPr>
      <t>CO</t>
    </r>
    <r>
      <rPr>
        <b/>
        <vertAlign val="subscript"/>
        <sz val="9"/>
        <color theme="1"/>
        <rFont val="Arial"/>
        <family val="2"/>
      </rPr>
      <t>2</t>
    </r>
    <r>
      <rPr>
        <b/>
        <sz val="9"/>
        <color theme="1"/>
        <rFont val="Arial"/>
        <family val="2"/>
      </rPr>
      <t xml:space="preserve"> Generation (short tons) LandGEM 3.0</t>
    </r>
  </si>
  <si>
    <r>
      <rPr>
        <b/>
        <sz val="9"/>
        <color theme="1"/>
        <rFont val="Arial"/>
        <family val="2"/>
      </rPr>
      <t>CH</t>
    </r>
    <r>
      <rPr>
        <b/>
        <vertAlign val="subscript"/>
        <sz val="9"/>
        <color theme="1"/>
        <rFont val="Arial"/>
        <family val="2"/>
      </rPr>
      <t>4</t>
    </r>
    <r>
      <rPr>
        <b/>
        <sz val="9"/>
        <color theme="1"/>
        <rFont val="Arial"/>
        <family val="2"/>
      </rPr>
      <t xml:space="preserve"> Generation (short tons/yr) LandGEM 3.0</t>
    </r>
  </si>
  <si>
    <r>
      <rPr>
        <b/>
        <sz val="9"/>
        <color theme="1"/>
        <rFont val="Arial"/>
        <family val="2"/>
      </rPr>
      <t>CH</t>
    </r>
    <r>
      <rPr>
        <b/>
        <vertAlign val="subscript"/>
        <sz val="9"/>
        <color theme="1"/>
        <rFont val="Arial"/>
        <family val="2"/>
      </rPr>
      <t>4</t>
    </r>
    <r>
      <rPr>
        <b/>
        <sz val="9"/>
        <color theme="1"/>
        <rFont val="Arial"/>
        <family val="2"/>
      </rPr>
      <t xml:space="preserve"> Collection Efficiency (%)</t>
    </r>
  </si>
  <si>
    <r>
      <rPr>
        <b/>
        <sz val="9"/>
        <color theme="1"/>
        <rFont val="Arial"/>
        <family val="2"/>
      </rPr>
      <t>CH</t>
    </r>
    <r>
      <rPr>
        <b/>
        <vertAlign val="subscript"/>
        <sz val="9"/>
        <color theme="1"/>
        <rFont val="Arial"/>
        <family val="2"/>
      </rPr>
      <t>4</t>
    </r>
    <r>
      <rPr>
        <b/>
        <sz val="9"/>
        <color theme="1"/>
        <rFont val="Arial"/>
        <family val="2"/>
      </rPr>
      <t xml:space="preserve"> Collected (tons)</t>
    </r>
  </si>
  <si>
    <t>Flare Control Efficeincy (%)</t>
  </si>
  <si>
    <t>Amount of CH4 Flared (tons)</t>
  </si>
  <si>
    <r>
      <rPr>
        <b/>
        <sz val="9"/>
        <color theme="1"/>
        <rFont val="Arial"/>
        <family val="2"/>
      </rPr>
      <t>CO</t>
    </r>
    <r>
      <rPr>
        <b/>
        <vertAlign val="subscript"/>
        <sz val="9"/>
        <color theme="1"/>
        <rFont val="Arial"/>
        <family val="2"/>
      </rPr>
      <t>2</t>
    </r>
    <r>
      <rPr>
        <b/>
        <sz val="9"/>
        <color theme="1"/>
        <rFont val="Arial"/>
        <family val="2"/>
      </rPr>
      <t xml:space="preserve"> Generated from CH4 Combustion, tons</t>
    </r>
  </si>
  <si>
    <r>
      <rPr>
        <b/>
        <sz val="9"/>
        <color theme="1"/>
        <rFont val="Arial"/>
        <family val="2"/>
      </rPr>
      <t>Uncombusted CH</t>
    </r>
    <r>
      <rPr>
        <b/>
        <vertAlign val="subscript"/>
        <sz val="9"/>
        <color theme="1"/>
        <rFont val="Arial"/>
        <family val="2"/>
      </rPr>
      <t xml:space="preserve">4 </t>
    </r>
    <r>
      <rPr>
        <b/>
        <sz val="9"/>
        <color theme="1"/>
        <rFont val="Arial"/>
        <family val="2"/>
      </rPr>
      <t xml:space="preserve"> (Flare Emission, tons)  </t>
    </r>
  </si>
  <si>
    <r>
      <rPr>
        <b/>
        <sz val="9"/>
        <color theme="1"/>
        <rFont val="Arial"/>
        <family val="2"/>
      </rPr>
      <t>Uncollected Landfill CH</t>
    </r>
    <r>
      <rPr>
        <b/>
        <vertAlign val="subscript"/>
        <sz val="9"/>
        <color theme="1"/>
        <rFont val="Arial"/>
        <family val="2"/>
      </rPr>
      <t>4</t>
    </r>
  </si>
  <si>
    <t>Surface Oxidation %</t>
  </si>
  <si>
    <t>Amount of CH4 Removed By Oxidation (tons)</t>
  </si>
  <si>
    <r>
      <rPr>
        <b/>
        <sz val="9"/>
        <color theme="1"/>
        <rFont val="Arial"/>
        <family val="2"/>
      </rPr>
      <t>Fugitive Landfill CH</t>
    </r>
    <r>
      <rPr>
        <b/>
        <vertAlign val="subscript"/>
        <sz val="9"/>
        <color theme="1"/>
        <rFont val="Arial"/>
        <family val="2"/>
      </rPr>
      <t>4</t>
    </r>
    <r>
      <rPr>
        <b/>
        <sz val="9"/>
        <color theme="1"/>
        <rFont val="Arial"/>
        <family val="2"/>
      </rPr>
      <t xml:space="preserve"> Emission (tons)</t>
    </r>
  </si>
  <si>
    <t xml:space="preserve">Total CH4 Emission, tons </t>
  </si>
  <si>
    <t xml:space="preserve">Total methane emissions (CO2e) </t>
  </si>
  <si>
    <t>Total GHG Emissions (tons)</t>
  </si>
  <si>
    <t>Mountainview Municipal Landfill</t>
  </si>
  <si>
    <t>Vale Summit</t>
  </si>
  <si>
    <t>Annapolis</t>
  </si>
  <si>
    <t>Fort G. Meade Municipal Landfill</t>
  </si>
  <si>
    <t>Millersville Municipal Landfill</t>
  </si>
  <si>
    <t>Sudley Road</t>
  </si>
  <si>
    <t>Solley Road</t>
  </si>
  <si>
    <t>Glen Burnie</t>
  </si>
  <si>
    <t>Quarantine Road Municipal Landfill</t>
  </si>
  <si>
    <t>Baltimore County</t>
  </si>
  <si>
    <t>Eastern Municipal Landfill</t>
  </si>
  <si>
    <t>Norris Farm</t>
  </si>
  <si>
    <t>Appeal  Municiapl Landfill</t>
  </si>
  <si>
    <t>Barstow</t>
  </si>
  <si>
    <t>Midshore I Regional Landfill</t>
  </si>
  <si>
    <t>Hoods Mill</t>
  </si>
  <si>
    <t>Northern Municpal Landfill</t>
  </si>
  <si>
    <t>Cecil County Central Landfill - Hog Hill</t>
  </si>
  <si>
    <t>Charles County Municipal LF #2</t>
  </si>
  <si>
    <t>Pisgah</t>
  </si>
  <si>
    <t xml:space="preserve">Dorchester </t>
  </si>
  <si>
    <t>Beulah HE #1</t>
  </si>
  <si>
    <t>Beulah HE #2</t>
  </si>
  <si>
    <t>Fort Detrick Municipal Landfill</t>
  </si>
  <si>
    <t>Reich's Ford A &amp; B   Municpal Landfill</t>
  </si>
  <si>
    <t>Reich's Ford Site B-Cell 3 Municpal Landfill</t>
  </si>
  <si>
    <t>Garrett County SWD&amp;RF  or  Del Signiore</t>
  </si>
  <si>
    <t>Round Glade</t>
  </si>
  <si>
    <t>Harford W.D. Center Municipal Landfill</t>
  </si>
  <si>
    <t>Oaks Landfill</t>
  </si>
  <si>
    <t>Gude</t>
  </si>
  <si>
    <t>Alpha Ridge</t>
  </si>
  <si>
    <t>Nicholson</t>
  </si>
  <si>
    <t>Prince Georges</t>
  </si>
  <si>
    <t>Brown Station Landfill A</t>
  </si>
  <si>
    <t>Brown Station Landfill B</t>
  </si>
  <si>
    <t>CDP/Sandy Hill</t>
  </si>
  <si>
    <t>Saint Andrews 1 &amp; 2 Municipal LF</t>
  </si>
  <si>
    <t>Somerset County Municipal LF or Fairmount Rd</t>
  </si>
  <si>
    <t>Westover/Ring</t>
  </si>
  <si>
    <t>Midshore II Regional Municipal LF</t>
  </si>
  <si>
    <t>Hancock Landfill</t>
  </si>
  <si>
    <t>Resh Road 1 &amp; 2 Municipal LF</t>
  </si>
  <si>
    <t>Forty West</t>
  </si>
  <si>
    <t>Newland Park Municipal LF - Wicomico County Landfill</t>
  </si>
  <si>
    <t>Central Municipal LF- Worcester County Sanitary Landfill Cell 1&amp; 4</t>
  </si>
  <si>
    <t>Worcester County Sanitary Landfill Cells 2 &amp; 3</t>
  </si>
  <si>
    <r>
      <rPr>
        <b/>
        <sz val="10"/>
        <color theme="1"/>
        <rFont val="Arial"/>
        <family val="2"/>
      </rPr>
      <t>MSW CH</t>
    </r>
    <r>
      <rPr>
        <b/>
        <vertAlign val="subscript"/>
        <sz val="10"/>
        <color theme="1"/>
        <rFont val="Arial"/>
        <family val="2"/>
      </rPr>
      <t>4</t>
    </r>
    <r>
      <rPr>
        <b/>
        <sz val="10"/>
        <color theme="1"/>
        <rFont val="Arial"/>
        <family val="2"/>
      </rPr>
      <t xml:space="preserve"> Generation (short ton CH</t>
    </r>
    <r>
      <rPr>
        <b/>
        <vertAlign val="subscript"/>
        <sz val="10"/>
        <color theme="1"/>
        <rFont val="Arial"/>
        <family val="2"/>
      </rPr>
      <t>4</t>
    </r>
    <r>
      <rPr>
        <b/>
        <sz val="10"/>
        <color theme="1"/>
        <rFont val="Arial"/>
        <family val="2"/>
      </rPr>
      <t>)</t>
    </r>
  </si>
  <si>
    <r>
      <rPr>
        <b/>
        <sz val="10"/>
        <color theme="1"/>
        <rFont val="Arial"/>
        <family val="2"/>
      </rPr>
      <t>Flared CH</t>
    </r>
    <r>
      <rPr>
        <b/>
        <vertAlign val="subscript"/>
        <sz val="10"/>
        <color theme="1"/>
        <rFont val="Arial"/>
        <family val="2"/>
      </rPr>
      <t>4</t>
    </r>
    <r>
      <rPr>
        <b/>
        <sz val="10"/>
        <color theme="1"/>
        <rFont val="Arial"/>
        <family val="2"/>
      </rPr>
      <t xml:space="preserve"> (short tons)</t>
    </r>
  </si>
  <si>
    <t>Landfill Gas-to-Energy (tons)</t>
  </si>
  <si>
    <r>
      <rPr>
        <sz val="10"/>
        <color theme="1"/>
        <rFont val="Arial"/>
        <family val="2"/>
      </rPr>
      <t>CH</t>
    </r>
    <r>
      <rPr>
        <vertAlign val="subscript"/>
        <sz val="10"/>
        <color theme="1"/>
        <rFont val="Arial"/>
        <family val="2"/>
      </rPr>
      <t>4</t>
    </r>
    <r>
      <rPr>
        <sz val="10"/>
        <color theme="1"/>
        <rFont val="Arial"/>
        <family val="2"/>
      </rPr>
      <t xml:space="preserve"> GWP</t>
    </r>
  </si>
  <si>
    <r>
      <rPr>
        <sz val="10"/>
        <color theme="1"/>
        <rFont val="Arial"/>
        <family val="2"/>
      </rPr>
      <t>CH</t>
    </r>
    <r>
      <rPr>
        <vertAlign val="subscript"/>
        <sz val="10"/>
        <color theme="1"/>
        <rFont val="Arial"/>
        <family val="2"/>
      </rPr>
      <t>4</t>
    </r>
    <r>
      <rPr>
        <sz val="10"/>
        <color theme="1"/>
        <rFont val="Arial"/>
        <family val="2"/>
      </rPr>
      <t xml:space="preserve"> GWP</t>
    </r>
  </si>
  <si>
    <r>
      <rPr>
        <sz val="10"/>
        <color theme="1"/>
        <rFont val="Arial"/>
        <family val="2"/>
      </rPr>
      <t>CH</t>
    </r>
    <r>
      <rPr>
        <vertAlign val="subscript"/>
        <sz val="10"/>
        <color theme="1"/>
        <rFont val="Arial"/>
        <family val="2"/>
      </rPr>
      <t>4</t>
    </r>
    <r>
      <rPr>
        <sz val="10"/>
        <color theme="1"/>
        <rFont val="Arial"/>
        <family val="2"/>
      </rPr>
      <t xml:space="preserve"> GWP</t>
    </r>
  </si>
  <si>
    <r>
      <rPr>
        <b/>
        <sz val="10"/>
        <color theme="1"/>
        <rFont val="Arial"/>
        <family val="2"/>
      </rPr>
      <t>MSW Generation ( MTCO</t>
    </r>
    <r>
      <rPr>
        <b/>
        <vertAlign val="subscript"/>
        <sz val="10"/>
        <color theme="1"/>
        <rFont val="Arial"/>
        <family val="2"/>
      </rPr>
      <t>2</t>
    </r>
    <r>
      <rPr>
        <b/>
        <sz val="10"/>
        <color theme="1"/>
        <rFont val="Arial"/>
        <family val="2"/>
      </rPr>
      <t>E)</t>
    </r>
  </si>
  <si>
    <r>
      <rPr>
        <b/>
        <sz val="10"/>
        <color theme="1"/>
        <rFont val="Arial"/>
        <family val="2"/>
      </rPr>
      <t>Flared CH</t>
    </r>
    <r>
      <rPr>
        <b/>
        <vertAlign val="subscript"/>
        <sz val="10"/>
        <color theme="1"/>
        <rFont val="Arial"/>
        <family val="2"/>
      </rPr>
      <t>4</t>
    </r>
    <r>
      <rPr>
        <b/>
        <sz val="10"/>
        <color theme="1"/>
        <rFont val="Arial"/>
        <family val="2"/>
      </rPr>
      <t xml:space="preserve"> (MTCO</t>
    </r>
    <r>
      <rPr>
        <b/>
        <vertAlign val="subscript"/>
        <sz val="10"/>
        <color theme="1"/>
        <rFont val="Arial"/>
        <family val="2"/>
      </rPr>
      <t>2</t>
    </r>
    <r>
      <rPr>
        <b/>
        <sz val="10"/>
        <color theme="1"/>
        <rFont val="Arial"/>
        <family val="2"/>
      </rPr>
      <t>E)</t>
    </r>
  </si>
  <si>
    <r>
      <rPr>
        <b/>
        <sz val="10"/>
        <color theme="1"/>
        <rFont val="Arial"/>
        <family val="2"/>
      </rPr>
      <t>Landfill Gas-to-Energy (MTCO</t>
    </r>
    <r>
      <rPr>
        <b/>
        <vertAlign val="subscript"/>
        <sz val="10"/>
        <color theme="1"/>
        <rFont val="Arial"/>
        <family val="2"/>
      </rPr>
      <t>2</t>
    </r>
    <r>
      <rPr>
        <b/>
        <sz val="10"/>
        <color theme="1"/>
        <rFont val="Arial"/>
        <family val="2"/>
      </rPr>
      <t>E)</t>
    </r>
  </si>
  <si>
    <r>
      <rPr>
        <b/>
        <sz val="10"/>
        <color theme="1"/>
        <rFont val="Arial"/>
        <family val="2"/>
      </rPr>
      <t>Industrial Generation (MTCO</t>
    </r>
    <r>
      <rPr>
        <b/>
        <vertAlign val="subscript"/>
        <sz val="10"/>
        <color theme="1"/>
        <rFont val="Arial"/>
        <family val="2"/>
      </rPr>
      <t>2</t>
    </r>
    <r>
      <rPr>
        <b/>
        <sz val="10"/>
        <color theme="1"/>
        <rFont val="Arial"/>
        <family val="2"/>
      </rPr>
      <t>E)</t>
    </r>
  </si>
  <si>
    <r>
      <rPr>
        <b/>
        <sz val="10"/>
        <color theme="1"/>
        <rFont val="Arial"/>
        <family val="2"/>
      </rPr>
      <t>Landfill Gas-to-Energy (MTCE)</t>
    </r>
  </si>
  <si>
    <r>
      <rPr>
        <b/>
        <sz val="10"/>
        <color theme="1"/>
        <rFont val="Arial"/>
        <family val="2"/>
      </rPr>
      <t>Potential CH</t>
    </r>
    <r>
      <rPr>
        <b/>
        <vertAlign val="subscript"/>
        <sz val="10"/>
        <color theme="1"/>
        <rFont val="Arial"/>
        <family val="2"/>
      </rPr>
      <t xml:space="preserve">4 </t>
    </r>
    <r>
      <rPr>
        <b/>
        <sz val="10"/>
        <color theme="1"/>
        <rFont val="Arial"/>
        <family val="2"/>
      </rPr>
      <t>(MTCO</t>
    </r>
    <r>
      <rPr>
        <b/>
        <vertAlign val="subscript"/>
        <sz val="10"/>
        <color theme="1"/>
        <rFont val="Arial"/>
        <family val="2"/>
      </rPr>
      <t>2</t>
    </r>
    <r>
      <rPr>
        <b/>
        <sz val="10"/>
        <color theme="1"/>
        <rFont val="Arial"/>
        <family val="2"/>
      </rPr>
      <t>E)</t>
    </r>
  </si>
  <si>
    <r>
      <rPr>
        <b/>
        <sz val="10"/>
        <color theme="1"/>
        <rFont val="Arial"/>
        <family val="2"/>
      </rPr>
      <t>CH</t>
    </r>
    <r>
      <rPr>
        <b/>
        <vertAlign val="subscript"/>
        <sz val="10"/>
        <color theme="1"/>
        <rFont val="Arial"/>
        <family val="2"/>
      </rPr>
      <t>4</t>
    </r>
    <r>
      <rPr>
        <b/>
        <sz val="10"/>
        <color theme="1"/>
        <rFont val="Arial"/>
        <family val="2"/>
      </rPr>
      <t xml:space="preserve"> Avoided (MTCO</t>
    </r>
    <r>
      <rPr>
        <b/>
        <vertAlign val="subscript"/>
        <sz val="10"/>
        <color theme="1"/>
        <rFont val="Arial"/>
        <family val="2"/>
      </rPr>
      <t>2</t>
    </r>
    <r>
      <rPr>
        <b/>
        <sz val="10"/>
        <color theme="1"/>
        <rFont val="Arial"/>
        <family val="2"/>
      </rPr>
      <t>E)</t>
    </r>
  </si>
  <si>
    <t>Oxidation at MSW Landfills (tons)</t>
  </si>
  <si>
    <r>
      <rPr>
        <sz val="10"/>
        <color theme="1"/>
        <rFont val="Arial"/>
        <family val="2"/>
      </rPr>
      <t>CH</t>
    </r>
    <r>
      <rPr>
        <vertAlign val="subscript"/>
        <sz val="10"/>
        <color theme="1"/>
        <rFont val="Arial"/>
        <family val="2"/>
      </rPr>
      <t>4</t>
    </r>
    <r>
      <rPr>
        <sz val="10"/>
        <color theme="1"/>
        <rFont val="Arial"/>
        <family val="2"/>
      </rPr>
      <t xml:space="preserve"> GWP</t>
    </r>
  </si>
  <si>
    <r>
      <rPr>
        <b/>
        <sz val="10"/>
        <color theme="1"/>
        <rFont val="Arial"/>
        <family val="2"/>
      </rPr>
      <t>Potential CH</t>
    </r>
    <r>
      <rPr>
        <b/>
        <vertAlign val="subscript"/>
        <sz val="10"/>
        <color theme="1"/>
        <rFont val="Arial"/>
        <family val="2"/>
      </rPr>
      <t xml:space="preserve">4 </t>
    </r>
    <r>
      <rPr>
        <b/>
        <sz val="10"/>
        <color theme="1"/>
        <rFont val="Arial"/>
        <family val="2"/>
      </rPr>
      <t>(MTCE)</t>
    </r>
  </si>
  <si>
    <r>
      <rPr>
        <b/>
        <sz val="10"/>
        <color theme="1"/>
        <rFont val="Arial"/>
        <family val="2"/>
      </rPr>
      <t>CH</t>
    </r>
    <r>
      <rPr>
        <b/>
        <vertAlign val="subscript"/>
        <sz val="10"/>
        <color theme="1"/>
        <rFont val="Arial"/>
        <family val="2"/>
      </rPr>
      <t>4</t>
    </r>
    <r>
      <rPr>
        <b/>
        <sz val="10"/>
        <color theme="1"/>
        <rFont val="Arial"/>
        <family val="2"/>
      </rPr>
      <t xml:space="preserve"> Avoided (MTCE)</t>
    </r>
  </si>
  <si>
    <r>
      <rPr>
        <b/>
        <sz val="10"/>
        <color theme="1"/>
        <rFont val="Arial"/>
        <family val="2"/>
      </rPr>
      <t>Oxidation at MSW Landfills (MTCO</t>
    </r>
    <r>
      <rPr>
        <b/>
        <vertAlign val="subscript"/>
        <sz val="10"/>
        <color theme="1"/>
        <rFont val="Arial"/>
        <family val="2"/>
      </rPr>
      <t>2</t>
    </r>
    <r>
      <rPr>
        <b/>
        <sz val="10"/>
        <color theme="1"/>
        <rFont val="Arial"/>
        <family val="2"/>
      </rPr>
      <t>E)</t>
    </r>
  </si>
  <si>
    <r>
      <rPr>
        <b/>
        <sz val="10"/>
        <color theme="1"/>
        <rFont val="Arial"/>
        <family val="2"/>
      </rPr>
      <t>Oxidation at MSW Landfills (MTCE)</t>
    </r>
  </si>
  <si>
    <r>
      <rPr>
        <b/>
        <sz val="10"/>
        <color theme="1"/>
        <rFont val="Arial"/>
        <family val="2"/>
      </rPr>
      <t>Oxidation at Industrial Landfills (MTCO</t>
    </r>
    <r>
      <rPr>
        <b/>
        <vertAlign val="subscript"/>
        <sz val="10"/>
        <color theme="1"/>
        <rFont val="Arial"/>
        <family val="2"/>
      </rPr>
      <t>2</t>
    </r>
    <r>
      <rPr>
        <b/>
        <sz val="10"/>
        <color theme="1"/>
        <rFont val="Arial"/>
        <family val="2"/>
      </rPr>
      <t>E)</t>
    </r>
  </si>
  <si>
    <r>
      <rPr>
        <b/>
        <sz val="10"/>
        <color theme="1"/>
        <rFont val="Arial"/>
        <family val="2"/>
      </rPr>
      <t>Oxidation at Industrial Landfills (MTCE)</t>
    </r>
  </si>
  <si>
    <r>
      <rPr>
        <b/>
        <sz val="10"/>
        <color theme="1"/>
        <rFont val="Arial"/>
        <family val="2"/>
      </rPr>
      <t>Net Total CH</t>
    </r>
    <r>
      <rPr>
        <b/>
        <vertAlign val="subscript"/>
        <sz val="10"/>
        <color theme="1"/>
        <rFont val="Arial"/>
        <family val="2"/>
      </rPr>
      <t>4</t>
    </r>
    <r>
      <rPr>
        <b/>
        <sz val="10"/>
        <color theme="1"/>
        <rFont val="Arial"/>
        <family val="2"/>
      </rPr>
      <t xml:space="preserve"> Emissions (MTCO</t>
    </r>
    <r>
      <rPr>
        <b/>
        <vertAlign val="subscript"/>
        <sz val="10"/>
        <color theme="1"/>
        <rFont val="Arial"/>
        <family val="2"/>
      </rPr>
      <t>2</t>
    </r>
    <r>
      <rPr>
        <b/>
        <sz val="10"/>
        <color theme="1"/>
        <rFont val="Arial"/>
        <family val="2"/>
      </rPr>
      <t>E)</t>
    </r>
  </si>
  <si>
    <t>CO2 Emission from (Flaring + LFGTE+ Boiler) (MTCO2E)</t>
  </si>
  <si>
    <t>CO2 Emission from (Flaring + LFGTE+Boiler ) (MMTCO2E)</t>
  </si>
  <si>
    <t>Total CO2 Emissions from Landfill (CO2 Generated + CO2 from Flares) (MMTCO2E)</t>
  </si>
  <si>
    <r>
      <rPr>
        <b/>
        <sz val="10"/>
        <color rgb="FFFF0000"/>
        <rFont val="Arial"/>
        <family val="2"/>
      </rPr>
      <t>Total CH</t>
    </r>
    <r>
      <rPr>
        <b/>
        <vertAlign val="subscript"/>
        <sz val="10"/>
        <color rgb="FFFF0000"/>
        <rFont val="Arial"/>
        <family val="2"/>
      </rPr>
      <t>4</t>
    </r>
    <r>
      <rPr>
        <b/>
        <sz val="10"/>
        <color rgb="FFFF0000"/>
        <rFont val="Arial"/>
        <family val="2"/>
      </rPr>
      <t xml:space="preserve"> Emissions (MMTCO</t>
    </r>
    <r>
      <rPr>
        <b/>
        <vertAlign val="subscript"/>
        <sz val="10"/>
        <color rgb="FFFF0000"/>
        <rFont val="Arial"/>
        <family val="2"/>
      </rPr>
      <t>2</t>
    </r>
    <r>
      <rPr>
        <b/>
        <sz val="10"/>
        <color rgb="FFFF0000"/>
        <rFont val="Arial"/>
        <family val="2"/>
      </rPr>
      <t>E)</t>
    </r>
  </si>
  <si>
    <t>Landfill Gas to Energy Emissions</t>
  </si>
  <si>
    <r>
      <rPr>
        <sz val="11"/>
        <color theme="1"/>
        <rFont val="Calibri"/>
        <family val="2"/>
      </rPr>
      <t>CO</t>
    </r>
    <r>
      <rPr>
        <vertAlign val="subscript"/>
        <sz val="11"/>
        <color theme="1"/>
        <rFont val="Calibri"/>
        <family val="2"/>
      </rPr>
      <t>2</t>
    </r>
    <r>
      <rPr>
        <sz val="11"/>
        <color theme="1"/>
        <rFont val="Calibri"/>
        <family val="2"/>
      </rPr>
      <t xml:space="preserve"> molecular mass =</t>
    </r>
  </si>
  <si>
    <t>g/gmol</t>
  </si>
  <si>
    <r>
      <rPr>
        <sz val="11"/>
        <color theme="1"/>
        <rFont val="Calibri"/>
        <family val="2"/>
      </rPr>
      <t>CH</t>
    </r>
    <r>
      <rPr>
        <vertAlign val="subscript"/>
        <sz val="11"/>
        <color theme="1"/>
        <rFont val="Calibri"/>
        <family val="2"/>
      </rPr>
      <t>4</t>
    </r>
    <r>
      <rPr>
        <sz val="11"/>
        <color theme="1"/>
        <rFont val="Calibri"/>
        <family val="2"/>
      </rPr>
      <t xml:space="preserve"> molecular mass =</t>
    </r>
  </si>
  <si>
    <t>Universal Gas Constant =</t>
  </si>
  <si>
    <r>
      <rPr>
        <sz val="11"/>
        <color theme="1"/>
        <rFont val="Calibri"/>
        <family val="2"/>
      </rPr>
      <t>m</t>
    </r>
    <r>
      <rPr>
        <vertAlign val="superscript"/>
        <sz val="11"/>
        <color theme="1"/>
        <rFont val="Calibri"/>
        <family val="2"/>
      </rPr>
      <t>3</t>
    </r>
    <r>
      <rPr>
        <sz val="11"/>
        <color theme="1"/>
        <rFont val="Calibri"/>
        <family val="2"/>
      </rPr>
      <t>-atm/gmol/K</t>
    </r>
  </si>
  <si>
    <t>Gas Temperature =</t>
  </si>
  <si>
    <r>
      <rPr>
        <vertAlign val="superscript"/>
        <sz val="11"/>
        <color theme="1"/>
        <rFont val="Calibri"/>
        <family val="2"/>
      </rPr>
      <t>o</t>
    </r>
    <r>
      <rPr>
        <sz val="11"/>
        <color theme="1"/>
        <rFont val="Calibri"/>
        <family val="2"/>
      </rPr>
      <t>C</t>
    </r>
  </si>
  <si>
    <r>
      <rPr>
        <vertAlign val="superscript"/>
        <sz val="11"/>
        <color theme="1"/>
        <rFont val="Calibri"/>
        <family val="2"/>
      </rPr>
      <t>o</t>
    </r>
    <r>
      <rPr>
        <sz val="11"/>
        <color theme="1"/>
        <rFont val="Calibri"/>
        <family val="2"/>
      </rPr>
      <t>K</t>
    </r>
  </si>
  <si>
    <r>
      <rPr>
        <sz val="11"/>
        <color theme="1"/>
        <rFont val="Calibri"/>
        <family val="2"/>
      </rPr>
      <t>1 m</t>
    </r>
    <r>
      <rPr>
        <vertAlign val="superscript"/>
        <sz val="11"/>
        <color theme="1"/>
        <rFont val="Calibri"/>
        <family val="2"/>
      </rPr>
      <t>3</t>
    </r>
    <r>
      <rPr>
        <sz val="11"/>
        <color theme="1"/>
        <rFont val="Calibri"/>
        <family val="2"/>
      </rPr>
      <t xml:space="preserve"> =35.31 ft</t>
    </r>
    <r>
      <rPr>
        <vertAlign val="superscript"/>
        <sz val="11"/>
        <color theme="1"/>
        <rFont val="Calibri"/>
        <family val="2"/>
      </rPr>
      <t>3</t>
    </r>
  </si>
  <si>
    <t>grams x 1.1023E-06 = short tons</t>
  </si>
  <si>
    <t>1 short ton = (lb *2,000)</t>
  </si>
  <si>
    <t>Pressure =</t>
  </si>
  <si>
    <t>atm</t>
  </si>
  <si>
    <r>
      <rPr>
        <sz val="11"/>
        <color theme="1"/>
        <rFont val="Calibri"/>
        <family val="2"/>
      </rPr>
      <t>Standard CH</t>
    </r>
    <r>
      <rPr>
        <vertAlign val="subscript"/>
        <sz val="11"/>
        <color theme="1"/>
        <rFont val="Calibri"/>
        <family val="2"/>
      </rPr>
      <t>4</t>
    </r>
    <r>
      <rPr>
        <sz val="11"/>
        <color theme="1"/>
        <rFont val="Calibri"/>
        <family val="2"/>
      </rPr>
      <t xml:space="preserve"> Heat Content =</t>
    </r>
  </si>
  <si>
    <r>
      <rPr>
        <sz val="11"/>
        <color theme="1"/>
        <rFont val="Calibri"/>
        <family val="2"/>
      </rPr>
      <t>AP-42 CH</t>
    </r>
    <r>
      <rPr>
        <vertAlign val="subscript"/>
        <sz val="11"/>
        <color theme="1"/>
        <rFont val="Calibri"/>
        <family val="2"/>
      </rPr>
      <t>4</t>
    </r>
    <r>
      <rPr>
        <sz val="11"/>
        <color theme="1"/>
        <rFont val="Calibri"/>
        <family val="2"/>
      </rPr>
      <t xml:space="preserve"> Destruction Efficiency =</t>
    </r>
  </si>
  <si>
    <t>AP-42 CH4 Destruction Efficiency -Boilers =</t>
  </si>
  <si>
    <t>AP -42 CH4 Destruction Efficiency- LFGTE =</t>
  </si>
  <si>
    <r>
      <rPr>
        <sz val="11"/>
        <color theme="1"/>
        <rFont val="Calibri"/>
        <family val="2"/>
      </rPr>
      <t>AP-42 CH</t>
    </r>
    <r>
      <rPr>
        <vertAlign val="subscript"/>
        <sz val="11"/>
        <color theme="1"/>
        <rFont val="Calibri"/>
        <family val="2"/>
      </rPr>
      <t>4</t>
    </r>
    <r>
      <rPr>
        <sz val="11"/>
        <color theme="1"/>
        <rFont val="Calibri"/>
        <family val="2"/>
      </rPr>
      <t xml:space="preserve"> Emission Factor =</t>
    </r>
  </si>
  <si>
    <t>lb/MMBTU</t>
  </si>
  <si>
    <t>Site- Specific LFG Flows (MM scf/yr)</t>
  </si>
  <si>
    <t>Total  -Site - Specific LFG Collected (MM scf / yr)</t>
  </si>
  <si>
    <r>
      <rPr>
        <b/>
        <sz val="11"/>
        <color theme="1"/>
        <rFont val="Calibri"/>
        <family val="2"/>
      </rPr>
      <t>Site-Specific CH</t>
    </r>
    <r>
      <rPr>
        <b/>
        <vertAlign val="subscript"/>
        <sz val="11"/>
        <color theme="1"/>
        <rFont val="Calibri"/>
        <family val="2"/>
      </rPr>
      <t>4</t>
    </r>
    <r>
      <rPr>
        <b/>
        <sz val="11"/>
        <color theme="1"/>
        <rFont val="Calibri"/>
        <family val="2"/>
      </rPr>
      <t xml:space="preserve"> Content (%)</t>
    </r>
  </si>
  <si>
    <r>
      <rPr>
        <b/>
        <sz val="11"/>
        <color theme="1"/>
        <rFont val="Calibri"/>
        <family val="2"/>
      </rPr>
      <t>Site-Specific CO</t>
    </r>
    <r>
      <rPr>
        <b/>
        <vertAlign val="subscript"/>
        <sz val="11"/>
        <color theme="1"/>
        <rFont val="Calibri"/>
        <family val="2"/>
      </rPr>
      <t>2</t>
    </r>
    <r>
      <rPr>
        <b/>
        <sz val="11"/>
        <color theme="1"/>
        <rFont val="Calibri"/>
        <family val="2"/>
      </rPr>
      <t xml:space="preserve"> Content (%)</t>
    </r>
  </si>
  <si>
    <r>
      <rPr>
        <b/>
        <sz val="11"/>
        <color theme="1"/>
        <rFont val="Calibri"/>
        <family val="2"/>
      </rPr>
      <t>Site -Specific CH</t>
    </r>
    <r>
      <rPr>
        <b/>
        <vertAlign val="subscript"/>
        <sz val="11"/>
        <color theme="1"/>
        <rFont val="Calibri"/>
        <family val="2"/>
      </rPr>
      <t>4</t>
    </r>
    <r>
      <rPr>
        <b/>
        <sz val="11"/>
        <color theme="1"/>
        <rFont val="Calibri"/>
        <family val="2"/>
      </rPr>
      <t xml:space="preserve"> Flow (MM scf / yr)</t>
    </r>
  </si>
  <si>
    <r>
      <rPr>
        <b/>
        <sz val="11"/>
        <color rgb="FF00CCFF"/>
        <rFont val="Calibri"/>
        <family val="2"/>
      </rPr>
      <t>Total -Site -Specific CH</t>
    </r>
    <r>
      <rPr>
        <b/>
        <vertAlign val="subscript"/>
        <sz val="11"/>
        <color rgb="FF00CCFF"/>
        <rFont val="Calibri"/>
        <family val="2"/>
      </rPr>
      <t>4</t>
    </r>
    <r>
      <rPr>
        <b/>
        <sz val="11"/>
        <color rgb="FF00CCFF"/>
        <rFont val="Calibri"/>
        <family val="2"/>
      </rPr>
      <t xml:space="preserve"> Flow (MM scf / yr)</t>
    </r>
  </si>
  <si>
    <r>
      <rPr>
        <b/>
        <sz val="11"/>
        <color theme="1"/>
        <rFont val="Calibri"/>
        <family val="2"/>
      </rPr>
      <t>Site -Specific CH</t>
    </r>
    <r>
      <rPr>
        <b/>
        <vertAlign val="subscript"/>
        <sz val="11"/>
        <color theme="1"/>
        <rFont val="Calibri"/>
        <family val="2"/>
      </rPr>
      <t>4</t>
    </r>
    <r>
      <rPr>
        <b/>
        <sz val="11"/>
        <color theme="1"/>
        <rFont val="Calibri"/>
        <family val="2"/>
      </rPr>
      <t xml:space="preserve"> Flow (short tons/yr)</t>
    </r>
  </si>
  <si>
    <r>
      <rPr>
        <b/>
        <sz val="11"/>
        <color rgb="FF008000"/>
        <rFont val="Calibri"/>
        <family val="2"/>
      </rPr>
      <t>CH</t>
    </r>
    <r>
      <rPr>
        <b/>
        <vertAlign val="subscript"/>
        <sz val="11"/>
        <color rgb="FF008000"/>
        <rFont val="Calibri"/>
        <family val="2"/>
      </rPr>
      <t>4</t>
    </r>
    <r>
      <rPr>
        <b/>
        <sz val="11"/>
        <color rgb="FF008000"/>
        <rFont val="Calibri"/>
        <family val="2"/>
      </rPr>
      <t xml:space="preserve"> Generation Rate (MM scf/yr)- LandGEM </t>
    </r>
  </si>
  <si>
    <t>Ave. LFG Collection Efficiency</t>
  </si>
  <si>
    <t>Fugitive CO2 Emissions from Landfill (m3/yr)</t>
  </si>
  <si>
    <t>Fugitive CO2 Emissions from Landfill (tons/yr)</t>
  </si>
  <si>
    <r>
      <rPr>
        <b/>
        <sz val="11"/>
        <color rgb="FFFF6600"/>
        <rFont val="Calibri"/>
        <family val="2"/>
      </rPr>
      <t xml:space="preserve"> CO</t>
    </r>
    <r>
      <rPr>
        <b/>
        <vertAlign val="subscript"/>
        <sz val="11"/>
        <color rgb="FFFF6600"/>
        <rFont val="Calibri"/>
        <family val="2"/>
      </rPr>
      <t>2</t>
    </r>
    <r>
      <rPr>
        <b/>
        <sz val="11"/>
        <color rgb="FFFF6600"/>
        <rFont val="Calibri"/>
        <family val="2"/>
      </rPr>
      <t xml:space="preserve"> Emissions from LFG Burnt in Flares (tons)</t>
    </r>
  </si>
  <si>
    <r>
      <rPr>
        <b/>
        <sz val="11"/>
        <color rgb="FF808080"/>
        <rFont val="Calibri"/>
        <family val="2"/>
      </rPr>
      <t xml:space="preserve"> CO</t>
    </r>
    <r>
      <rPr>
        <b/>
        <vertAlign val="subscript"/>
        <sz val="11"/>
        <color rgb="FF808080"/>
        <rFont val="Calibri"/>
        <family val="2"/>
      </rPr>
      <t>2</t>
    </r>
    <r>
      <rPr>
        <b/>
        <sz val="11"/>
        <color rgb="FF808080"/>
        <rFont val="Calibri"/>
        <family val="2"/>
      </rPr>
      <t xml:space="preserve"> Emissions from LFG Burnt in Boilers (tons)</t>
    </r>
  </si>
  <si>
    <r>
      <rPr>
        <b/>
        <sz val="11"/>
        <color rgb="FFFF0000"/>
        <rFont val="Calibri"/>
        <family val="2"/>
      </rPr>
      <t xml:space="preserve"> CO</t>
    </r>
    <r>
      <rPr>
        <b/>
        <vertAlign val="subscript"/>
        <sz val="11"/>
        <color rgb="FFFF0000"/>
        <rFont val="Calibri"/>
        <family val="2"/>
      </rPr>
      <t>2</t>
    </r>
    <r>
      <rPr>
        <b/>
        <sz val="11"/>
        <color rgb="FFFF0000"/>
        <rFont val="Calibri"/>
        <family val="2"/>
      </rPr>
      <t xml:space="preserve"> Emissions from LFG Burnt at LFGTE</t>
    </r>
  </si>
  <si>
    <r>
      <rPr>
        <b/>
        <sz val="11"/>
        <color rgb="FF993300"/>
        <rFont val="Calibri"/>
        <family val="2"/>
      </rPr>
      <t>Fugitive CH</t>
    </r>
    <r>
      <rPr>
        <b/>
        <vertAlign val="subscript"/>
        <sz val="11"/>
        <color rgb="FF993300"/>
        <rFont val="Calibri"/>
        <family val="2"/>
      </rPr>
      <t>4</t>
    </r>
    <r>
      <rPr>
        <b/>
        <sz val="11"/>
        <color rgb="FF993300"/>
        <rFont val="Calibri"/>
        <family val="2"/>
      </rPr>
      <t xml:space="preserve"> Emissions from Landfill (tons)</t>
    </r>
  </si>
  <si>
    <r>
      <rPr>
        <b/>
        <sz val="11"/>
        <color theme="1"/>
        <rFont val="Calibri"/>
        <family val="2"/>
      </rPr>
      <t xml:space="preserve"> CH</t>
    </r>
    <r>
      <rPr>
        <b/>
        <vertAlign val="subscript"/>
        <sz val="11"/>
        <color theme="1"/>
        <rFont val="Calibri"/>
        <family val="2"/>
      </rPr>
      <t>4</t>
    </r>
    <r>
      <rPr>
        <b/>
        <sz val="11"/>
        <color theme="1"/>
        <rFont val="Calibri"/>
        <family val="2"/>
      </rPr>
      <t xml:space="preserve"> Emissions from LFG Burnt in Flares (tons)</t>
    </r>
  </si>
  <si>
    <r>
      <rPr>
        <b/>
        <sz val="11"/>
        <color theme="1"/>
        <rFont val="Calibri"/>
        <family val="2"/>
      </rPr>
      <t xml:space="preserve"> CH</t>
    </r>
    <r>
      <rPr>
        <b/>
        <vertAlign val="subscript"/>
        <sz val="11"/>
        <color theme="1"/>
        <rFont val="Calibri"/>
        <family val="2"/>
      </rPr>
      <t>4</t>
    </r>
    <r>
      <rPr>
        <b/>
        <sz val="11"/>
        <color theme="1"/>
        <rFont val="Calibri"/>
        <family val="2"/>
      </rPr>
      <t xml:space="preserve"> Emissions from LFG Burnt in Utility Boilers (tons)</t>
    </r>
  </si>
  <si>
    <r>
      <rPr>
        <b/>
        <sz val="11"/>
        <color theme="1"/>
        <rFont val="Calibri"/>
        <family val="2"/>
      </rPr>
      <t xml:space="preserve"> CH</t>
    </r>
    <r>
      <rPr>
        <b/>
        <vertAlign val="subscript"/>
        <sz val="11"/>
        <color theme="1"/>
        <rFont val="Calibri"/>
        <family val="2"/>
      </rPr>
      <t>4</t>
    </r>
    <r>
      <rPr>
        <b/>
        <sz val="11"/>
        <color theme="1"/>
        <rFont val="Calibri"/>
        <family val="2"/>
      </rPr>
      <t xml:space="preserve"> Emissions from LFG Burnt at LFGTE Plant</t>
    </r>
  </si>
  <si>
    <t>Flares</t>
  </si>
  <si>
    <t>Boilers</t>
  </si>
  <si>
    <t xml:space="preserve">LFGTE </t>
  </si>
  <si>
    <t>Alpha Ridge Landfill</t>
  </si>
  <si>
    <t>Brown Station</t>
  </si>
  <si>
    <t>Eastern Sanitary</t>
  </si>
  <si>
    <t>Gude Landfill</t>
  </si>
  <si>
    <t xml:space="preserve">Midshore I Regional </t>
  </si>
  <si>
    <t>Millersville Landfill</t>
  </si>
  <si>
    <t>Newland Park</t>
  </si>
  <si>
    <t>Quarantine Road</t>
  </si>
  <si>
    <t>Reich Ford</t>
  </si>
  <si>
    <t>Sandy Hill</t>
  </si>
  <si>
    <t>Beulah 2</t>
  </si>
  <si>
    <t>Mountainview</t>
  </si>
  <si>
    <t xml:space="preserve">Harford </t>
  </si>
  <si>
    <t>Cecil County</t>
  </si>
  <si>
    <t>Northern</t>
  </si>
  <si>
    <t>Worcester County Cells 2 &amp; 3</t>
  </si>
  <si>
    <t>Charles County</t>
  </si>
  <si>
    <t>Incinerator Emissions</t>
  </si>
  <si>
    <t xml:space="preserve">MD Summary </t>
  </si>
  <si>
    <t>Wheelabrator Baltimore</t>
  </si>
  <si>
    <t>Fort Detrick</t>
  </si>
  <si>
    <t>Incinerator #1</t>
  </si>
  <si>
    <t>Incinerator #4</t>
  </si>
  <si>
    <t>Incinerator #5</t>
  </si>
  <si>
    <t>Incinerator #6</t>
  </si>
  <si>
    <t>MSW Processed (tons)</t>
  </si>
  <si>
    <t>MSW HHV (mmbtu/short tons)</t>
  </si>
  <si>
    <t>EPA factor</t>
  </si>
  <si>
    <t>MSW Heat Input (mmbtu)</t>
  </si>
  <si>
    <r>
      <rPr>
        <sz val="8"/>
        <color theme="1"/>
        <rFont val="Arial"/>
        <family val="2"/>
      </rPr>
      <t>CO</t>
    </r>
    <r>
      <rPr>
        <vertAlign val="subscript"/>
        <sz val="8"/>
        <color theme="1"/>
        <rFont val="Arial"/>
        <family val="2"/>
      </rPr>
      <t>2</t>
    </r>
    <r>
      <rPr>
        <sz val="8"/>
        <color theme="1"/>
        <rFont val="Arial"/>
        <family val="2"/>
      </rPr>
      <t xml:space="preserve"> Emission Factor-(kg CO</t>
    </r>
    <r>
      <rPr>
        <vertAlign val="subscript"/>
        <sz val="8"/>
        <color theme="1"/>
        <rFont val="Arial"/>
        <family val="2"/>
      </rPr>
      <t>2</t>
    </r>
    <r>
      <rPr>
        <sz val="8"/>
        <color theme="1"/>
        <rFont val="Arial"/>
        <family val="2"/>
      </rPr>
      <t>/mmbtu)</t>
    </r>
  </si>
  <si>
    <r>
      <rPr>
        <sz val="8"/>
        <color theme="1"/>
        <rFont val="Arial"/>
        <family val="2"/>
      </rPr>
      <t>CO</t>
    </r>
    <r>
      <rPr>
        <vertAlign val="subscript"/>
        <sz val="8"/>
        <color theme="1"/>
        <rFont val="Arial"/>
        <family val="2"/>
      </rPr>
      <t>2</t>
    </r>
    <r>
      <rPr>
        <sz val="8"/>
        <color theme="1"/>
        <rFont val="Arial"/>
        <family val="2"/>
      </rPr>
      <t xml:space="preserve"> Emission Factor-(kg CO</t>
    </r>
    <r>
      <rPr>
        <vertAlign val="subscript"/>
        <sz val="8"/>
        <color theme="1"/>
        <rFont val="Arial"/>
        <family val="2"/>
      </rPr>
      <t>2</t>
    </r>
    <r>
      <rPr>
        <sz val="8"/>
        <color theme="1"/>
        <rFont val="Arial"/>
        <family val="2"/>
      </rPr>
      <t>/mmbtu)</t>
    </r>
  </si>
  <si>
    <r>
      <rPr>
        <sz val="8"/>
        <color theme="1"/>
        <rFont val="Arial"/>
        <family val="2"/>
      </rPr>
      <t>CO</t>
    </r>
    <r>
      <rPr>
        <vertAlign val="subscript"/>
        <sz val="8"/>
        <color theme="1"/>
        <rFont val="Arial"/>
        <family val="2"/>
      </rPr>
      <t>2</t>
    </r>
    <r>
      <rPr>
        <sz val="8"/>
        <color theme="1"/>
        <rFont val="Arial"/>
        <family val="2"/>
      </rPr>
      <t xml:space="preserve"> Emission Factor-(kg CO</t>
    </r>
    <r>
      <rPr>
        <vertAlign val="subscript"/>
        <sz val="8"/>
        <color theme="1"/>
        <rFont val="Arial"/>
        <family val="2"/>
      </rPr>
      <t>2</t>
    </r>
    <r>
      <rPr>
        <sz val="8"/>
        <color theme="1"/>
        <rFont val="Arial"/>
        <family val="2"/>
      </rPr>
      <t>/mmbtu)</t>
    </r>
  </si>
  <si>
    <r>
      <rPr>
        <sz val="8"/>
        <color theme="1"/>
        <rFont val="Arial"/>
        <family val="2"/>
      </rPr>
      <t>CO</t>
    </r>
    <r>
      <rPr>
        <vertAlign val="subscript"/>
        <sz val="8"/>
        <color theme="1"/>
        <rFont val="Arial"/>
        <family val="2"/>
      </rPr>
      <t>2</t>
    </r>
    <r>
      <rPr>
        <sz val="8"/>
        <color theme="1"/>
        <rFont val="Arial"/>
        <family val="2"/>
      </rPr>
      <t xml:space="preserve"> Emission Factor-(kg CO</t>
    </r>
    <r>
      <rPr>
        <vertAlign val="subscript"/>
        <sz val="8"/>
        <color theme="1"/>
        <rFont val="Arial"/>
        <family val="2"/>
      </rPr>
      <t>2</t>
    </r>
    <r>
      <rPr>
        <sz val="8"/>
        <color theme="1"/>
        <rFont val="Arial"/>
        <family val="2"/>
      </rPr>
      <t>/mmbtu)</t>
    </r>
  </si>
  <si>
    <r>
      <rPr>
        <sz val="8"/>
        <color theme="1"/>
        <rFont val="Arial"/>
        <family val="2"/>
      </rPr>
      <t>CO</t>
    </r>
    <r>
      <rPr>
        <vertAlign val="subscript"/>
        <sz val="8"/>
        <color theme="1"/>
        <rFont val="Arial"/>
        <family val="2"/>
      </rPr>
      <t>2</t>
    </r>
    <r>
      <rPr>
        <sz val="8"/>
        <color theme="1"/>
        <rFont val="Arial"/>
        <family val="2"/>
      </rPr>
      <t xml:space="preserve"> Emission Factor-(kg CO</t>
    </r>
    <r>
      <rPr>
        <vertAlign val="subscript"/>
        <sz val="8"/>
        <color theme="1"/>
        <rFont val="Arial"/>
        <family val="2"/>
      </rPr>
      <t>2</t>
    </r>
    <r>
      <rPr>
        <sz val="8"/>
        <color theme="1"/>
        <rFont val="Arial"/>
        <family val="2"/>
      </rPr>
      <t>/mmbtu)</t>
    </r>
  </si>
  <si>
    <r>
      <rPr>
        <sz val="8"/>
        <color theme="1"/>
        <rFont val="Arial"/>
        <family val="2"/>
      </rPr>
      <t>CO</t>
    </r>
    <r>
      <rPr>
        <vertAlign val="subscript"/>
        <sz val="8"/>
        <color theme="1"/>
        <rFont val="Arial"/>
        <family val="2"/>
      </rPr>
      <t>2</t>
    </r>
    <r>
      <rPr>
        <sz val="8"/>
        <color theme="1"/>
        <rFont val="Arial"/>
        <family val="2"/>
      </rPr>
      <t xml:space="preserve"> Emission (kg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</si>
  <si>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(kg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</si>
  <si>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(kg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</si>
  <si>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(kg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</si>
  <si>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(kg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</si>
  <si>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(short tons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</si>
  <si>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(short tons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</si>
  <si>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(short tons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</si>
  <si>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(short tons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</si>
  <si>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Estimate (short tons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</si>
  <si>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(metric tons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</si>
  <si>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(metric tons CO</t>
    </r>
    <r>
      <rPr>
        <vertAlign val="subscript"/>
        <sz val="8"/>
        <color theme="1"/>
        <rFont val="Arial"/>
        <family val="2"/>
      </rPr>
      <t>2</t>
    </r>
    <r>
      <rPr>
        <sz val="8"/>
        <color theme="1"/>
        <rFont val="Arial"/>
        <family val="2"/>
      </rPr>
      <t>)</t>
    </r>
  </si>
  <si>
    <t>CEM/ECR</t>
  </si>
  <si>
    <r>
      <rPr>
        <sz val="8"/>
        <color theme="1"/>
        <rFont val="Arial"/>
        <family val="2"/>
      </rPr>
      <t>CO</t>
    </r>
    <r>
      <rPr>
        <vertAlign val="subscript"/>
        <sz val="8"/>
        <color theme="1"/>
        <rFont val="Arial"/>
        <family val="2"/>
      </rPr>
      <t>2</t>
    </r>
    <r>
      <rPr>
        <sz val="8"/>
        <color theme="1"/>
        <rFont val="Arial"/>
        <family val="2"/>
      </rPr>
      <t xml:space="preserve"> Emission (metric tons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</si>
  <si>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(metric tons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</si>
  <si>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(short tons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</si>
  <si>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(short tons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</si>
  <si>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(short tons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</si>
  <si>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(short tons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</si>
  <si>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CEM Readings (short tons CO</t>
    </r>
    <r>
      <rPr>
        <vertAlign val="subscript"/>
        <sz val="8"/>
        <color theme="1"/>
        <rFont val="Arial"/>
        <family val="2"/>
      </rPr>
      <t>2</t>
    </r>
    <r>
      <rPr>
        <sz val="8"/>
        <color theme="1"/>
        <rFont val="Arial"/>
        <family val="2"/>
      </rPr>
      <t>)</t>
    </r>
  </si>
  <si>
    <r>
      <rPr>
        <sz val="8"/>
        <color theme="1"/>
        <rFont val="Arial"/>
        <family val="2"/>
      </rPr>
      <t>CH</t>
    </r>
    <r>
      <rPr>
        <vertAlign val="subscript"/>
        <sz val="8"/>
        <color theme="1"/>
        <rFont val="Arial"/>
        <family val="2"/>
      </rPr>
      <t>4</t>
    </r>
    <r>
      <rPr>
        <sz val="8"/>
        <color theme="1"/>
        <rFont val="Arial"/>
        <family val="2"/>
      </rPr>
      <t xml:space="preserve"> Emission Factor (kg/mmbtu)</t>
    </r>
  </si>
  <si>
    <r>
      <rPr>
        <sz val="8"/>
        <color theme="1"/>
        <rFont val="Arial"/>
        <family val="2"/>
      </rPr>
      <t>CH</t>
    </r>
    <r>
      <rPr>
        <vertAlign val="subscript"/>
        <sz val="8"/>
        <color theme="1"/>
        <rFont val="Arial"/>
        <family val="2"/>
      </rPr>
      <t>4</t>
    </r>
    <r>
      <rPr>
        <sz val="8"/>
        <color theme="1"/>
        <rFont val="Arial"/>
        <family val="2"/>
      </rPr>
      <t xml:space="preserve"> Emission Factor (kg/mmbtu)</t>
    </r>
  </si>
  <si>
    <r>
      <rPr>
        <sz val="8"/>
        <color theme="1"/>
        <rFont val="Arial"/>
        <family val="2"/>
      </rPr>
      <t>CH</t>
    </r>
    <r>
      <rPr>
        <vertAlign val="subscript"/>
        <sz val="8"/>
        <color theme="1"/>
        <rFont val="Arial"/>
        <family val="2"/>
      </rPr>
      <t>4</t>
    </r>
    <r>
      <rPr>
        <sz val="8"/>
        <color theme="1"/>
        <rFont val="Arial"/>
        <family val="2"/>
      </rPr>
      <t xml:space="preserve"> Emission Factor (kg/mmbtu)</t>
    </r>
  </si>
  <si>
    <r>
      <rPr>
        <sz val="8"/>
        <color theme="1"/>
        <rFont val="Arial"/>
        <family val="2"/>
      </rPr>
      <t>CH</t>
    </r>
    <r>
      <rPr>
        <vertAlign val="subscript"/>
        <sz val="8"/>
        <color theme="1"/>
        <rFont val="Arial"/>
        <family val="2"/>
      </rPr>
      <t>4</t>
    </r>
    <r>
      <rPr>
        <sz val="8"/>
        <color theme="1"/>
        <rFont val="Arial"/>
        <family val="2"/>
      </rPr>
      <t xml:space="preserve"> Emission Factor (kg/mmbtu)</t>
    </r>
  </si>
  <si>
    <r>
      <rPr>
        <sz val="8"/>
        <color theme="1"/>
        <rFont val="Arial"/>
        <family val="2"/>
      </rPr>
      <t>CH</t>
    </r>
    <r>
      <rPr>
        <vertAlign val="subscript"/>
        <sz val="8"/>
        <color theme="1"/>
        <rFont val="Arial"/>
        <family val="2"/>
      </rPr>
      <t>4</t>
    </r>
    <r>
      <rPr>
        <sz val="8"/>
        <color theme="1"/>
        <rFont val="Arial"/>
        <family val="2"/>
      </rPr>
      <t xml:space="preserve"> Emission Factor (kg/mmbtu)</t>
    </r>
  </si>
  <si>
    <r>
      <rPr>
        <sz val="8"/>
        <color theme="1"/>
        <rFont val="Arial"/>
        <family val="2"/>
      </rPr>
      <t>CH</t>
    </r>
    <r>
      <rPr>
        <vertAlign val="subscript"/>
        <sz val="8"/>
        <color theme="1"/>
        <rFont val="Arial"/>
        <family val="2"/>
      </rPr>
      <t>4</t>
    </r>
    <r>
      <rPr>
        <sz val="8"/>
        <color theme="1"/>
        <rFont val="Arial"/>
        <family val="2"/>
      </rPr>
      <t xml:space="preserve"> Emissions (kg)</t>
    </r>
  </si>
  <si>
    <r>
      <rPr>
        <sz val="8"/>
        <color theme="1"/>
        <rFont val="Arial"/>
        <family val="2"/>
      </rPr>
      <t>CH</t>
    </r>
    <r>
      <rPr>
        <vertAlign val="subscript"/>
        <sz val="8"/>
        <color theme="1"/>
        <rFont val="Arial"/>
        <family val="2"/>
      </rPr>
      <t>4</t>
    </r>
    <r>
      <rPr>
        <sz val="8"/>
        <color theme="1"/>
        <rFont val="Arial"/>
        <family val="2"/>
      </rPr>
      <t xml:space="preserve"> Emissions (kg)</t>
    </r>
  </si>
  <si>
    <r>
      <rPr>
        <sz val="8"/>
        <color theme="1"/>
        <rFont val="Arial"/>
        <family val="2"/>
      </rPr>
      <t>CH</t>
    </r>
    <r>
      <rPr>
        <vertAlign val="subscript"/>
        <sz val="8"/>
        <color theme="1"/>
        <rFont val="Arial"/>
        <family val="2"/>
      </rPr>
      <t>4</t>
    </r>
    <r>
      <rPr>
        <sz val="8"/>
        <color theme="1"/>
        <rFont val="Arial"/>
        <family val="2"/>
      </rPr>
      <t xml:space="preserve"> Emissions (kg)</t>
    </r>
  </si>
  <si>
    <r>
      <rPr>
        <sz val="8"/>
        <color theme="1"/>
        <rFont val="Arial"/>
        <family val="2"/>
      </rPr>
      <t>CH</t>
    </r>
    <r>
      <rPr>
        <vertAlign val="subscript"/>
        <sz val="8"/>
        <color theme="1"/>
        <rFont val="Arial"/>
        <family val="2"/>
      </rPr>
      <t>4</t>
    </r>
    <r>
      <rPr>
        <sz val="8"/>
        <color theme="1"/>
        <rFont val="Arial"/>
        <family val="2"/>
      </rPr>
      <t xml:space="preserve"> Emissions (kg)</t>
    </r>
  </si>
  <si>
    <r>
      <rPr>
        <sz val="8"/>
        <color theme="1"/>
        <rFont val="Arial"/>
        <family val="2"/>
      </rPr>
      <t>CH</t>
    </r>
    <r>
      <rPr>
        <vertAlign val="subscript"/>
        <sz val="8"/>
        <color theme="1"/>
        <rFont val="Arial"/>
        <family val="2"/>
      </rPr>
      <t>4</t>
    </r>
    <r>
      <rPr>
        <sz val="8"/>
        <color theme="1"/>
        <rFont val="Arial"/>
        <family val="2"/>
      </rPr>
      <t xml:space="preserve"> Emissions (kg)</t>
    </r>
  </si>
  <si>
    <r>
      <rPr>
        <sz val="8"/>
        <color theme="1"/>
        <rFont val="Arial"/>
        <family val="2"/>
      </rPr>
      <t>CH</t>
    </r>
    <r>
      <rPr>
        <vertAlign val="subscript"/>
        <sz val="8"/>
        <color theme="1"/>
        <rFont val="Arial"/>
        <family val="2"/>
      </rPr>
      <t>4</t>
    </r>
    <r>
      <rPr>
        <sz val="8"/>
        <color theme="1"/>
        <rFont val="Arial"/>
        <family val="2"/>
      </rPr>
      <t xml:space="preserve"> Emissions (short tons)</t>
    </r>
  </si>
  <si>
    <r>
      <rPr>
        <sz val="8"/>
        <color theme="1"/>
        <rFont val="Arial"/>
        <family val="2"/>
      </rPr>
      <t>CH</t>
    </r>
    <r>
      <rPr>
        <vertAlign val="subscript"/>
        <sz val="8"/>
        <color theme="1"/>
        <rFont val="Arial"/>
        <family val="2"/>
      </rPr>
      <t>4</t>
    </r>
    <r>
      <rPr>
        <sz val="8"/>
        <color theme="1"/>
        <rFont val="Arial"/>
        <family val="2"/>
      </rPr>
      <t xml:space="preserve"> Emissions (short tons)</t>
    </r>
  </si>
  <si>
    <r>
      <rPr>
        <sz val="8"/>
        <color theme="1"/>
        <rFont val="Arial"/>
        <family val="2"/>
      </rPr>
      <t>CH</t>
    </r>
    <r>
      <rPr>
        <vertAlign val="subscript"/>
        <sz val="8"/>
        <color theme="1"/>
        <rFont val="Arial"/>
        <family val="2"/>
      </rPr>
      <t>4</t>
    </r>
    <r>
      <rPr>
        <sz val="8"/>
        <color theme="1"/>
        <rFont val="Arial"/>
        <family val="2"/>
      </rPr>
      <t xml:space="preserve"> Emissions (short tons)</t>
    </r>
  </si>
  <si>
    <r>
      <rPr>
        <sz val="8"/>
        <color theme="1"/>
        <rFont val="Arial"/>
        <family val="2"/>
      </rPr>
      <t>CH</t>
    </r>
    <r>
      <rPr>
        <vertAlign val="subscript"/>
        <sz val="8"/>
        <color theme="1"/>
        <rFont val="Arial"/>
        <family val="2"/>
      </rPr>
      <t>4</t>
    </r>
    <r>
      <rPr>
        <sz val="8"/>
        <color theme="1"/>
        <rFont val="Arial"/>
        <family val="2"/>
      </rPr>
      <t xml:space="preserve"> Emissions (short tons)</t>
    </r>
  </si>
  <si>
    <r>
      <rPr>
        <sz val="8"/>
        <color theme="1"/>
        <rFont val="Arial"/>
        <family val="2"/>
      </rPr>
      <t>CH</t>
    </r>
    <r>
      <rPr>
        <vertAlign val="subscript"/>
        <sz val="8"/>
        <color theme="1"/>
        <rFont val="Arial"/>
        <family val="2"/>
      </rPr>
      <t>4</t>
    </r>
    <r>
      <rPr>
        <sz val="8"/>
        <color theme="1"/>
        <rFont val="Arial"/>
        <family val="2"/>
      </rPr>
      <t xml:space="preserve"> Emissions (short tons)</t>
    </r>
  </si>
  <si>
    <r>
      <rPr>
        <sz val="8"/>
        <color theme="1"/>
        <rFont val="Arial"/>
        <family val="2"/>
      </rPr>
      <t>CH</t>
    </r>
    <r>
      <rPr>
        <vertAlign val="subscript"/>
        <sz val="8"/>
        <color theme="1"/>
        <rFont val="Arial"/>
        <family val="2"/>
      </rPr>
      <t>4</t>
    </r>
    <r>
      <rPr>
        <sz val="8"/>
        <color theme="1"/>
        <rFont val="Arial"/>
        <family val="2"/>
      </rPr>
      <t xml:space="preserve"> Emissions (short tons)</t>
    </r>
  </si>
  <si>
    <r>
      <rPr>
        <sz val="8"/>
        <color theme="1"/>
        <rFont val="Arial"/>
        <family val="2"/>
      </rPr>
      <t>CH</t>
    </r>
    <r>
      <rPr>
        <vertAlign val="subscript"/>
        <sz val="8"/>
        <color theme="1"/>
        <rFont val="Arial"/>
        <family val="2"/>
      </rPr>
      <t>4</t>
    </r>
    <r>
      <rPr>
        <sz val="8"/>
        <color theme="1"/>
        <rFont val="Arial"/>
        <family val="2"/>
      </rPr>
      <t xml:space="preserve"> Emissions (short tons)</t>
    </r>
  </si>
  <si>
    <r>
      <rPr>
        <sz val="8"/>
        <color theme="1"/>
        <rFont val="Arial"/>
        <family val="2"/>
      </rPr>
      <t>CH</t>
    </r>
    <r>
      <rPr>
        <vertAlign val="subscript"/>
        <sz val="8"/>
        <color theme="1"/>
        <rFont val="Arial"/>
        <family val="2"/>
      </rPr>
      <t>4</t>
    </r>
    <r>
      <rPr>
        <sz val="8"/>
        <color theme="1"/>
        <rFont val="Arial"/>
        <family val="2"/>
      </rPr>
      <t xml:space="preserve"> Emissions (short tons)</t>
    </r>
  </si>
  <si>
    <r>
      <rPr>
        <sz val="8"/>
        <color theme="1"/>
        <rFont val="Arial"/>
        <family val="2"/>
      </rPr>
      <t>CH</t>
    </r>
    <r>
      <rPr>
        <vertAlign val="subscript"/>
        <sz val="8"/>
        <color theme="1"/>
        <rFont val="Arial"/>
        <family val="2"/>
      </rPr>
      <t>4</t>
    </r>
    <r>
      <rPr>
        <sz val="8"/>
        <color theme="1"/>
        <rFont val="Arial"/>
        <family val="2"/>
      </rPr>
      <t xml:space="preserve"> Emissions (short tons)</t>
    </r>
  </si>
  <si>
    <t>CH4 Emissions (short tons CO2e)</t>
  </si>
  <si>
    <r>
      <rPr>
        <sz val="8"/>
        <color theme="1"/>
        <rFont val="Arial"/>
        <family val="2"/>
      </rPr>
      <t>N</t>
    </r>
    <r>
      <rPr>
        <vertAlign val="subscript"/>
        <sz val="8"/>
        <color theme="1"/>
        <rFont val="Arial"/>
        <family val="2"/>
      </rPr>
      <t>2</t>
    </r>
    <r>
      <rPr>
        <sz val="8"/>
        <color theme="1"/>
        <rFont val="Arial"/>
        <family val="2"/>
      </rPr>
      <t>O Emission Factor (kg/mmbtu)</t>
    </r>
  </si>
  <si>
    <r>
      <rPr>
        <sz val="8"/>
        <color theme="1"/>
        <rFont val="Arial"/>
        <family val="2"/>
      </rPr>
      <t>N</t>
    </r>
    <r>
      <rPr>
        <vertAlign val="subscript"/>
        <sz val="8"/>
        <color theme="1"/>
        <rFont val="Arial"/>
        <family val="2"/>
      </rPr>
      <t>2</t>
    </r>
    <r>
      <rPr>
        <sz val="8"/>
        <color theme="1"/>
        <rFont val="Arial"/>
        <family val="2"/>
      </rPr>
      <t>O Emission Factor (kg/mmbtu)</t>
    </r>
  </si>
  <si>
    <r>
      <rPr>
        <sz val="8"/>
        <color theme="1"/>
        <rFont val="Arial"/>
        <family val="2"/>
      </rPr>
      <t>N</t>
    </r>
    <r>
      <rPr>
        <vertAlign val="subscript"/>
        <sz val="8"/>
        <color theme="1"/>
        <rFont val="Arial"/>
        <family val="2"/>
      </rPr>
      <t>2</t>
    </r>
    <r>
      <rPr>
        <sz val="8"/>
        <color theme="1"/>
        <rFont val="Arial"/>
        <family val="2"/>
      </rPr>
      <t>O Emission Factor (kg/mmbtu)</t>
    </r>
  </si>
  <si>
    <r>
      <rPr>
        <sz val="8"/>
        <color theme="1"/>
        <rFont val="Arial"/>
        <family val="2"/>
      </rPr>
      <t>N</t>
    </r>
    <r>
      <rPr>
        <vertAlign val="subscript"/>
        <sz val="8"/>
        <color theme="1"/>
        <rFont val="Arial"/>
        <family val="2"/>
      </rPr>
      <t>2</t>
    </r>
    <r>
      <rPr>
        <sz val="8"/>
        <color theme="1"/>
        <rFont val="Arial"/>
        <family val="2"/>
      </rPr>
      <t>O Emission Factor (kg/mmbtu)</t>
    </r>
  </si>
  <si>
    <r>
      <rPr>
        <sz val="8"/>
        <color theme="1"/>
        <rFont val="Arial"/>
        <family val="2"/>
      </rPr>
      <t>N</t>
    </r>
    <r>
      <rPr>
        <vertAlign val="subscript"/>
        <sz val="8"/>
        <color theme="1"/>
        <rFont val="Arial"/>
        <family val="2"/>
      </rPr>
      <t>2</t>
    </r>
    <r>
      <rPr>
        <sz val="8"/>
        <color theme="1"/>
        <rFont val="Arial"/>
        <family val="2"/>
      </rPr>
      <t>O Emission Factor (kg/mmbtu)</t>
    </r>
  </si>
  <si>
    <r>
      <rPr>
        <sz val="8"/>
        <color theme="1"/>
        <rFont val="Arial"/>
        <family val="2"/>
      </rPr>
      <t>N</t>
    </r>
    <r>
      <rPr>
        <vertAlign val="subscript"/>
        <sz val="8"/>
        <color theme="1"/>
        <rFont val="Arial"/>
        <family val="2"/>
      </rPr>
      <t>2</t>
    </r>
    <r>
      <rPr>
        <sz val="8"/>
        <color theme="1"/>
        <rFont val="Arial"/>
        <family val="2"/>
      </rPr>
      <t>O Emissions (kg)</t>
    </r>
  </si>
  <si>
    <r>
      <rPr>
        <sz val="8"/>
        <color theme="1"/>
        <rFont val="Arial"/>
        <family val="2"/>
      </rPr>
      <t>N</t>
    </r>
    <r>
      <rPr>
        <vertAlign val="subscript"/>
        <sz val="8"/>
        <color theme="1"/>
        <rFont val="Arial"/>
        <family val="2"/>
      </rPr>
      <t>2</t>
    </r>
    <r>
      <rPr>
        <sz val="8"/>
        <color theme="1"/>
        <rFont val="Arial"/>
        <family val="2"/>
      </rPr>
      <t>O Emissions (kg)</t>
    </r>
  </si>
  <si>
    <r>
      <rPr>
        <sz val="8"/>
        <color theme="1"/>
        <rFont val="Arial"/>
        <family val="2"/>
      </rPr>
      <t>N</t>
    </r>
    <r>
      <rPr>
        <vertAlign val="subscript"/>
        <sz val="8"/>
        <color theme="1"/>
        <rFont val="Arial"/>
        <family val="2"/>
      </rPr>
      <t>2</t>
    </r>
    <r>
      <rPr>
        <sz val="8"/>
        <color theme="1"/>
        <rFont val="Arial"/>
        <family val="2"/>
      </rPr>
      <t>O Emissions (kg)</t>
    </r>
  </si>
  <si>
    <r>
      <rPr>
        <sz val="8"/>
        <color theme="1"/>
        <rFont val="Arial"/>
        <family val="2"/>
      </rPr>
      <t>N</t>
    </r>
    <r>
      <rPr>
        <vertAlign val="subscript"/>
        <sz val="8"/>
        <color theme="1"/>
        <rFont val="Arial"/>
        <family val="2"/>
      </rPr>
      <t>2</t>
    </r>
    <r>
      <rPr>
        <sz val="8"/>
        <color theme="1"/>
        <rFont val="Arial"/>
        <family val="2"/>
      </rPr>
      <t>O Emissions (kg)</t>
    </r>
  </si>
  <si>
    <r>
      <rPr>
        <sz val="8"/>
        <color theme="1"/>
        <rFont val="Arial"/>
        <family val="2"/>
      </rPr>
      <t>N</t>
    </r>
    <r>
      <rPr>
        <vertAlign val="subscript"/>
        <sz val="8"/>
        <color theme="1"/>
        <rFont val="Arial"/>
        <family val="2"/>
      </rPr>
      <t>2</t>
    </r>
    <r>
      <rPr>
        <sz val="8"/>
        <color theme="1"/>
        <rFont val="Arial"/>
        <family val="2"/>
      </rPr>
      <t>O Emissions (kg)</t>
    </r>
  </si>
  <si>
    <r>
      <rPr>
        <sz val="8"/>
        <color theme="1"/>
        <rFont val="Arial"/>
        <family val="2"/>
      </rPr>
      <t>N</t>
    </r>
    <r>
      <rPr>
        <vertAlign val="subscript"/>
        <sz val="8"/>
        <color theme="1"/>
        <rFont val="Arial"/>
        <family val="2"/>
      </rPr>
      <t>2</t>
    </r>
    <r>
      <rPr>
        <sz val="8"/>
        <color theme="1"/>
        <rFont val="Arial"/>
        <family val="2"/>
      </rPr>
      <t>O Emissions (short tons)</t>
    </r>
  </si>
  <si>
    <r>
      <rPr>
        <sz val="8"/>
        <color theme="1"/>
        <rFont val="Arial"/>
        <family val="2"/>
      </rPr>
      <t>N</t>
    </r>
    <r>
      <rPr>
        <vertAlign val="subscript"/>
        <sz val="8"/>
        <color theme="1"/>
        <rFont val="Arial"/>
        <family val="2"/>
      </rPr>
      <t>2</t>
    </r>
    <r>
      <rPr>
        <sz val="8"/>
        <color theme="1"/>
        <rFont val="Arial"/>
        <family val="2"/>
      </rPr>
      <t>O Emissions (short tons)</t>
    </r>
  </si>
  <si>
    <r>
      <rPr>
        <sz val="8"/>
        <color theme="1"/>
        <rFont val="Arial"/>
        <family val="2"/>
      </rPr>
      <t>N</t>
    </r>
    <r>
      <rPr>
        <vertAlign val="subscript"/>
        <sz val="8"/>
        <color theme="1"/>
        <rFont val="Arial"/>
        <family val="2"/>
      </rPr>
      <t>2</t>
    </r>
    <r>
      <rPr>
        <sz val="8"/>
        <color theme="1"/>
        <rFont val="Arial"/>
        <family val="2"/>
      </rPr>
      <t>O Emissions (short tons)</t>
    </r>
  </si>
  <si>
    <r>
      <rPr>
        <sz val="8"/>
        <color theme="1"/>
        <rFont val="Arial"/>
        <family val="2"/>
      </rPr>
      <t>N</t>
    </r>
    <r>
      <rPr>
        <vertAlign val="subscript"/>
        <sz val="8"/>
        <color theme="1"/>
        <rFont val="Arial"/>
        <family val="2"/>
      </rPr>
      <t>2</t>
    </r>
    <r>
      <rPr>
        <sz val="8"/>
        <color theme="1"/>
        <rFont val="Arial"/>
        <family val="2"/>
      </rPr>
      <t>O Emissions (short tons)</t>
    </r>
  </si>
  <si>
    <r>
      <rPr>
        <sz val="8"/>
        <color theme="1"/>
        <rFont val="Arial"/>
        <family val="2"/>
      </rPr>
      <t>N</t>
    </r>
    <r>
      <rPr>
        <vertAlign val="subscript"/>
        <sz val="8"/>
        <color theme="1"/>
        <rFont val="Arial"/>
        <family val="2"/>
      </rPr>
      <t>2</t>
    </r>
    <r>
      <rPr>
        <sz val="8"/>
        <color theme="1"/>
        <rFont val="Arial"/>
        <family val="2"/>
      </rPr>
      <t>O Emissions (short tons)</t>
    </r>
  </si>
  <si>
    <r>
      <rPr>
        <sz val="8"/>
        <color theme="1"/>
        <rFont val="Arial"/>
        <family val="2"/>
      </rPr>
      <t>N</t>
    </r>
    <r>
      <rPr>
        <vertAlign val="subscript"/>
        <sz val="8"/>
        <color theme="1"/>
        <rFont val="Arial"/>
        <family val="2"/>
      </rPr>
      <t>2</t>
    </r>
    <r>
      <rPr>
        <sz val="8"/>
        <color theme="1"/>
        <rFont val="Arial"/>
        <family val="2"/>
      </rPr>
      <t>O Emissions (short tons)</t>
    </r>
  </si>
  <si>
    <r>
      <rPr>
        <sz val="8"/>
        <color theme="1"/>
        <rFont val="Arial"/>
        <family val="2"/>
      </rPr>
      <t>N</t>
    </r>
    <r>
      <rPr>
        <vertAlign val="subscript"/>
        <sz val="8"/>
        <color theme="1"/>
        <rFont val="Arial"/>
        <family val="2"/>
      </rPr>
      <t>2</t>
    </r>
    <r>
      <rPr>
        <sz val="8"/>
        <color theme="1"/>
        <rFont val="Arial"/>
        <family val="2"/>
      </rPr>
      <t>O Emissions (short tons)</t>
    </r>
  </si>
  <si>
    <r>
      <rPr>
        <sz val="8"/>
        <color theme="1"/>
        <rFont val="Arial"/>
        <family val="2"/>
      </rPr>
      <t>N</t>
    </r>
    <r>
      <rPr>
        <vertAlign val="subscript"/>
        <sz val="8"/>
        <color theme="1"/>
        <rFont val="Arial"/>
        <family val="2"/>
      </rPr>
      <t>2</t>
    </r>
    <r>
      <rPr>
        <sz val="8"/>
        <color theme="1"/>
        <rFont val="Arial"/>
        <family val="2"/>
      </rPr>
      <t>O Emissions (short tons)</t>
    </r>
  </si>
  <si>
    <r>
      <rPr>
        <sz val="8"/>
        <color theme="1"/>
        <rFont val="Arial"/>
        <family val="2"/>
      </rPr>
      <t>N</t>
    </r>
    <r>
      <rPr>
        <vertAlign val="subscript"/>
        <sz val="8"/>
        <color theme="1"/>
        <rFont val="Arial"/>
        <family val="2"/>
      </rPr>
      <t>2</t>
    </r>
    <r>
      <rPr>
        <sz val="8"/>
        <color theme="1"/>
        <rFont val="Arial"/>
        <family val="2"/>
      </rPr>
      <t>O Emissions (short tons)</t>
    </r>
  </si>
  <si>
    <t>N2O Emissions (short tons CO2e)</t>
  </si>
  <si>
    <t>Table C-1 and C-2 Data</t>
  </si>
  <si>
    <t>MSW</t>
  </si>
  <si>
    <r>
      <rPr>
        <sz val="8"/>
        <color theme="1"/>
        <rFont val="Arial"/>
        <family val="2"/>
      </rPr>
      <t>CO</t>
    </r>
    <r>
      <rPr>
        <vertAlign val="subscript"/>
        <sz val="8"/>
        <color theme="1"/>
        <rFont val="Arial"/>
        <family val="2"/>
      </rPr>
      <t>2</t>
    </r>
    <r>
      <rPr>
        <sz val="8"/>
        <color theme="1"/>
        <rFont val="Arial"/>
        <family val="2"/>
      </rPr>
      <t xml:space="preserve"> EF</t>
    </r>
  </si>
  <si>
    <r>
      <rPr>
        <sz val="8"/>
        <color theme="1"/>
        <rFont val="Arial"/>
        <family val="2"/>
      </rPr>
      <t>kg CO</t>
    </r>
    <r>
      <rPr>
        <vertAlign val="subscript"/>
        <sz val="8"/>
        <color theme="1"/>
        <rFont val="Arial"/>
        <family val="2"/>
      </rPr>
      <t>2</t>
    </r>
    <r>
      <rPr>
        <sz val="8"/>
        <color theme="1"/>
        <rFont val="Arial"/>
        <family val="2"/>
      </rPr>
      <t>/MMBTU</t>
    </r>
  </si>
  <si>
    <r>
      <rPr>
        <sz val="8"/>
        <color theme="1"/>
        <rFont val="Arial"/>
        <family val="2"/>
      </rPr>
      <t>CH</t>
    </r>
    <r>
      <rPr>
        <vertAlign val="subscript"/>
        <sz val="8"/>
        <color theme="1"/>
        <rFont val="Arial"/>
        <family val="2"/>
      </rPr>
      <t>4</t>
    </r>
    <r>
      <rPr>
        <sz val="8"/>
        <color theme="1"/>
        <rFont val="Arial"/>
        <family val="2"/>
      </rPr>
      <t xml:space="preserve"> EF</t>
    </r>
  </si>
  <si>
    <r>
      <rPr>
        <sz val="8"/>
        <color theme="1"/>
        <rFont val="Arial"/>
        <family val="2"/>
      </rPr>
      <t>kg CH</t>
    </r>
    <r>
      <rPr>
        <vertAlign val="subscript"/>
        <sz val="8"/>
        <color theme="1"/>
        <rFont val="Arial"/>
        <family val="2"/>
      </rPr>
      <t>4</t>
    </r>
    <r>
      <rPr>
        <sz val="8"/>
        <color theme="1"/>
        <rFont val="Arial"/>
        <family val="2"/>
      </rPr>
      <t>/MMBTU</t>
    </r>
  </si>
  <si>
    <r>
      <rPr>
        <sz val="8"/>
        <color theme="1"/>
        <rFont val="Arial"/>
        <family val="2"/>
      </rPr>
      <t>N</t>
    </r>
    <r>
      <rPr>
        <vertAlign val="subscript"/>
        <sz val="8"/>
        <color theme="1"/>
        <rFont val="Arial"/>
        <family val="2"/>
      </rPr>
      <t>2</t>
    </r>
    <r>
      <rPr>
        <sz val="8"/>
        <color theme="1"/>
        <rFont val="Arial"/>
        <family val="2"/>
      </rPr>
      <t>O Ef</t>
    </r>
  </si>
  <si>
    <r>
      <rPr>
        <sz val="8"/>
        <color theme="1"/>
        <rFont val="Arial"/>
        <family val="2"/>
      </rPr>
      <t>kg N</t>
    </r>
    <r>
      <rPr>
        <vertAlign val="subscript"/>
        <sz val="8"/>
        <color theme="1"/>
        <rFont val="Arial"/>
        <family val="2"/>
      </rPr>
      <t>2</t>
    </r>
    <r>
      <rPr>
        <sz val="8"/>
        <color theme="1"/>
        <rFont val="Arial"/>
        <family val="2"/>
      </rPr>
      <t>O /MMBTU</t>
    </r>
  </si>
  <si>
    <t>Table A-1 Data</t>
  </si>
  <si>
    <r>
      <rPr>
        <sz val="8"/>
        <color theme="1"/>
        <rFont val="Arial"/>
        <family val="2"/>
      </rPr>
      <t>CO</t>
    </r>
    <r>
      <rPr>
        <vertAlign val="subscript"/>
        <sz val="8"/>
        <color theme="1"/>
        <rFont val="Arial"/>
        <family val="2"/>
      </rPr>
      <t>2</t>
    </r>
    <r>
      <rPr>
        <sz val="8"/>
        <color theme="1"/>
        <rFont val="Arial"/>
        <family val="2"/>
      </rPr>
      <t xml:space="preserve"> GWP</t>
    </r>
  </si>
  <si>
    <r>
      <rPr>
        <sz val="8"/>
        <color theme="1"/>
        <rFont val="Arial"/>
        <family val="2"/>
      </rPr>
      <t>CH</t>
    </r>
    <r>
      <rPr>
        <vertAlign val="subscript"/>
        <sz val="8"/>
        <color theme="1"/>
        <rFont val="Arial"/>
        <family val="2"/>
      </rPr>
      <t>4</t>
    </r>
    <r>
      <rPr>
        <sz val="8"/>
        <color theme="1"/>
        <rFont val="Arial"/>
        <family val="2"/>
      </rPr>
      <t xml:space="preserve"> GWP</t>
    </r>
  </si>
  <si>
    <t>updated beginning January 1,2014</t>
  </si>
  <si>
    <r>
      <rPr>
        <sz val="8"/>
        <color theme="1"/>
        <rFont val="Arial"/>
        <family val="2"/>
      </rPr>
      <t>N</t>
    </r>
    <r>
      <rPr>
        <vertAlign val="subscript"/>
        <sz val="8"/>
        <color theme="1"/>
        <rFont val="Arial"/>
        <family val="2"/>
      </rPr>
      <t>2</t>
    </r>
    <r>
      <rPr>
        <sz val="8"/>
        <color theme="1"/>
        <rFont val="Arial"/>
        <family val="2"/>
      </rPr>
      <t>O GWP</t>
    </r>
  </si>
  <si>
    <t>Residential Open Burning - Leaves, Brush, MSW</t>
  </si>
  <si>
    <r>
      <rPr>
        <b/>
        <sz val="11"/>
        <color theme="1"/>
        <rFont val="Calibri"/>
        <family val="2"/>
      </rPr>
      <t>(MMTCO</t>
    </r>
    <r>
      <rPr>
        <b/>
        <vertAlign val="subscript"/>
        <sz val="11"/>
        <color theme="1"/>
        <rFont val="Calibri"/>
        <family val="2"/>
      </rPr>
      <t>2</t>
    </r>
    <r>
      <rPr>
        <b/>
        <sz val="11"/>
        <color theme="1"/>
        <rFont val="Calibri"/>
        <family val="2"/>
      </rPr>
      <t>E)</t>
    </r>
  </si>
  <si>
    <t>Open Burning</t>
  </si>
  <si>
    <t>Emissions from Natural Gas Activities in MD</t>
  </si>
  <si>
    <t>Natural Gas - Production</t>
  </si>
  <si>
    <t>Activity Data</t>
  </si>
  <si>
    <r>
      <rPr>
        <b/>
        <sz val="8"/>
        <color theme="1"/>
        <rFont val="Comic Sans MS"/>
        <family val="4"/>
      </rPr>
      <t>Metric Tons CH</t>
    </r>
    <r>
      <rPr>
        <b/>
        <vertAlign val="subscript"/>
        <sz val="8"/>
        <color theme="1"/>
        <rFont val="Comic Sans MS"/>
        <family val="4"/>
      </rPr>
      <t>4</t>
    </r>
  </si>
  <si>
    <r>
      <rPr>
        <b/>
        <sz val="8"/>
        <color theme="1"/>
        <rFont val="Comic Sans MS"/>
        <family val="4"/>
      </rPr>
      <t>MMTCO</t>
    </r>
    <r>
      <rPr>
        <b/>
        <vertAlign val="subscript"/>
        <sz val="8"/>
        <color theme="1"/>
        <rFont val="Comic Sans MS"/>
        <family val="4"/>
      </rPr>
      <t>2</t>
    </r>
    <r>
      <rPr>
        <b/>
        <sz val="8"/>
        <color theme="1"/>
        <rFont val="Comic Sans MS"/>
        <family val="4"/>
      </rPr>
      <t>E</t>
    </r>
  </si>
  <si>
    <r>
      <rPr>
        <sz val="8"/>
        <color theme="1"/>
        <rFont val="Comic Sans MS"/>
        <family val="4"/>
      </rPr>
      <t>metric tons CH</t>
    </r>
    <r>
      <rPr>
        <vertAlign val="subscript"/>
        <sz val="8"/>
        <color theme="1"/>
        <rFont val="Comic Sans MS"/>
        <family val="4"/>
      </rPr>
      <t>4</t>
    </r>
    <r>
      <rPr>
        <sz val="8"/>
        <color theme="1"/>
        <rFont val="Comic Sans MS"/>
        <family val="4"/>
      </rPr>
      <t xml:space="preserve"> per year per activity unit</t>
    </r>
  </si>
  <si>
    <t>Total number of wells</t>
  </si>
  <si>
    <t>Number of off-shore platforms not in the Gulf of Mexico</t>
  </si>
  <si>
    <t xml:space="preserve">Total  </t>
  </si>
  <si>
    <t>Number of Wells from EIA</t>
  </si>
  <si>
    <t>https://www.eia.gov/dnav/ng/NG_PROD_WELLS_S1_A.htm</t>
  </si>
  <si>
    <r>
      <rPr>
        <sz val="8"/>
        <color theme="1"/>
        <rFont val="Arial"/>
        <family val="2"/>
      </rPr>
      <t>Emission factor from US EP</t>
    </r>
    <r>
      <rPr>
        <sz val="10"/>
        <color theme="1"/>
        <rFont val="Arial"/>
        <family val="2"/>
      </rPr>
      <t>A, Emissions Inventory Improvements Program,</t>
    </r>
    <r>
      <rPr>
        <i/>
        <sz val="10"/>
        <color theme="1"/>
        <rFont val="Arial"/>
        <family val="2"/>
      </rPr>
      <t xml:space="preserve"> Volume VII: Chpater 5. Methods for Estimating Methane Emissions from Natural Gas and Oil Systems. </t>
    </r>
    <r>
      <rPr>
        <sz val="10"/>
        <color theme="1"/>
        <rFont val="Arial"/>
        <family val="2"/>
      </rPr>
      <t>This factor represents emissions not just from wells but also from pneumatic devices, dehydrator vents, Kimray pumps, gas engines, and well clean-ups</t>
    </r>
  </si>
  <si>
    <t>Natural Gas - Distribution</t>
  </si>
  <si>
    <r>
      <rPr>
        <b/>
        <sz val="8"/>
        <color theme="1"/>
        <rFont val="Comic Sans MS"/>
        <family val="4"/>
      </rPr>
      <t>Metric Tons CH</t>
    </r>
    <r>
      <rPr>
        <b/>
        <vertAlign val="subscript"/>
        <sz val="8"/>
        <color theme="1"/>
        <rFont val="Comic Sans MS"/>
        <family val="4"/>
      </rPr>
      <t>4</t>
    </r>
  </si>
  <si>
    <r>
      <rPr>
        <b/>
        <sz val="8"/>
        <color theme="1"/>
        <rFont val="Comic Sans MS"/>
        <family val="4"/>
      </rPr>
      <t>MMTCO</t>
    </r>
    <r>
      <rPr>
        <b/>
        <vertAlign val="subscript"/>
        <sz val="8"/>
        <color theme="1"/>
        <rFont val="Comic Sans MS"/>
        <family val="4"/>
      </rPr>
      <t>2</t>
    </r>
    <r>
      <rPr>
        <b/>
        <sz val="8"/>
        <color theme="1"/>
        <rFont val="Comic Sans MS"/>
        <family val="4"/>
      </rPr>
      <t>E</t>
    </r>
  </si>
  <si>
    <t>Distribution pipeline</t>
  </si>
  <si>
    <r>
      <rPr>
        <sz val="8"/>
        <color theme="1"/>
        <rFont val="Comic Sans MS"/>
        <family val="4"/>
      </rPr>
      <t>(metric tons CH</t>
    </r>
    <r>
      <rPr>
        <vertAlign val="subscript"/>
        <sz val="8"/>
        <color theme="1"/>
        <rFont val="Comic Sans MS"/>
        <family val="4"/>
      </rPr>
      <t>4</t>
    </r>
    <r>
      <rPr>
        <sz val="8"/>
        <color theme="1"/>
        <rFont val="Comic Sans MS"/>
        <family val="4"/>
      </rPr>
      <t xml:space="preserve"> per year per activity unit)</t>
    </r>
  </si>
  <si>
    <t>Miles of cast iron distribution pipeline</t>
  </si>
  <si>
    <t>Miles of unprotected steel distribution pipeline</t>
  </si>
  <si>
    <t>Miles of protected steel distribution pipeline</t>
  </si>
  <si>
    <t>Miles of plastic distribution pipeline</t>
  </si>
  <si>
    <t>Services</t>
  </si>
  <si>
    <t>Total number of services</t>
  </si>
  <si>
    <t>Number of unprotected steel services</t>
  </si>
  <si>
    <t>Number of protected steel services</t>
  </si>
  <si>
    <t>Miles of Distribution pipeline from US Department of Transport, Office of Pipeline Safety, "  Distribution and Transmission Annuals data:2010-Present" . http://www.phmsa.dot.gov/portal/</t>
  </si>
  <si>
    <t>https://www.phmsa.dot.gov/data-and-statistics/pipeline/gas-distribution-gas-gathering-gas-transmission-hazardous-liquids</t>
  </si>
  <si>
    <r>
      <rPr>
        <sz val="8"/>
        <color theme="1"/>
        <rFont val="Arial"/>
        <family val="2"/>
      </rPr>
      <t>All emission factors from US EP</t>
    </r>
    <r>
      <rPr>
        <sz val="10"/>
        <color theme="1"/>
        <rFont val="Arial"/>
        <family val="2"/>
      </rPr>
      <t>A, Emissions Inventory Improvements Program,</t>
    </r>
    <r>
      <rPr>
        <i/>
        <sz val="10"/>
        <color theme="1"/>
        <rFont val="Arial"/>
        <family val="2"/>
      </rPr>
      <t xml:space="preserve"> Volume VII: Chapter 5. Methods for Estimating Methane Emissions from Natural Gas and Oil Systems. </t>
    </r>
  </si>
  <si>
    <t>Natural Gas - Transmission</t>
  </si>
  <si>
    <r>
      <rPr>
        <b/>
        <sz val="8"/>
        <color theme="1"/>
        <rFont val="Comic Sans MS"/>
        <family val="4"/>
      </rPr>
      <t>Metric Tons CH</t>
    </r>
    <r>
      <rPr>
        <b/>
        <vertAlign val="subscript"/>
        <sz val="8"/>
        <color theme="1"/>
        <rFont val="Comic Sans MS"/>
        <family val="4"/>
      </rPr>
      <t>4</t>
    </r>
  </si>
  <si>
    <r>
      <rPr>
        <b/>
        <sz val="8"/>
        <color theme="1"/>
        <rFont val="Comic Sans MS"/>
        <family val="4"/>
      </rPr>
      <t>MMTCO</t>
    </r>
    <r>
      <rPr>
        <b/>
        <vertAlign val="subscript"/>
        <sz val="8"/>
        <color theme="1"/>
        <rFont val="Comic Sans MS"/>
        <family val="4"/>
      </rPr>
      <t>2</t>
    </r>
    <r>
      <rPr>
        <b/>
        <sz val="8"/>
        <color theme="1"/>
        <rFont val="Comic Sans MS"/>
        <family val="4"/>
      </rPr>
      <t>E</t>
    </r>
  </si>
  <si>
    <r>
      <rPr>
        <sz val="8"/>
        <color theme="1"/>
        <rFont val="Comic Sans MS"/>
        <family val="4"/>
      </rPr>
      <t>(metric tons CH</t>
    </r>
    <r>
      <rPr>
        <vertAlign val="subscript"/>
        <sz val="8"/>
        <color theme="1"/>
        <rFont val="Comic Sans MS"/>
        <family val="4"/>
      </rPr>
      <t>4</t>
    </r>
    <r>
      <rPr>
        <sz val="8"/>
        <color theme="1"/>
        <rFont val="Comic Sans MS"/>
        <family val="4"/>
      </rPr>
      <t xml:space="preserve"> per year per activity unit)</t>
    </r>
  </si>
  <si>
    <t>Miles of transmission pipeline</t>
  </si>
  <si>
    <t>Number of gas transmission compressor stations</t>
  </si>
  <si>
    <t>Number of gas storage compressor stations</t>
  </si>
  <si>
    <t xml:space="preserve">Number of LNG storage compressor stations from EIA, US LNG Markets and Uses, http://www.eia.doe.gov/pub/oil_gas/natural_gas/feature_articles/2003/lng/lng2003.pdf </t>
  </si>
  <si>
    <t>Miles of transmission pipeline from US Department of Transport, Office of Pipeline Safety, "  Distribution and Transmission Annuals data: 2010 -Present" . Acess from http://www.phmsa.dot.gov/portal/</t>
  </si>
  <si>
    <t>Number of gas transmission compressor stations = miles of transmission pipeline x 0.006 -EIIP, Volume VII: Chapter 5,March 2005</t>
  </si>
  <si>
    <t>Number of gas storage compressor station  = miles of transmission pipeline x 0.0015 -EIIP, Volume VII: Chapter 5,March 2005</t>
  </si>
  <si>
    <r>
      <rPr>
        <sz val="8"/>
        <color theme="1"/>
        <rFont val="Arial"/>
        <family val="2"/>
      </rPr>
      <t>All emission factors from US EP</t>
    </r>
    <r>
      <rPr>
        <sz val="10"/>
        <color theme="1"/>
        <rFont val="Arial"/>
        <family val="2"/>
      </rPr>
      <t>A, Emissions Inventory Improvements Program,</t>
    </r>
    <r>
      <rPr>
        <i/>
        <sz val="10"/>
        <color theme="1"/>
        <rFont val="Arial"/>
        <family val="2"/>
      </rPr>
      <t xml:space="preserve"> Volume VII: Chapter 5. Methods for Estimating Methane Emissions from Natural Gas and Oil Systems. </t>
    </r>
  </si>
  <si>
    <t>Natural Gas - Consumption as Pipeline Fuel</t>
  </si>
  <si>
    <t xml:space="preserve">                         Emission Factors:</t>
  </si>
  <si>
    <t xml:space="preserve"> Combustion</t>
  </si>
  <si>
    <r>
      <rPr>
        <b/>
        <sz val="10"/>
        <color theme="1"/>
        <rFont val="Comic Sans MS"/>
        <family val="4"/>
      </rPr>
      <t>CO</t>
    </r>
    <r>
      <rPr>
        <b/>
        <vertAlign val="subscript"/>
        <sz val="10"/>
        <color theme="1"/>
        <rFont val="Comic Sans MS"/>
        <family val="4"/>
      </rPr>
      <t>2</t>
    </r>
    <r>
      <rPr>
        <b/>
        <sz val="10"/>
        <color theme="1"/>
        <rFont val="Comic Sans MS"/>
        <family val="4"/>
      </rPr>
      <t xml:space="preserve"> Emissions</t>
    </r>
  </si>
  <si>
    <r>
      <rPr>
        <b/>
        <sz val="10"/>
        <color theme="1"/>
        <rFont val="Comic Sans MS"/>
        <family val="4"/>
      </rPr>
      <t>N</t>
    </r>
    <r>
      <rPr>
        <b/>
        <vertAlign val="subscript"/>
        <sz val="10"/>
        <color theme="1"/>
        <rFont val="Comic Sans MS"/>
        <family val="4"/>
      </rPr>
      <t>2</t>
    </r>
    <r>
      <rPr>
        <b/>
        <sz val="10"/>
        <color theme="1"/>
        <rFont val="Comic Sans MS"/>
        <family val="4"/>
      </rPr>
      <t>O Emissions</t>
    </r>
  </si>
  <si>
    <r>
      <rPr>
        <b/>
        <sz val="10"/>
        <color theme="1"/>
        <rFont val="Comic Sans MS"/>
        <family val="4"/>
      </rPr>
      <t>CH</t>
    </r>
    <r>
      <rPr>
        <b/>
        <vertAlign val="subscript"/>
        <sz val="10"/>
        <color theme="1"/>
        <rFont val="Comic Sans MS"/>
        <family val="4"/>
      </rPr>
      <t>4</t>
    </r>
    <r>
      <rPr>
        <b/>
        <sz val="10"/>
        <color theme="1"/>
        <rFont val="Comic Sans MS"/>
        <family val="4"/>
      </rPr>
      <t xml:space="preserve"> Emissions</t>
    </r>
  </si>
  <si>
    <t>GHG Emissions</t>
  </si>
  <si>
    <t>NG Consumption</t>
  </si>
  <si>
    <t>(Billion Btus)</t>
  </si>
  <si>
    <t>Carbon</t>
  </si>
  <si>
    <r>
      <rPr>
        <b/>
        <sz val="10"/>
        <color theme="1"/>
        <rFont val="Comic Sans MS"/>
        <family val="4"/>
      </rPr>
      <t>N</t>
    </r>
    <r>
      <rPr>
        <b/>
        <vertAlign val="subscript"/>
        <sz val="10"/>
        <color theme="1"/>
        <rFont val="Comic Sans MS"/>
        <family val="4"/>
      </rPr>
      <t>2</t>
    </r>
    <r>
      <rPr>
        <b/>
        <sz val="10"/>
        <color theme="1"/>
        <rFont val="Comic Sans MS"/>
        <family val="4"/>
      </rPr>
      <t>O</t>
    </r>
  </si>
  <si>
    <r>
      <rPr>
        <b/>
        <sz val="10"/>
        <color theme="1"/>
        <rFont val="Comic Sans MS"/>
        <family val="4"/>
      </rPr>
      <t>CH</t>
    </r>
    <r>
      <rPr>
        <b/>
        <vertAlign val="subscript"/>
        <sz val="10"/>
        <color theme="1"/>
        <rFont val="Comic Sans MS"/>
        <family val="4"/>
      </rPr>
      <t>4</t>
    </r>
  </si>
  <si>
    <r>
      <rPr>
        <b/>
        <sz val="10"/>
        <color theme="1"/>
        <rFont val="Comic Sans MS"/>
        <family val="4"/>
      </rPr>
      <t>(MMTCO</t>
    </r>
    <r>
      <rPr>
        <b/>
        <vertAlign val="subscript"/>
        <sz val="10"/>
        <color theme="1"/>
        <rFont val="Comic Sans MS"/>
        <family val="4"/>
      </rPr>
      <t>2</t>
    </r>
    <r>
      <rPr>
        <b/>
        <sz val="10"/>
        <color theme="1"/>
        <rFont val="Comic Sans MS"/>
        <family val="4"/>
      </rPr>
      <t>E)</t>
    </r>
  </si>
  <si>
    <r>
      <rPr>
        <b/>
        <sz val="10"/>
        <color theme="1"/>
        <rFont val="Comic Sans MS"/>
        <family val="4"/>
      </rPr>
      <t>(MMTCO</t>
    </r>
    <r>
      <rPr>
        <b/>
        <vertAlign val="subscript"/>
        <sz val="10"/>
        <color theme="1"/>
        <rFont val="Comic Sans MS"/>
        <family val="4"/>
      </rPr>
      <t>2</t>
    </r>
    <r>
      <rPr>
        <b/>
        <sz val="10"/>
        <color theme="1"/>
        <rFont val="Comic Sans MS"/>
        <family val="4"/>
      </rPr>
      <t>E)</t>
    </r>
  </si>
  <si>
    <r>
      <rPr>
        <b/>
        <sz val="10"/>
        <color theme="1"/>
        <rFont val="Comic Sans MS"/>
        <family val="4"/>
      </rPr>
      <t>(MMTCO</t>
    </r>
    <r>
      <rPr>
        <b/>
        <vertAlign val="subscript"/>
        <sz val="10"/>
        <color theme="1"/>
        <rFont val="Comic Sans MS"/>
        <family val="4"/>
      </rPr>
      <t>2</t>
    </r>
    <r>
      <rPr>
        <b/>
        <sz val="10"/>
        <color theme="1"/>
        <rFont val="Comic Sans MS"/>
        <family val="4"/>
      </rPr>
      <t>E)</t>
    </r>
  </si>
  <si>
    <t>(lbs/MMBtu)</t>
  </si>
  <si>
    <t>(Mt/BBtu)</t>
  </si>
  <si>
    <t>NGPZB (Billion Btus)</t>
  </si>
  <si>
    <t>NGPZB (Million Btus)</t>
  </si>
  <si>
    <t>Natural Gas as Pipeline Fuel Activity Data (Billion Btu)  was obtained from: https://www.eia.gov/dnav/ng/ng_cons_sum_dcu_SMD_a.htm</t>
  </si>
  <si>
    <t>Maryland Natural Gas Consumption By End Use</t>
  </si>
  <si>
    <t>Number of Gas Producing Wells : http://www.eia.gov/dnav/ng/hist/na1170_smd_8a.htm.</t>
  </si>
  <si>
    <r>
      <rPr>
        <b/>
        <sz val="8"/>
        <color theme="1"/>
        <rFont val="Comic Sans MS"/>
        <family val="4"/>
      </rPr>
      <t xml:space="preserve">       Emissions by Gas (MMTCO</t>
    </r>
    <r>
      <rPr>
        <b/>
        <vertAlign val="subscript"/>
        <sz val="8"/>
        <color theme="1"/>
        <rFont val="Comic Sans MS"/>
        <family val="4"/>
      </rPr>
      <t>2</t>
    </r>
    <r>
      <rPr>
        <b/>
        <sz val="8"/>
        <color theme="1"/>
        <rFont val="Comic Sans MS"/>
        <family val="4"/>
      </rPr>
      <t>e)</t>
    </r>
  </si>
  <si>
    <t>Production</t>
  </si>
  <si>
    <t>Transmission</t>
  </si>
  <si>
    <t>Distribution</t>
  </si>
  <si>
    <t>Pipeline Fuel</t>
  </si>
  <si>
    <t>Emissions from Mining in MD</t>
  </si>
  <si>
    <r>
      <rPr>
        <sz val="14"/>
        <color theme="1"/>
        <rFont val="Calibri"/>
        <family val="2"/>
      </rPr>
      <t>CH</t>
    </r>
    <r>
      <rPr>
        <vertAlign val="subscript"/>
        <sz val="14"/>
        <color theme="1"/>
        <rFont val="Calibri"/>
        <family val="2"/>
      </rPr>
      <t>4</t>
    </r>
    <r>
      <rPr>
        <sz val="14"/>
        <color theme="1"/>
        <rFont val="Calibri"/>
        <family val="2"/>
      </rPr>
      <t xml:space="preserve"> from Coal Mining in MD</t>
    </r>
  </si>
  <si>
    <t>Emissions from:</t>
  </si>
  <si>
    <t>Coal Basin(s)     (if applicable)</t>
  </si>
  <si>
    <t>Measured Ventilation Emissions
(mcf)</t>
  </si>
  <si>
    <t>Degasification System Emissions
(mcf)</t>
  </si>
  <si>
    <t>Methane Recovered from Degasification Systems and Usef for Energy
(mcf)</t>
  </si>
  <si>
    <r>
      <rPr>
        <b/>
        <sz val="7"/>
        <color theme="1"/>
        <rFont val="Calibri"/>
        <family val="2"/>
      </rPr>
      <t>Emissions
(mcf CH</t>
    </r>
    <r>
      <rPr>
        <b/>
        <vertAlign val="subscript"/>
        <sz val="7"/>
        <color theme="1"/>
        <rFont val="Calibri"/>
        <family val="2"/>
      </rPr>
      <t>4</t>
    </r>
    <r>
      <rPr>
        <b/>
        <sz val="7"/>
        <color theme="1"/>
        <rFont val="Calibri"/>
        <family val="2"/>
      </rPr>
      <t>)</t>
    </r>
  </si>
  <si>
    <r>
      <rPr>
        <b/>
        <sz val="7"/>
        <color theme="1"/>
        <rFont val="Calibri"/>
        <family val="2"/>
      </rPr>
      <t>Emissions
(MTCH</t>
    </r>
    <r>
      <rPr>
        <b/>
        <vertAlign val="subscript"/>
        <sz val="7"/>
        <color theme="1"/>
        <rFont val="Calibri"/>
        <family val="2"/>
      </rPr>
      <t>4</t>
    </r>
    <r>
      <rPr>
        <b/>
        <sz val="7"/>
        <color theme="1"/>
        <rFont val="Calibri"/>
        <family val="2"/>
      </rPr>
      <t>)</t>
    </r>
  </si>
  <si>
    <r>
      <rPr>
        <b/>
        <sz val="7"/>
        <color theme="1"/>
        <rFont val="Calibri"/>
        <family val="2"/>
      </rPr>
      <t>Emissions
(MTCO</t>
    </r>
    <r>
      <rPr>
        <b/>
        <vertAlign val="subscript"/>
        <sz val="7"/>
        <color theme="1"/>
        <rFont val="Calibri"/>
        <family val="2"/>
      </rPr>
      <t>2</t>
    </r>
    <r>
      <rPr>
        <b/>
        <sz val="7"/>
        <color theme="1"/>
        <rFont val="Calibri"/>
        <family val="2"/>
      </rPr>
      <t>E)</t>
    </r>
  </si>
  <si>
    <t>Mines</t>
  </si>
  <si>
    <t>Underground Mines</t>
  </si>
  <si>
    <t>+</t>
  </si>
  <si>
    <t>-</t>
  </si>
  <si>
    <t>Surface Coal Production
('000 short tons)</t>
  </si>
  <si>
    <r>
      <rPr>
        <b/>
        <sz val="7"/>
        <color theme="1"/>
        <rFont val="Calibri"/>
        <family val="2"/>
      </rPr>
      <t>Basin-specific EF
(ft</t>
    </r>
    <r>
      <rPr>
        <b/>
        <vertAlign val="superscript"/>
        <sz val="7"/>
        <color theme="1"/>
        <rFont val="Calibri"/>
        <family val="2"/>
      </rPr>
      <t>3</t>
    </r>
    <r>
      <rPr>
        <b/>
        <sz val="7"/>
        <color theme="1"/>
        <rFont val="Calibri"/>
        <family val="2"/>
      </rPr>
      <t>/short ton)</t>
    </r>
  </si>
  <si>
    <r>
      <rPr>
        <b/>
        <sz val="7"/>
        <color theme="1"/>
        <rFont val="Calibri"/>
        <family val="2"/>
      </rPr>
      <t>Emissions
('000 ft</t>
    </r>
    <r>
      <rPr>
        <b/>
        <vertAlign val="superscript"/>
        <sz val="7"/>
        <color theme="1"/>
        <rFont val="Calibri"/>
        <family val="2"/>
      </rPr>
      <t>3</t>
    </r>
    <r>
      <rPr>
        <b/>
        <sz val="7"/>
        <color theme="1"/>
        <rFont val="Calibri"/>
        <family val="2"/>
      </rPr>
      <t xml:space="preserve"> CH</t>
    </r>
    <r>
      <rPr>
        <b/>
        <vertAlign val="subscript"/>
        <sz val="7"/>
        <color theme="1"/>
        <rFont val="Calibri"/>
        <family val="2"/>
      </rPr>
      <t>4</t>
    </r>
    <r>
      <rPr>
        <b/>
        <sz val="7"/>
        <color theme="1"/>
        <rFont val="Calibri"/>
        <family val="2"/>
      </rPr>
      <t>)</t>
    </r>
  </si>
  <si>
    <r>
      <rPr>
        <b/>
        <sz val="7"/>
        <color theme="1"/>
        <rFont val="Calibri"/>
        <family val="2"/>
      </rPr>
      <t>Emissions
(MTCH</t>
    </r>
    <r>
      <rPr>
        <b/>
        <vertAlign val="subscript"/>
        <sz val="7"/>
        <color theme="1"/>
        <rFont val="Calibri"/>
        <family val="2"/>
      </rPr>
      <t>4</t>
    </r>
    <r>
      <rPr>
        <b/>
        <sz val="7"/>
        <color theme="1"/>
        <rFont val="Calibri"/>
        <family val="2"/>
      </rPr>
      <t>)</t>
    </r>
  </si>
  <si>
    <r>
      <rPr>
        <b/>
        <sz val="7"/>
        <color theme="1"/>
        <rFont val="Calibri"/>
        <family val="2"/>
      </rPr>
      <t>Emissions
(MTCO</t>
    </r>
    <r>
      <rPr>
        <b/>
        <vertAlign val="subscript"/>
        <sz val="7"/>
        <color theme="1"/>
        <rFont val="Calibri"/>
        <family val="2"/>
      </rPr>
      <t>2</t>
    </r>
    <r>
      <rPr>
        <b/>
        <sz val="7"/>
        <color theme="1"/>
        <rFont val="Calibri"/>
        <family val="2"/>
      </rPr>
      <t>E)</t>
    </r>
  </si>
  <si>
    <t>Surface Mines</t>
  </si>
  <si>
    <t>Northern Appalachian Basin</t>
  </si>
  <si>
    <t>---</t>
  </si>
  <si>
    <t>Post-Mining Activity</t>
  </si>
  <si>
    <t>Coal Production
('000 short tons)</t>
  </si>
  <si>
    <r>
      <rPr>
        <b/>
        <sz val="7"/>
        <color theme="1"/>
        <rFont val="Calibri"/>
        <family val="2"/>
      </rPr>
      <t>Basin- &amp; Mine-specific EF
(ft</t>
    </r>
    <r>
      <rPr>
        <b/>
        <vertAlign val="superscript"/>
        <sz val="7"/>
        <color theme="1"/>
        <rFont val="Calibri"/>
        <family val="2"/>
      </rPr>
      <t>3</t>
    </r>
    <r>
      <rPr>
        <b/>
        <sz val="7"/>
        <color theme="1"/>
        <rFont val="Calibri"/>
        <family val="2"/>
      </rPr>
      <t>/short ton)</t>
    </r>
  </si>
  <si>
    <r>
      <rPr>
        <b/>
        <sz val="7"/>
        <color theme="1"/>
        <rFont val="Calibri"/>
        <family val="2"/>
      </rPr>
      <t>Emissions
('000 ft</t>
    </r>
    <r>
      <rPr>
        <b/>
        <vertAlign val="superscript"/>
        <sz val="7"/>
        <color theme="1"/>
        <rFont val="Calibri"/>
        <family val="2"/>
      </rPr>
      <t>3</t>
    </r>
    <r>
      <rPr>
        <b/>
        <sz val="7"/>
        <color theme="1"/>
        <rFont val="Calibri"/>
        <family val="2"/>
      </rPr>
      <t xml:space="preserve"> CH</t>
    </r>
    <r>
      <rPr>
        <b/>
        <vertAlign val="subscript"/>
        <sz val="7"/>
        <color theme="1"/>
        <rFont val="Calibri"/>
        <family val="2"/>
      </rPr>
      <t>4</t>
    </r>
    <r>
      <rPr>
        <b/>
        <sz val="7"/>
        <color theme="1"/>
        <rFont val="Calibri"/>
        <family val="2"/>
      </rPr>
      <t>)</t>
    </r>
  </si>
  <si>
    <r>
      <rPr>
        <b/>
        <sz val="7"/>
        <color theme="1"/>
        <rFont val="Calibri"/>
        <family val="2"/>
      </rPr>
      <t>Emissions
(MTCH</t>
    </r>
    <r>
      <rPr>
        <b/>
        <vertAlign val="subscript"/>
        <sz val="7"/>
        <color theme="1"/>
        <rFont val="Calibri"/>
        <family val="2"/>
      </rPr>
      <t>4</t>
    </r>
    <r>
      <rPr>
        <b/>
        <sz val="7"/>
        <color theme="1"/>
        <rFont val="Calibri"/>
        <family val="2"/>
      </rPr>
      <t>)</t>
    </r>
  </si>
  <si>
    <r>
      <rPr>
        <b/>
        <sz val="7"/>
        <color theme="1"/>
        <rFont val="Calibri"/>
        <family val="2"/>
      </rPr>
      <t>Emissions
(MTCO</t>
    </r>
    <r>
      <rPr>
        <b/>
        <vertAlign val="subscript"/>
        <sz val="7"/>
        <color theme="1"/>
        <rFont val="Calibri"/>
        <family val="2"/>
      </rPr>
      <t>2</t>
    </r>
    <r>
      <rPr>
        <b/>
        <sz val="7"/>
        <color theme="1"/>
        <rFont val="Calibri"/>
        <family val="2"/>
      </rPr>
      <t>E)</t>
    </r>
  </si>
  <si>
    <t>Post-Mining Total</t>
  </si>
  <si>
    <t>Total Coal Mining</t>
  </si>
  <si>
    <r>
      <rPr>
        <b/>
        <sz val="7"/>
        <color theme="1"/>
        <rFont val="Calibri"/>
        <family val="2"/>
      </rPr>
      <t>(MTCO</t>
    </r>
    <r>
      <rPr>
        <b/>
        <vertAlign val="subscript"/>
        <sz val="7"/>
        <color theme="1"/>
        <rFont val="Calibri"/>
        <family val="2"/>
      </rPr>
      <t>2</t>
    </r>
    <r>
      <rPr>
        <b/>
        <sz val="7"/>
        <color theme="1"/>
        <rFont val="Calibri"/>
        <family val="2"/>
      </rPr>
      <t>E)</t>
    </r>
  </si>
  <si>
    <t>Maryland Abandoned Coal Mines Emissions Summary</t>
  </si>
  <si>
    <t>Default MD Abandoned Mine Emissions
Gg/Year</t>
  </si>
  <si>
    <t xml:space="preserve">Mine Status
Percent </t>
  </si>
  <si>
    <r>
      <rPr>
        <b/>
        <sz val="7"/>
        <color theme="1"/>
        <rFont val="Calibri"/>
        <family val="2"/>
      </rPr>
      <t>Emissions
(MTCH</t>
    </r>
    <r>
      <rPr>
        <b/>
        <vertAlign val="subscript"/>
        <sz val="7"/>
        <color theme="1"/>
        <rFont val="Calibri"/>
        <family val="2"/>
      </rPr>
      <t>4</t>
    </r>
    <r>
      <rPr>
        <b/>
        <sz val="7"/>
        <color theme="1"/>
        <rFont val="Calibri"/>
        <family val="2"/>
      </rPr>
      <t>)</t>
    </r>
  </si>
  <si>
    <r>
      <rPr>
        <b/>
        <sz val="7"/>
        <color theme="1"/>
        <rFont val="Calibri"/>
        <family val="2"/>
      </rPr>
      <t>Emissions
(MTCO</t>
    </r>
    <r>
      <rPr>
        <b/>
        <vertAlign val="subscript"/>
        <sz val="7"/>
        <color theme="1"/>
        <rFont val="Calibri"/>
        <family val="2"/>
      </rPr>
      <t>2</t>
    </r>
    <r>
      <rPr>
        <b/>
        <sz val="7"/>
        <color theme="1"/>
        <rFont val="Calibri"/>
        <family val="2"/>
      </rPr>
      <t>E)</t>
    </r>
  </si>
  <si>
    <t>Vented</t>
  </si>
  <si>
    <t>Sealed</t>
  </si>
  <si>
    <t>Flooded</t>
  </si>
  <si>
    <t>Maryland Coal Mines Emissions Summary</t>
  </si>
  <si>
    <r>
      <rPr>
        <b/>
        <sz val="8"/>
        <color theme="1"/>
        <rFont val="Calibri"/>
        <family val="2"/>
      </rPr>
      <t>Emissions (MMTCO</t>
    </r>
    <r>
      <rPr>
        <b/>
        <vertAlign val="subscript"/>
        <sz val="8"/>
        <color theme="1"/>
        <rFont val="Calibri"/>
        <family val="2"/>
      </rPr>
      <t>2</t>
    </r>
    <r>
      <rPr>
        <b/>
        <sz val="8"/>
        <color theme="1"/>
        <rFont val="Calibri"/>
        <family val="2"/>
      </rPr>
      <t>E)</t>
    </r>
  </si>
  <si>
    <t>Coal Mining</t>
  </si>
  <si>
    <t>Abandoned Coal Mines</t>
  </si>
  <si>
    <r>
      <rPr>
        <b/>
        <sz val="8"/>
        <color theme="1"/>
        <rFont val="Calibri"/>
        <family val="2"/>
      </rPr>
      <t>Emissions (MTCO</t>
    </r>
    <r>
      <rPr>
        <b/>
        <vertAlign val="subscript"/>
        <sz val="8"/>
        <color theme="1"/>
        <rFont val="Calibri"/>
        <family val="2"/>
      </rPr>
      <t>2</t>
    </r>
    <r>
      <rPr>
        <b/>
        <sz val="8"/>
        <color theme="1"/>
        <rFont val="Calibri"/>
        <family val="2"/>
      </rPr>
      <t>E)</t>
    </r>
  </si>
  <si>
    <r>
      <rPr>
        <b/>
        <sz val="8"/>
        <color theme="1"/>
        <rFont val="Calibri"/>
        <family val="2"/>
      </rPr>
      <t>Emissions by Gas (MTCH</t>
    </r>
    <r>
      <rPr>
        <b/>
        <vertAlign val="subscript"/>
        <sz val="8"/>
        <color theme="1"/>
        <rFont val="Calibri"/>
        <family val="2"/>
      </rPr>
      <t>4</t>
    </r>
    <r>
      <rPr>
        <b/>
        <sz val="8"/>
        <color theme="1"/>
        <rFont val="Calibri"/>
        <family val="2"/>
      </rPr>
      <t>)</t>
    </r>
  </si>
  <si>
    <t>Ninety-Sixth Annual Report of the Maryland Burea of Mines 2017</t>
  </si>
  <si>
    <t>https://mde.maryland.gov/programs/land/mining/pages/bureauofminesannualreports.aspx</t>
  </si>
  <si>
    <t>Maryland Wastewater Emissions Summary</t>
  </si>
  <si>
    <t>Maryland Municipal Wastewater Methane Emissions</t>
  </si>
  <si>
    <r>
      <rPr>
        <b/>
        <sz val="7"/>
        <color theme="1"/>
        <rFont val="Calibri"/>
        <family val="2"/>
      </rPr>
      <t>Per Capita BOD</t>
    </r>
    <r>
      <rPr>
        <b/>
        <vertAlign val="subscript"/>
        <sz val="7"/>
        <color theme="1"/>
        <rFont val="Calibri"/>
        <family val="2"/>
      </rPr>
      <t xml:space="preserve">5
</t>
    </r>
    <r>
      <rPr>
        <b/>
        <sz val="7"/>
        <color theme="1"/>
        <rFont val="Calibri"/>
        <family val="2"/>
      </rPr>
      <t>(kg/day)</t>
    </r>
  </si>
  <si>
    <t>Days per Year
(days)</t>
  </si>
  <si>
    <t>Unit Conversion
(metric tons/kg)</t>
  </si>
  <si>
    <r>
      <rPr>
        <b/>
        <sz val="7"/>
        <color theme="1"/>
        <rFont val="Calibri"/>
        <family val="2"/>
      </rPr>
      <t>Emission Factor
(Gg CH</t>
    </r>
    <r>
      <rPr>
        <b/>
        <vertAlign val="subscript"/>
        <sz val="7"/>
        <color theme="1"/>
        <rFont val="Calibri"/>
        <family val="2"/>
      </rPr>
      <t>4</t>
    </r>
    <r>
      <rPr>
        <b/>
        <sz val="7"/>
        <color theme="1"/>
        <rFont val="Calibri"/>
        <family val="2"/>
      </rPr>
      <t>/Gg BOD</t>
    </r>
    <r>
      <rPr>
        <b/>
        <vertAlign val="subscript"/>
        <sz val="7"/>
        <color theme="1"/>
        <rFont val="Calibri"/>
        <family val="2"/>
      </rPr>
      <t>5</t>
    </r>
    <r>
      <rPr>
        <b/>
        <sz val="7"/>
        <color theme="1"/>
        <rFont val="Calibri"/>
        <family val="2"/>
      </rPr>
      <t>)</t>
    </r>
  </si>
  <si>
    <r>
      <rPr>
        <b/>
        <sz val="7"/>
        <color theme="1"/>
        <rFont val="Calibri"/>
        <family val="2"/>
      </rPr>
      <t>WW BOD</t>
    </r>
    <r>
      <rPr>
        <b/>
        <vertAlign val="subscript"/>
        <sz val="7"/>
        <color theme="1"/>
        <rFont val="Calibri"/>
        <family val="2"/>
      </rPr>
      <t>5</t>
    </r>
    <r>
      <rPr>
        <b/>
        <sz val="7"/>
        <color theme="1"/>
        <rFont val="Calibri"/>
        <family val="2"/>
      </rPr>
      <t xml:space="preserve"> anaerobically digested
(percent)</t>
    </r>
  </si>
  <si>
    <r>
      <rPr>
        <b/>
        <sz val="7"/>
        <color theme="1"/>
        <rFont val="Calibri"/>
        <family val="2"/>
      </rPr>
      <t>Emissions
(metric tons CH</t>
    </r>
    <r>
      <rPr>
        <b/>
        <vertAlign val="subscript"/>
        <sz val="7"/>
        <color theme="1"/>
        <rFont val="Calibri"/>
        <family val="2"/>
      </rPr>
      <t>4</t>
    </r>
    <r>
      <rPr>
        <b/>
        <sz val="7"/>
        <color theme="1"/>
        <rFont val="Calibri"/>
        <family val="2"/>
      </rPr>
      <t>)</t>
    </r>
  </si>
  <si>
    <r>
      <rPr>
        <b/>
        <sz val="7"/>
        <color theme="1"/>
        <rFont val="Calibri"/>
        <family val="2"/>
      </rPr>
      <t>CH</t>
    </r>
    <r>
      <rPr>
        <b/>
        <vertAlign val="subscript"/>
        <sz val="7"/>
        <color theme="1"/>
        <rFont val="Calibri"/>
        <family val="2"/>
      </rPr>
      <t xml:space="preserve">4 </t>
    </r>
    <r>
      <rPr>
        <b/>
        <sz val="7"/>
        <color theme="1"/>
        <rFont val="Calibri"/>
        <family val="2"/>
      </rPr>
      <t>GWP
(CO</t>
    </r>
    <r>
      <rPr>
        <b/>
        <vertAlign val="subscript"/>
        <sz val="7"/>
        <color theme="1"/>
        <rFont val="Calibri"/>
        <family val="2"/>
      </rPr>
      <t>2</t>
    </r>
    <r>
      <rPr>
        <b/>
        <sz val="7"/>
        <color theme="1"/>
        <rFont val="Calibri"/>
        <family val="2"/>
      </rPr>
      <t xml:space="preserve"> Eq.)</t>
    </r>
  </si>
  <si>
    <t>Unit Conversion
(MMT/MT)</t>
  </si>
  <si>
    <r>
      <rPr>
        <b/>
        <sz val="7"/>
        <color theme="1"/>
        <rFont val="Calibri"/>
        <family val="2"/>
      </rPr>
      <t>C/CO</t>
    </r>
    <r>
      <rPr>
        <b/>
        <vertAlign val="subscript"/>
        <sz val="7"/>
        <color theme="1"/>
        <rFont val="Calibri"/>
        <family val="2"/>
      </rPr>
      <t>2</t>
    </r>
  </si>
  <si>
    <t>Emissions
(MMTCE)</t>
  </si>
  <si>
    <r>
      <rPr>
        <b/>
        <sz val="7"/>
        <color theme="1"/>
        <rFont val="Calibri"/>
        <family val="2"/>
      </rPr>
      <t>Emissions
(MMTCO</t>
    </r>
    <r>
      <rPr>
        <b/>
        <vertAlign val="subscript"/>
        <sz val="7"/>
        <color theme="1"/>
        <rFont val="Calibri"/>
        <family val="2"/>
      </rPr>
      <t>2</t>
    </r>
    <r>
      <rPr>
        <b/>
        <sz val="7"/>
        <color theme="1"/>
        <rFont val="Calibri"/>
        <family val="2"/>
      </rPr>
      <t>E)</t>
    </r>
  </si>
  <si>
    <t>Maryland Direct Nitrous Oxide Emissions from Municipal Wastewater Treatment</t>
  </si>
  <si>
    <t>Fraction of Population not on Septic</t>
  </si>
  <si>
    <r>
      <rPr>
        <b/>
        <sz val="7"/>
        <color theme="1"/>
        <rFont val="Calibri"/>
        <family val="2"/>
      </rPr>
      <t>Direct N</t>
    </r>
    <r>
      <rPr>
        <b/>
        <vertAlign val="subscript"/>
        <sz val="7"/>
        <color theme="1"/>
        <rFont val="Calibri"/>
        <family val="2"/>
      </rPr>
      <t>2</t>
    </r>
    <r>
      <rPr>
        <b/>
        <sz val="7"/>
        <color theme="1"/>
        <rFont val="Calibri"/>
        <family val="2"/>
      </rPr>
      <t>O Emissions from Wastewater Treatment
 (g N</t>
    </r>
    <r>
      <rPr>
        <b/>
        <vertAlign val="subscript"/>
        <sz val="7"/>
        <color theme="1"/>
        <rFont val="Calibri"/>
        <family val="2"/>
      </rPr>
      <t>2</t>
    </r>
    <r>
      <rPr>
        <b/>
        <sz val="7"/>
        <color theme="1"/>
        <rFont val="Calibri"/>
        <family val="2"/>
      </rPr>
      <t>O/person/year)</t>
    </r>
  </si>
  <si>
    <t>Unit Conversion
(g/metric ton)</t>
  </si>
  <si>
    <r>
      <rPr>
        <b/>
        <sz val="7"/>
        <color theme="1"/>
        <rFont val="Calibri"/>
        <family val="2"/>
      </rPr>
      <t>Emissions
(Metric Tons N</t>
    </r>
    <r>
      <rPr>
        <b/>
        <vertAlign val="subscript"/>
        <sz val="7"/>
        <color theme="1"/>
        <rFont val="Calibri"/>
        <family val="2"/>
      </rPr>
      <t>2</t>
    </r>
    <r>
      <rPr>
        <b/>
        <sz val="7"/>
        <color theme="1"/>
        <rFont val="Calibri"/>
        <family val="2"/>
      </rPr>
      <t>O)</t>
    </r>
  </si>
  <si>
    <r>
      <rPr>
        <b/>
        <sz val="7"/>
        <color theme="1"/>
        <rFont val="Calibri"/>
        <family val="2"/>
      </rPr>
      <t>N</t>
    </r>
    <r>
      <rPr>
        <b/>
        <vertAlign val="subscript"/>
        <sz val="7"/>
        <color theme="1"/>
        <rFont val="Calibri"/>
        <family val="2"/>
      </rPr>
      <t>2</t>
    </r>
    <r>
      <rPr>
        <b/>
        <sz val="7"/>
        <color theme="1"/>
        <rFont val="Calibri"/>
        <family val="2"/>
      </rPr>
      <t>O GWP
(CO</t>
    </r>
    <r>
      <rPr>
        <b/>
        <vertAlign val="subscript"/>
        <sz val="7"/>
        <color theme="1"/>
        <rFont val="Calibri"/>
        <family val="2"/>
      </rPr>
      <t>2</t>
    </r>
    <r>
      <rPr>
        <b/>
        <sz val="7"/>
        <color theme="1"/>
        <rFont val="Calibri"/>
        <family val="2"/>
      </rPr>
      <t xml:space="preserve"> Eq.)</t>
    </r>
  </si>
  <si>
    <t xml:space="preserve">Unit Conversion
(MMT/MT)
</t>
  </si>
  <si>
    <r>
      <rPr>
        <b/>
        <sz val="7"/>
        <color theme="1"/>
        <rFont val="Calibri"/>
        <family val="2"/>
      </rPr>
      <t>C/CO</t>
    </r>
    <r>
      <rPr>
        <b/>
        <vertAlign val="subscript"/>
        <sz val="7"/>
        <color theme="1"/>
        <rFont val="Calibri"/>
        <family val="2"/>
      </rPr>
      <t>2</t>
    </r>
  </si>
  <si>
    <r>
      <rPr>
        <b/>
        <sz val="7"/>
        <color theme="1"/>
        <rFont val="Calibri"/>
        <family val="2"/>
      </rPr>
      <t>Emissions
(MMTCO</t>
    </r>
    <r>
      <rPr>
        <b/>
        <vertAlign val="subscript"/>
        <sz val="7"/>
        <color theme="1"/>
        <rFont val="Calibri"/>
        <family val="2"/>
      </rPr>
      <t>2</t>
    </r>
    <r>
      <rPr>
        <b/>
        <sz val="7"/>
        <color theme="1"/>
        <rFont val="Calibri"/>
        <family val="2"/>
      </rPr>
      <t>E)</t>
    </r>
  </si>
  <si>
    <t>Maryland Effulent Nitrous Oxide Emissions from Municipal Wastewater Treatment</t>
  </si>
  <si>
    <t>Protein
(kg/ person/ year)</t>
  </si>
  <si>
    <r>
      <rPr>
        <b/>
        <sz val="7"/>
        <color theme="1"/>
        <rFont val="Comic Sans MS"/>
        <family val="4"/>
      </rPr>
      <t>Frac</t>
    </r>
    <r>
      <rPr>
        <b/>
        <vertAlign val="subscript"/>
        <sz val="7"/>
        <color theme="1"/>
        <rFont val="Comic Sans MS"/>
        <family val="4"/>
      </rPr>
      <t xml:space="preserve">NPR 
</t>
    </r>
    <r>
      <rPr>
        <b/>
        <sz val="7"/>
        <color theme="1"/>
        <rFont val="Comic Sans MS"/>
        <family val="4"/>
      </rPr>
      <t xml:space="preserve">(kg N/kg protein) </t>
    </r>
  </si>
  <si>
    <t>Fraction Non-Consumption N</t>
  </si>
  <si>
    <t>N in Domestic Wastewater
(metric tons)</t>
  </si>
  <si>
    <t>Direct N Emissions from Domestic Wastewater
(metric tons)</t>
  </si>
  <si>
    <t>Biosolids Available N
(metric tons)</t>
  </si>
  <si>
    <t>Percentage of Biosolids Used as Fertilizer</t>
  </si>
  <si>
    <r>
      <rPr>
        <b/>
        <sz val="7"/>
        <color theme="1"/>
        <rFont val="Comic Sans MS"/>
        <family val="4"/>
      </rPr>
      <t>Emission Factor
(kg N</t>
    </r>
    <r>
      <rPr>
        <b/>
        <vertAlign val="subscript"/>
        <sz val="7"/>
        <color theme="1"/>
        <rFont val="Comic Sans MS"/>
        <family val="4"/>
      </rPr>
      <t>2</t>
    </r>
    <r>
      <rPr>
        <b/>
        <sz val="7"/>
        <color theme="1"/>
        <rFont val="Comic Sans MS"/>
        <family val="4"/>
      </rPr>
      <t xml:space="preserve">O-N/ kg sewage N-produced) </t>
    </r>
  </si>
  <si>
    <r>
      <rPr>
        <b/>
        <sz val="7"/>
        <color theme="1"/>
        <rFont val="Comic Sans MS"/>
        <family val="4"/>
      </rPr>
      <t>N</t>
    </r>
    <r>
      <rPr>
        <b/>
        <vertAlign val="subscript"/>
        <sz val="7"/>
        <color theme="1"/>
        <rFont val="Comic Sans MS"/>
        <family val="4"/>
      </rPr>
      <t>2</t>
    </r>
    <r>
      <rPr>
        <b/>
        <sz val="7"/>
        <color theme="1"/>
        <rFont val="Comic Sans MS"/>
        <family val="4"/>
      </rPr>
      <t>O/N</t>
    </r>
    <r>
      <rPr>
        <b/>
        <vertAlign val="subscript"/>
        <sz val="7"/>
        <color theme="1"/>
        <rFont val="Comic Sans MS"/>
        <family val="4"/>
      </rPr>
      <t>2</t>
    </r>
  </si>
  <si>
    <r>
      <rPr>
        <b/>
        <sz val="7"/>
        <color theme="1"/>
        <rFont val="Comic Sans MS"/>
        <family val="4"/>
      </rPr>
      <t>Emissions 
(metric tons N</t>
    </r>
    <r>
      <rPr>
        <b/>
        <vertAlign val="subscript"/>
        <sz val="7"/>
        <color theme="1"/>
        <rFont val="Comic Sans MS"/>
        <family val="4"/>
      </rPr>
      <t>2</t>
    </r>
    <r>
      <rPr>
        <b/>
        <sz val="7"/>
        <color theme="1"/>
        <rFont val="Comic Sans MS"/>
        <family val="4"/>
      </rPr>
      <t>O)</t>
    </r>
  </si>
  <si>
    <r>
      <rPr>
        <b/>
        <sz val="7"/>
        <color theme="1"/>
        <rFont val="Comic Sans MS"/>
        <family val="4"/>
      </rPr>
      <t>N</t>
    </r>
    <r>
      <rPr>
        <b/>
        <vertAlign val="subscript"/>
        <sz val="7"/>
        <color theme="1"/>
        <rFont val="Comic Sans MS"/>
        <family val="4"/>
      </rPr>
      <t>2</t>
    </r>
    <r>
      <rPr>
        <b/>
        <sz val="7"/>
        <color theme="1"/>
        <rFont val="Comic Sans MS"/>
        <family val="4"/>
      </rPr>
      <t>O GWP
(CO2 Eq.)</t>
    </r>
  </si>
  <si>
    <r>
      <rPr>
        <b/>
        <sz val="7"/>
        <color theme="1"/>
        <rFont val="Comic Sans MS"/>
        <family val="4"/>
      </rPr>
      <t>C/CO</t>
    </r>
    <r>
      <rPr>
        <b/>
        <vertAlign val="subscript"/>
        <sz val="7"/>
        <color theme="1"/>
        <rFont val="Comic Sans MS"/>
        <family val="4"/>
      </rPr>
      <t>2</t>
    </r>
  </si>
  <si>
    <t>Emissions from Biosolids
(MMTCE)</t>
  </si>
  <si>
    <t>Direct Emissions
(MMTCE)</t>
  </si>
  <si>
    <t>Total Emissions
(MMTCE)</t>
  </si>
  <si>
    <t>Emission
(MMTCO2E)</t>
  </si>
  <si>
    <t>(MMT/MT)</t>
  </si>
  <si>
    <r>
      <rPr>
        <b/>
        <sz val="12"/>
        <color rgb="FF000000"/>
        <rFont val="Comic Sans MS"/>
        <family val="4"/>
      </rPr>
      <t>Maryland Industrial Wastewater Methane Emissions - CH</t>
    </r>
    <r>
      <rPr>
        <b/>
        <vertAlign val="subscript"/>
        <sz val="12"/>
        <color rgb="FF000000"/>
        <rFont val="Comic Sans MS"/>
        <family val="4"/>
      </rPr>
      <t>4</t>
    </r>
  </si>
  <si>
    <t>Production Processed</t>
  </si>
  <si>
    <t xml:space="preserve">WW Outflow </t>
  </si>
  <si>
    <t>Unit Conversion</t>
  </si>
  <si>
    <t xml:space="preserve">COD </t>
  </si>
  <si>
    <t>COD Degraded</t>
  </si>
  <si>
    <r>
      <rPr>
        <b/>
        <sz val="7"/>
        <color theme="1"/>
        <rFont val="Comic Sans MS"/>
        <family val="4"/>
      </rPr>
      <t>CH</t>
    </r>
    <r>
      <rPr>
        <b/>
        <vertAlign val="subscript"/>
        <sz val="7"/>
        <color theme="1"/>
        <rFont val="Comic Sans MS"/>
        <family val="4"/>
      </rPr>
      <t>4</t>
    </r>
    <r>
      <rPr>
        <b/>
        <sz val="7"/>
        <color theme="1"/>
        <rFont val="Comic Sans MS"/>
        <family val="4"/>
      </rPr>
      <t xml:space="preserve"> GWP</t>
    </r>
  </si>
  <si>
    <r>
      <rPr>
        <b/>
        <sz val="7"/>
        <color theme="1"/>
        <rFont val="Comic Sans MS"/>
        <family val="4"/>
      </rPr>
      <t>C/CO</t>
    </r>
    <r>
      <rPr>
        <b/>
        <vertAlign val="subscript"/>
        <sz val="7"/>
        <color theme="1"/>
        <rFont val="Comic Sans MS"/>
        <family val="4"/>
      </rPr>
      <t>2</t>
    </r>
  </si>
  <si>
    <r>
      <rPr>
        <sz val="7"/>
        <color theme="1"/>
        <rFont val="Comic Sans MS"/>
        <family val="4"/>
      </rPr>
      <t>(m</t>
    </r>
    <r>
      <rPr>
        <vertAlign val="superscript"/>
        <sz val="7"/>
        <color theme="1"/>
        <rFont val="Comic Sans MS"/>
        <family val="4"/>
      </rPr>
      <t>3</t>
    </r>
    <r>
      <rPr>
        <sz val="7"/>
        <color theme="1"/>
        <rFont val="Comic Sans MS"/>
        <family val="4"/>
      </rPr>
      <t>/metric ton)</t>
    </r>
  </si>
  <si>
    <r>
      <rPr>
        <sz val="7"/>
        <color theme="1"/>
        <rFont val="Comic Sans MS"/>
        <family val="4"/>
      </rPr>
      <t>(l/m</t>
    </r>
    <r>
      <rPr>
        <vertAlign val="superscript"/>
        <sz val="7"/>
        <color theme="1"/>
        <rFont val="Comic Sans MS"/>
        <family val="4"/>
      </rPr>
      <t>3</t>
    </r>
    <r>
      <rPr>
        <sz val="7"/>
        <color theme="1"/>
        <rFont val="Comic Sans MS"/>
        <family val="4"/>
      </rPr>
      <t>)</t>
    </r>
  </si>
  <si>
    <t>(g COD/l)</t>
  </si>
  <si>
    <r>
      <rPr>
        <sz val="7"/>
        <color theme="1"/>
        <rFont val="Comic Sans MS"/>
        <family val="4"/>
      </rPr>
      <t>(g CH</t>
    </r>
    <r>
      <rPr>
        <vertAlign val="subscript"/>
        <sz val="7"/>
        <color theme="1"/>
        <rFont val="Comic Sans MS"/>
        <family val="4"/>
      </rPr>
      <t>4</t>
    </r>
    <r>
      <rPr>
        <sz val="7"/>
        <color theme="1"/>
        <rFont val="Comic Sans MS"/>
        <family val="4"/>
      </rPr>
      <t>/g COD)</t>
    </r>
  </si>
  <si>
    <t>(percent)</t>
  </si>
  <si>
    <r>
      <rPr>
        <sz val="7"/>
        <color theme="1"/>
        <rFont val="Comic Sans MS"/>
        <family val="4"/>
      </rPr>
      <t>(g CH</t>
    </r>
    <r>
      <rPr>
        <vertAlign val="subscript"/>
        <sz val="7"/>
        <color theme="1"/>
        <rFont val="Comic Sans MS"/>
        <family val="4"/>
      </rPr>
      <t>4</t>
    </r>
    <r>
      <rPr>
        <sz val="7"/>
        <color theme="1"/>
        <rFont val="Comic Sans MS"/>
        <family val="4"/>
      </rPr>
      <t>)</t>
    </r>
  </si>
  <si>
    <t>(g/Tg)</t>
  </si>
  <si>
    <r>
      <rPr>
        <sz val="7"/>
        <color theme="1"/>
        <rFont val="Comic Sans MS"/>
        <family val="4"/>
      </rPr>
      <t>(Tg or MMT CH</t>
    </r>
    <r>
      <rPr>
        <vertAlign val="subscript"/>
        <sz val="7"/>
        <color theme="1"/>
        <rFont val="Comic Sans MS"/>
        <family val="4"/>
      </rPr>
      <t>4</t>
    </r>
    <r>
      <rPr>
        <sz val="7"/>
        <color theme="1"/>
        <rFont val="Comic Sans MS"/>
        <family val="4"/>
      </rPr>
      <t>)</t>
    </r>
  </si>
  <si>
    <r>
      <rPr>
        <sz val="7"/>
        <color theme="1"/>
        <rFont val="Comic Sans MS"/>
        <family val="4"/>
      </rPr>
      <t>(CO</t>
    </r>
    <r>
      <rPr>
        <vertAlign val="subscript"/>
        <sz val="7"/>
        <color theme="1"/>
        <rFont val="Comic Sans MS"/>
        <family val="4"/>
      </rPr>
      <t>2</t>
    </r>
    <r>
      <rPr>
        <sz val="7"/>
        <color theme="1"/>
        <rFont val="Comic Sans MS"/>
        <family val="4"/>
      </rPr>
      <t xml:space="preserve"> Eq.)</t>
    </r>
  </si>
  <si>
    <r>
      <rPr>
        <sz val="7"/>
        <color theme="1"/>
        <rFont val="Comic Sans MS"/>
        <family val="4"/>
      </rPr>
      <t>(MMTCO</t>
    </r>
    <r>
      <rPr>
        <vertAlign val="subscript"/>
        <sz val="7"/>
        <color theme="1"/>
        <rFont val="Comic Sans MS"/>
        <family val="4"/>
      </rPr>
      <t>2</t>
    </r>
    <r>
      <rPr>
        <sz val="7"/>
        <color theme="1"/>
        <rFont val="Comic Sans MS"/>
        <family val="4"/>
      </rPr>
      <t>E)</t>
    </r>
  </si>
  <si>
    <t>Emissions were not calculated for the following sources: Industrial fruits &amp; vegetables, Industrial poultry, and Industrial pulp &amp; paper.</t>
  </si>
  <si>
    <r>
      <rPr>
        <b/>
        <sz val="8"/>
        <color theme="1"/>
        <rFont val="Comic Sans MS"/>
        <family val="4"/>
      </rPr>
      <t>Emissions (MMTCO</t>
    </r>
    <r>
      <rPr>
        <b/>
        <vertAlign val="subscript"/>
        <sz val="8"/>
        <color theme="1"/>
        <rFont val="Comic Sans MS"/>
        <family val="4"/>
      </rPr>
      <t>2</t>
    </r>
    <r>
      <rPr>
        <b/>
        <sz val="8"/>
        <color theme="1"/>
        <rFont val="Comic Sans MS"/>
        <family val="4"/>
      </rPr>
      <t>E)</t>
    </r>
  </si>
  <si>
    <r>
      <rPr>
        <sz val="8"/>
        <color theme="1"/>
        <rFont val="Comic Sans MS"/>
        <family val="4"/>
      </rPr>
      <t>Municipal CH</t>
    </r>
    <r>
      <rPr>
        <vertAlign val="subscript"/>
        <sz val="8"/>
        <color theme="1"/>
        <rFont val="Comic Sans MS"/>
        <family val="4"/>
      </rPr>
      <t>4</t>
    </r>
  </si>
  <si>
    <r>
      <rPr>
        <sz val="8"/>
        <color theme="1"/>
        <rFont val="Comic Sans MS"/>
        <family val="4"/>
      </rPr>
      <t>Municipal N</t>
    </r>
    <r>
      <rPr>
        <vertAlign val="subscript"/>
        <sz val="8"/>
        <color theme="1"/>
        <rFont val="Comic Sans MS"/>
        <family val="4"/>
      </rPr>
      <t>2</t>
    </r>
    <r>
      <rPr>
        <sz val="8"/>
        <color theme="1"/>
        <rFont val="Comic Sans MS"/>
        <family val="4"/>
      </rPr>
      <t>O</t>
    </r>
  </si>
  <si>
    <r>
      <rPr>
        <sz val="8"/>
        <color theme="1"/>
        <rFont val="Comic Sans MS"/>
        <family val="4"/>
      </rPr>
      <t>Industrial CH</t>
    </r>
    <r>
      <rPr>
        <vertAlign val="subscript"/>
        <sz val="8"/>
        <color theme="1"/>
        <rFont val="Comic Sans MS"/>
        <family val="4"/>
      </rPr>
      <t>4</t>
    </r>
  </si>
  <si>
    <t>Fruits &amp; Vegetables</t>
  </si>
  <si>
    <t>Red Meat</t>
  </si>
  <si>
    <t>Poultry</t>
  </si>
  <si>
    <t>Pulp &amp; Paper</t>
  </si>
  <si>
    <t>Total Emissions</t>
  </si>
  <si>
    <t>Agricultural Emissions in Maryland</t>
  </si>
  <si>
    <t>Enteric Fermentation Emissions</t>
  </si>
  <si>
    <t>Number of Animals
('000 head)</t>
  </si>
  <si>
    <r>
      <rPr>
        <b/>
        <sz val="7"/>
        <color theme="1"/>
        <rFont val="Arial"/>
        <family val="2"/>
      </rPr>
      <t>Emission Factor
(kg CH</t>
    </r>
    <r>
      <rPr>
        <b/>
        <vertAlign val="subscript"/>
        <sz val="7"/>
        <color theme="1"/>
        <rFont val="Arial"/>
        <family val="2"/>
      </rPr>
      <t>4</t>
    </r>
    <r>
      <rPr>
        <b/>
        <sz val="7"/>
        <color theme="1"/>
        <rFont val="Arial"/>
        <family val="2"/>
      </rPr>
      <t>/head)</t>
    </r>
  </si>
  <si>
    <r>
      <rPr>
        <b/>
        <sz val="7"/>
        <color theme="1"/>
        <rFont val="Arial"/>
        <family val="2"/>
      </rPr>
      <t>Emissions
(kg CH</t>
    </r>
    <r>
      <rPr>
        <b/>
        <vertAlign val="subscript"/>
        <sz val="7"/>
        <color theme="1"/>
        <rFont val="Arial"/>
        <family val="2"/>
      </rPr>
      <t>4</t>
    </r>
    <r>
      <rPr>
        <b/>
        <sz val="7"/>
        <color theme="1"/>
        <rFont val="Arial"/>
        <family val="2"/>
      </rPr>
      <t>)</t>
    </r>
  </si>
  <si>
    <r>
      <rPr>
        <b/>
        <sz val="7"/>
        <color theme="1"/>
        <rFont val="Arial"/>
        <family val="2"/>
      </rPr>
      <t>Emissions
(MMTCH</t>
    </r>
    <r>
      <rPr>
        <b/>
        <vertAlign val="subscript"/>
        <sz val="7"/>
        <color theme="1"/>
        <rFont val="Arial"/>
        <family val="2"/>
      </rPr>
      <t>4</t>
    </r>
    <r>
      <rPr>
        <b/>
        <sz val="7"/>
        <color theme="1"/>
        <rFont val="Arial"/>
        <family val="2"/>
      </rPr>
      <t>)</t>
    </r>
  </si>
  <si>
    <r>
      <rPr>
        <b/>
        <sz val="7"/>
        <color theme="1"/>
        <rFont val="Arial"/>
        <family val="2"/>
      </rPr>
      <t>Emissions
(MMTCO</t>
    </r>
    <r>
      <rPr>
        <b/>
        <vertAlign val="subscript"/>
        <sz val="7"/>
        <color theme="1"/>
        <rFont val="Arial"/>
        <family val="2"/>
      </rPr>
      <t>2</t>
    </r>
    <r>
      <rPr>
        <b/>
        <sz val="7"/>
        <color theme="1"/>
        <rFont val="Arial"/>
        <family val="2"/>
      </rPr>
      <t>E)</t>
    </r>
  </si>
  <si>
    <t>Dairy Cattle</t>
  </si>
  <si>
    <t>Dairy Cows</t>
  </si>
  <si>
    <t>Dairy Replacement Heifers</t>
  </si>
  <si>
    <t xml:space="preserve">   Replacements 0-12 mos.</t>
  </si>
  <si>
    <t xml:space="preserve">   Replacements 12-24 mos.</t>
  </si>
  <si>
    <t>Beef Cattle</t>
  </si>
  <si>
    <t>Beef Cows</t>
  </si>
  <si>
    <t>Beef Replacement Heifers</t>
  </si>
  <si>
    <t>Heifer Stockers</t>
  </si>
  <si>
    <t>Steer Stockers</t>
  </si>
  <si>
    <t>Feedlot Heifers</t>
  </si>
  <si>
    <t>Feedlot Steer</t>
  </si>
  <si>
    <t>Bulls</t>
  </si>
  <si>
    <t>Sheep</t>
  </si>
  <si>
    <t>Goats</t>
  </si>
  <si>
    <t>Swine</t>
  </si>
  <si>
    <t>Horses</t>
  </si>
  <si>
    <t>TOTAL</t>
  </si>
  <si>
    <t>Manure Management Methane Emissions</t>
  </si>
  <si>
    <t>Number of Animals ('000 head)</t>
  </si>
  <si>
    <t>Typical Animal Mass (TAM) (kg)</t>
  </si>
  <si>
    <t>Volatile Solids (VS)  [kg VS/1000 kg animal mass/day]</t>
  </si>
  <si>
    <t>Total VS (kg/yr)</t>
  </si>
  <si>
    <r>
      <rPr>
        <b/>
        <sz val="7"/>
        <color theme="1"/>
        <rFont val="Comic Sans MS"/>
        <family val="4"/>
      </rPr>
      <t>Max Pot. Emissions (m</t>
    </r>
    <r>
      <rPr>
        <b/>
        <vertAlign val="superscript"/>
        <sz val="7"/>
        <color theme="1"/>
        <rFont val="Comic Sans MS"/>
        <family val="4"/>
      </rPr>
      <t>3</t>
    </r>
    <r>
      <rPr>
        <b/>
        <sz val="7"/>
        <color theme="1"/>
        <rFont val="Comic Sans MS"/>
        <family val="4"/>
      </rPr>
      <t xml:space="preserve"> CH</t>
    </r>
    <r>
      <rPr>
        <b/>
        <vertAlign val="subscript"/>
        <sz val="7"/>
        <color theme="1"/>
        <rFont val="Comic Sans MS"/>
        <family val="4"/>
      </rPr>
      <t>4</t>
    </r>
    <r>
      <rPr>
        <b/>
        <sz val="7"/>
        <color theme="1"/>
        <rFont val="Comic Sans MS"/>
        <family val="4"/>
      </rPr>
      <t>/ kg VS)</t>
    </r>
  </si>
  <si>
    <t>Weighted MCF</t>
  </si>
  <si>
    <r>
      <rPr>
        <b/>
        <sz val="7"/>
        <color theme="1"/>
        <rFont val="Comic Sans MS"/>
        <family val="4"/>
      </rPr>
      <t>Emissions      (m</t>
    </r>
    <r>
      <rPr>
        <b/>
        <vertAlign val="superscript"/>
        <sz val="7"/>
        <color theme="1"/>
        <rFont val="Comic Sans MS"/>
        <family val="4"/>
      </rPr>
      <t>3</t>
    </r>
    <r>
      <rPr>
        <b/>
        <sz val="7"/>
        <color theme="1"/>
        <rFont val="Comic Sans MS"/>
        <family val="4"/>
      </rPr>
      <t xml:space="preserve"> CH</t>
    </r>
    <r>
      <rPr>
        <b/>
        <vertAlign val="subscript"/>
        <sz val="7"/>
        <color theme="1"/>
        <rFont val="Comic Sans MS"/>
        <family val="4"/>
      </rPr>
      <t>4</t>
    </r>
    <r>
      <rPr>
        <b/>
        <sz val="7"/>
        <color theme="1"/>
        <rFont val="Comic Sans MS"/>
        <family val="4"/>
      </rPr>
      <t>)</t>
    </r>
  </si>
  <si>
    <r>
      <rPr>
        <b/>
        <sz val="7"/>
        <color theme="1"/>
        <rFont val="Comic Sans MS"/>
        <family val="4"/>
      </rPr>
      <t>Emissions (Metric Tons CH</t>
    </r>
    <r>
      <rPr>
        <b/>
        <vertAlign val="subscript"/>
        <sz val="7"/>
        <color theme="1"/>
        <rFont val="Comic Sans MS"/>
        <family val="4"/>
      </rPr>
      <t>4</t>
    </r>
    <r>
      <rPr>
        <b/>
        <sz val="7"/>
        <color theme="1"/>
        <rFont val="Comic Sans MS"/>
        <family val="4"/>
      </rPr>
      <t>)</t>
    </r>
  </si>
  <si>
    <r>
      <rPr>
        <b/>
        <sz val="7"/>
        <color theme="1"/>
        <rFont val="Comic Sans MS"/>
        <family val="4"/>
      </rPr>
      <t>Emissions (MMTCH</t>
    </r>
    <r>
      <rPr>
        <b/>
        <vertAlign val="subscript"/>
        <sz val="7"/>
        <color theme="1"/>
        <rFont val="Comic Sans MS"/>
        <family val="4"/>
      </rPr>
      <t>4</t>
    </r>
    <r>
      <rPr>
        <b/>
        <sz val="7"/>
        <color theme="1"/>
        <rFont val="Comic Sans MS"/>
        <family val="4"/>
      </rPr>
      <t>)</t>
    </r>
  </si>
  <si>
    <t>Emissions (MMTCE)</t>
  </si>
  <si>
    <r>
      <rPr>
        <b/>
        <sz val="7"/>
        <color theme="1"/>
        <rFont val="Comic Sans MS"/>
        <family val="4"/>
      </rPr>
      <t>Emissions  (MMTCO</t>
    </r>
    <r>
      <rPr>
        <b/>
        <vertAlign val="subscript"/>
        <sz val="7"/>
        <color theme="1"/>
        <rFont val="Arial"/>
        <family val="2"/>
      </rPr>
      <t>2</t>
    </r>
    <r>
      <rPr>
        <b/>
        <sz val="7"/>
        <color theme="1"/>
        <rFont val="Arial"/>
        <family val="2"/>
      </rPr>
      <t>E)</t>
    </r>
  </si>
  <si>
    <t>Calves</t>
  </si>
  <si>
    <t>Breeding Swine</t>
  </si>
  <si>
    <t>Market Under 60 lbs</t>
  </si>
  <si>
    <t>Market 60-119 lbs</t>
  </si>
  <si>
    <t>Market 120-179 lbs</t>
  </si>
  <si>
    <t>Market over 180 lbs</t>
  </si>
  <si>
    <t>Layers</t>
  </si>
  <si>
    <t>Hens &gt; 1 yr</t>
  </si>
  <si>
    <t>Pullets</t>
  </si>
  <si>
    <t>Chickens</t>
  </si>
  <si>
    <t>Broilers</t>
  </si>
  <si>
    <t>Turkeys</t>
  </si>
  <si>
    <t>Sheep on Feed</t>
  </si>
  <si>
    <t>Sheep Not on Feed</t>
  </si>
  <si>
    <r>
      <rPr>
        <sz val="12"/>
        <color theme="1"/>
        <rFont val="Comic Sans MS"/>
        <family val="4"/>
      </rPr>
      <t>Manure Management N</t>
    </r>
    <r>
      <rPr>
        <vertAlign val="subscript"/>
        <sz val="12"/>
        <color theme="1"/>
        <rFont val="Comic Sans MS"/>
        <family val="4"/>
      </rPr>
      <t>2</t>
    </r>
    <r>
      <rPr>
        <sz val="12"/>
        <color theme="1"/>
        <rFont val="Comic Sans MS"/>
        <family val="4"/>
      </rPr>
      <t>0 Emissions</t>
    </r>
  </si>
  <si>
    <t>Total K-Nitrogen Excreted
(kg)</t>
  </si>
  <si>
    <t>Unvolatilized N from Manure in Anaerobic Lagoons and Liquid Systems
(kg)</t>
  </si>
  <si>
    <t>Unvolatilized N from Manure in Solid Storage, Drylot &amp; Other Systems
(kg)</t>
  </si>
  <si>
    <t>Emissions from Anaerobic Lagoons and Liquid Systems
(kg N2O-N)</t>
  </si>
  <si>
    <t>Emissions from Solid Storage, Drylot, &amp; Other Systems
(kg N2O-N)</t>
  </si>
  <si>
    <r>
      <rPr>
        <b/>
        <sz val="7"/>
        <color theme="1"/>
        <rFont val="Arial"/>
        <family val="2"/>
      </rPr>
      <t>Total N</t>
    </r>
    <r>
      <rPr>
        <b/>
        <vertAlign val="subscript"/>
        <sz val="7"/>
        <color theme="1"/>
        <rFont val="Arial"/>
        <family val="2"/>
      </rPr>
      <t>2</t>
    </r>
    <r>
      <rPr>
        <b/>
        <sz val="7"/>
        <color theme="1"/>
        <rFont val="Arial"/>
        <family val="2"/>
      </rPr>
      <t>O Emissions
(kg N</t>
    </r>
    <r>
      <rPr>
        <b/>
        <vertAlign val="subscript"/>
        <sz val="7"/>
        <color theme="1"/>
        <rFont val="Arial"/>
        <family val="2"/>
      </rPr>
      <t>2</t>
    </r>
    <r>
      <rPr>
        <b/>
        <sz val="7"/>
        <color theme="1"/>
        <rFont val="Arial"/>
        <family val="2"/>
      </rPr>
      <t>O)</t>
    </r>
  </si>
  <si>
    <r>
      <rPr>
        <b/>
        <sz val="7"/>
        <color theme="1"/>
        <rFont val="Arial"/>
        <family val="2"/>
      </rPr>
      <t>Emissions
(MMTCO</t>
    </r>
    <r>
      <rPr>
        <b/>
        <vertAlign val="subscript"/>
        <sz val="7"/>
        <color theme="1"/>
        <rFont val="Arial"/>
        <family val="2"/>
      </rPr>
      <t>2</t>
    </r>
    <r>
      <rPr>
        <b/>
        <sz val="7"/>
        <color theme="1"/>
        <rFont val="Arial"/>
        <family val="2"/>
      </rPr>
      <t>E)</t>
    </r>
  </si>
  <si>
    <t>Dairy</t>
  </si>
  <si>
    <t xml:space="preserve"> </t>
  </si>
  <si>
    <t>Agriculture  Soils- Plant Residues &amp; Legumes in Maryland</t>
  </si>
  <si>
    <t>Legumes and Crop Residue Calculations</t>
  </si>
  <si>
    <t xml:space="preserve">Crop Production </t>
  </si>
  <si>
    <t>metric tons/bushel:</t>
  </si>
  <si>
    <t>Residue: Crop Mass Ratio</t>
  </si>
  <si>
    <t>Crop Production (metric tons)</t>
  </si>
  <si>
    <t>Residue Dry Matter Fraction</t>
  </si>
  <si>
    <t xml:space="preserve">Fraction Residue Applied </t>
  </si>
  <si>
    <t>Nitrogen Content of Residue</t>
  </si>
  <si>
    <t>Nitrogen Returned to Soil</t>
  </si>
  <si>
    <t>N content of Aboveground Biomass for N fixing</t>
  </si>
  <si>
    <t>N-Fixed by Crops (kg)</t>
  </si>
  <si>
    <t>EF Direct</t>
  </si>
  <si>
    <r>
      <rPr>
        <b/>
        <sz val="8"/>
        <color theme="1"/>
        <rFont val="Calibri"/>
        <family val="2"/>
      </rPr>
      <t>Direct N</t>
    </r>
    <r>
      <rPr>
        <b/>
        <vertAlign val="subscript"/>
        <sz val="8"/>
        <color theme="1"/>
        <rFont val="Calibri"/>
        <family val="2"/>
      </rPr>
      <t>2</t>
    </r>
    <r>
      <rPr>
        <b/>
        <sz val="8"/>
        <color theme="1"/>
        <rFont val="Calibri"/>
        <family val="2"/>
      </rPr>
      <t>O Emissions (metric tons N</t>
    </r>
    <r>
      <rPr>
        <b/>
        <vertAlign val="subscript"/>
        <sz val="8"/>
        <color theme="1"/>
        <rFont val="Calibri"/>
        <family val="2"/>
      </rPr>
      <t>2</t>
    </r>
    <r>
      <rPr>
        <b/>
        <sz val="8"/>
        <color theme="1"/>
        <rFont val="Calibri"/>
        <family val="2"/>
      </rPr>
      <t>O)</t>
    </r>
  </si>
  <si>
    <r>
      <rPr>
        <b/>
        <sz val="8"/>
        <color theme="1"/>
        <rFont val="Calibri"/>
        <family val="2"/>
      </rPr>
      <t>Direct Emissions</t>
    </r>
    <r>
      <rPr>
        <sz val="8"/>
        <color theme="1"/>
        <rFont val="Calibri"/>
        <family val="2"/>
      </rPr>
      <t xml:space="preserve"> (MMTCE)</t>
    </r>
  </si>
  <si>
    <r>
      <rPr>
        <b/>
        <sz val="8"/>
        <color theme="1"/>
        <rFont val="Calibri"/>
        <family val="2"/>
      </rPr>
      <t>Direct Emissions  (MMTCO</t>
    </r>
    <r>
      <rPr>
        <b/>
        <vertAlign val="subscript"/>
        <sz val="8"/>
        <color theme="1"/>
        <rFont val="Calibri"/>
        <family val="2"/>
      </rPr>
      <t>2</t>
    </r>
    <r>
      <rPr>
        <b/>
        <sz val="8"/>
        <color theme="1"/>
        <rFont val="Calibri"/>
        <family val="2"/>
      </rPr>
      <t>E)</t>
    </r>
  </si>
  <si>
    <t xml:space="preserve">Alfalfa  </t>
  </si>
  <si>
    <t>'000 tons</t>
  </si>
  <si>
    <t>Residues</t>
  </si>
  <si>
    <t xml:space="preserve">Corn for Grain </t>
  </si>
  <si>
    <t>'000 bushels</t>
  </si>
  <si>
    <t>Legumes</t>
  </si>
  <si>
    <t xml:space="preserve">All Wheat </t>
  </si>
  <si>
    <t xml:space="preserve">Barley </t>
  </si>
  <si>
    <t>Sorghum for Grain</t>
  </si>
  <si>
    <t>Oats</t>
  </si>
  <si>
    <t>Rye</t>
  </si>
  <si>
    <t>Millet</t>
  </si>
  <si>
    <t>Rice</t>
  </si>
  <si>
    <t>'000 hundred weight</t>
  </si>
  <si>
    <t xml:space="preserve">Soybeans </t>
  </si>
  <si>
    <t>Peanuts</t>
  </si>
  <si>
    <t>'000 lbs</t>
  </si>
  <si>
    <t>Dry Edible Beans</t>
  </si>
  <si>
    <t>Dry Edible Peas</t>
  </si>
  <si>
    <t>Austrian Winter Peas</t>
  </si>
  <si>
    <t>Lentils</t>
  </si>
  <si>
    <t>Wrinkled Seed Peas</t>
  </si>
  <si>
    <t>Red Clover</t>
  </si>
  <si>
    <t>White Clover</t>
  </si>
  <si>
    <t>Birdsfoot Trefoil</t>
  </si>
  <si>
    <t>Arrowleaf Clover</t>
  </si>
  <si>
    <t>Crimson Clover</t>
  </si>
  <si>
    <t>Agriculture Soils -  Plant Fertilizer Emissions in Maryland</t>
  </si>
  <si>
    <t>Fertilizer Calculations</t>
  </si>
  <si>
    <t>Growing Year Entry</t>
  </si>
  <si>
    <r>
      <rPr>
        <b/>
        <sz val="8"/>
        <color theme="1"/>
        <rFont val="Calibri"/>
        <family val="2"/>
      </rPr>
      <t>Total Fertilizer Use</t>
    </r>
    <r>
      <rPr>
        <sz val="8"/>
        <color theme="1"/>
        <rFont val="Calibri"/>
        <family val="2"/>
      </rPr>
      <t xml:space="preserve"> (kg N)</t>
    </r>
  </si>
  <si>
    <r>
      <rPr>
        <b/>
        <sz val="8"/>
        <color theme="1"/>
        <rFont val="Calibri"/>
        <family val="2"/>
      </rPr>
      <t xml:space="preserve">Total N in Fertilizers </t>
    </r>
    <r>
      <rPr>
        <sz val="8"/>
        <color theme="1"/>
        <rFont val="Calibri"/>
        <family val="2"/>
      </rPr>
      <t>(Calendar Year)</t>
    </r>
  </si>
  <si>
    <t>Volatilzation
(Percent)</t>
  </si>
  <si>
    <t>N Content of Non-Manure Organics</t>
  </si>
  <si>
    <r>
      <rPr>
        <b/>
        <sz val="8"/>
        <color theme="1"/>
        <rFont val="Calibri"/>
        <family val="2"/>
      </rPr>
      <t xml:space="preserve">Unvolatized N (kg)
</t>
    </r>
    <r>
      <rPr>
        <sz val="8"/>
        <color theme="1"/>
        <rFont val="Calibri"/>
        <family val="2"/>
      </rPr>
      <t>(kg)</t>
    </r>
  </si>
  <si>
    <r>
      <rPr>
        <b/>
        <sz val="8"/>
        <color theme="1"/>
        <rFont val="Calibri"/>
        <family val="2"/>
      </rPr>
      <t xml:space="preserve">Volatized N
</t>
    </r>
    <r>
      <rPr>
        <sz val="8"/>
        <color theme="1"/>
        <rFont val="Calibri"/>
        <family val="2"/>
      </rPr>
      <t>(kg)</t>
    </r>
  </si>
  <si>
    <r>
      <rPr>
        <b/>
        <sz val="8"/>
        <color theme="1"/>
        <rFont val="Calibri"/>
        <family val="2"/>
      </rPr>
      <t>Direct N</t>
    </r>
    <r>
      <rPr>
        <b/>
        <vertAlign val="subscript"/>
        <sz val="8"/>
        <color theme="1"/>
        <rFont val="Calibri"/>
        <family val="2"/>
      </rPr>
      <t>2</t>
    </r>
    <r>
      <rPr>
        <b/>
        <sz val="8"/>
        <color theme="1"/>
        <rFont val="Calibri"/>
        <family val="2"/>
      </rPr>
      <t>O Emissions
(metric tons)</t>
    </r>
  </si>
  <si>
    <r>
      <rPr>
        <b/>
        <sz val="8"/>
        <color theme="1"/>
        <rFont val="Calibri"/>
        <family val="2"/>
      </rPr>
      <t>Indirect N</t>
    </r>
    <r>
      <rPr>
        <b/>
        <vertAlign val="subscript"/>
        <sz val="8"/>
        <color theme="1"/>
        <rFont val="Calibri"/>
        <family val="2"/>
      </rPr>
      <t>2</t>
    </r>
    <r>
      <rPr>
        <b/>
        <sz val="8"/>
        <color theme="1"/>
        <rFont val="Calibri"/>
        <family val="2"/>
      </rPr>
      <t>O Emissions
(metric tons)</t>
    </r>
  </si>
  <si>
    <r>
      <rPr>
        <b/>
        <sz val="8"/>
        <color theme="1"/>
        <rFont val="Calibri"/>
        <family val="2"/>
      </rPr>
      <t xml:space="preserve">Direct Emissions
</t>
    </r>
    <r>
      <rPr>
        <sz val="8"/>
        <color theme="1"/>
        <rFont val="Calibri"/>
        <family val="2"/>
      </rPr>
      <t>(MMTCE)</t>
    </r>
  </si>
  <si>
    <r>
      <rPr>
        <b/>
        <sz val="8"/>
        <color theme="1"/>
        <rFont val="Calibri"/>
        <family val="2"/>
      </rPr>
      <t xml:space="preserve">Indirect Emissions
</t>
    </r>
    <r>
      <rPr>
        <sz val="8"/>
        <color theme="1"/>
        <rFont val="Calibri"/>
        <family val="2"/>
      </rPr>
      <t>(MMTCE)</t>
    </r>
  </si>
  <si>
    <r>
      <rPr>
        <b/>
        <sz val="8"/>
        <color theme="1"/>
        <rFont val="Calibri"/>
        <family val="2"/>
      </rPr>
      <t>Direct Emissions
(MMTCO</t>
    </r>
    <r>
      <rPr>
        <b/>
        <vertAlign val="subscript"/>
        <sz val="8"/>
        <color theme="1"/>
        <rFont val="Calibri"/>
        <family val="2"/>
      </rPr>
      <t>2</t>
    </r>
    <r>
      <rPr>
        <b/>
        <sz val="8"/>
        <color theme="1"/>
        <rFont val="Calibri"/>
        <family val="2"/>
      </rPr>
      <t>E)</t>
    </r>
  </si>
  <si>
    <r>
      <rPr>
        <b/>
        <sz val="8"/>
        <color theme="1"/>
        <rFont val="Calibri"/>
        <family val="2"/>
      </rPr>
      <t>Indirect Emissions
(MMTCO</t>
    </r>
    <r>
      <rPr>
        <b/>
        <vertAlign val="subscript"/>
        <sz val="8"/>
        <color theme="1"/>
        <rFont val="Calibri"/>
        <family val="2"/>
      </rPr>
      <t>2</t>
    </r>
    <r>
      <rPr>
        <b/>
        <sz val="8"/>
        <color theme="1"/>
        <rFont val="Calibri"/>
        <family val="2"/>
      </rPr>
      <t>E)</t>
    </r>
  </si>
  <si>
    <t xml:space="preserve">Synthetic </t>
  </si>
  <si>
    <t xml:space="preserve">Organic  </t>
  </si>
  <si>
    <t>Dried Blood</t>
  </si>
  <si>
    <t>Compost</t>
  </si>
  <si>
    <t>Dried Manure</t>
  </si>
  <si>
    <t>Activated Sewage Sludge</t>
  </si>
  <si>
    <t>Other Sewage Sludge</t>
  </si>
  <si>
    <t>Tankage</t>
  </si>
  <si>
    <t xml:space="preserve">Other </t>
  </si>
  <si>
    <t>Dried Manure %</t>
  </si>
  <si>
    <t>Non-Manure Organics</t>
  </si>
  <si>
    <t>Manure Organics</t>
  </si>
  <si>
    <r>
      <rPr>
        <b/>
        <sz val="8"/>
        <color theme="1"/>
        <rFont val="Calibri"/>
        <family val="2"/>
      </rPr>
      <t>Total Fertilizer Use</t>
    </r>
    <r>
      <rPr>
        <sz val="8"/>
        <color theme="1"/>
        <rFont val="Calibri"/>
        <family val="2"/>
      </rPr>
      <t xml:space="preserve"> (kg N)</t>
    </r>
  </si>
  <si>
    <t>Agriculture Soils - Emissions from Animals &amp; Runoff</t>
  </si>
  <si>
    <t xml:space="preserve">Percentage Breakdown of Manure Management Systems </t>
  </si>
  <si>
    <t>K-NITROGEN EXCRETED BY MANAGEMENT SYSTEM (kg):</t>
  </si>
  <si>
    <t>DIRECT EMISSIONS (MT N)</t>
  </si>
  <si>
    <t>Source: US Inventory spreadsheets. See Manure-N2O.xls, WMS sheets.</t>
  </si>
  <si>
    <r>
      <rPr>
        <b/>
        <sz val="8"/>
        <color theme="1"/>
        <rFont val="Calibri"/>
        <family val="2"/>
      </rPr>
      <t xml:space="preserve">Number of Animals
</t>
    </r>
    <r>
      <rPr>
        <sz val="8"/>
        <color theme="1"/>
        <rFont val="Calibri"/>
        <family val="2"/>
      </rPr>
      <t>('000 head)</t>
    </r>
  </si>
  <si>
    <t>TAM
(kg)</t>
  </si>
  <si>
    <t>K-Nitrogen
(kg/day/1000kg)</t>
  </si>
  <si>
    <r>
      <rPr>
        <b/>
        <sz val="8"/>
        <color theme="1"/>
        <rFont val="Calibri"/>
        <family val="2"/>
      </rPr>
      <t xml:space="preserve">Total K-Nitrogen Excreted
</t>
    </r>
    <r>
      <rPr>
        <sz val="8"/>
        <color theme="1"/>
        <rFont val="Calibri"/>
        <family val="2"/>
      </rPr>
      <t>(kg)</t>
    </r>
  </si>
  <si>
    <r>
      <rPr>
        <b/>
        <sz val="8"/>
        <color theme="1"/>
        <rFont val="Calibri"/>
        <family val="2"/>
      </rPr>
      <t>Indirect Animal N</t>
    </r>
    <r>
      <rPr>
        <b/>
        <vertAlign val="subscript"/>
        <sz val="8"/>
        <color theme="1"/>
        <rFont val="Calibri"/>
        <family val="2"/>
      </rPr>
      <t>2</t>
    </r>
    <r>
      <rPr>
        <b/>
        <sz val="8"/>
        <color theme="1"/>
        <rFont val="Calibri"/>
        <family val="2"/>
      </rPr>
      <t xml:space="preserve">O Emissions
</t>
    </r>
    <r>
      <rPr>
        <sz val="8"/>
        <color theme="1"/>
        <rFont val="Calibri"/>
        <family val="2"/>
      </rPr>
      <t>(metric tons N)</t>
    </r>
  </si>
  <si>
    <t>Managed Systems</t>
  </si>
  <si>
    <t>Unmanaged Systems - Pasture, Range, and Paddock</t>
  </si>
  <si>
    <t>Unmanaged Systems - Daily Spread</t>
  </si>
  <si>
    <t>Manure Applied to Soils</t>
  </si>
  <si>
    <t>Pasture, Range and Paddock</t>
  </si>
  <si>
    <t>Leaching and Runoff</t>
  </si>
  <si>
    <t xml:space="preserve">Dairy Cows </t>
  </si>
  <si>
    <t>Dairy Heifers</t>
  </si>
  <si>
    <t>Feedlot Beef</t>
  </si>
  <si>
    <t>NOF Beef</t>
  </si>
  <si>
    <t>Year &amp; State</t>
  </si>
  <si>
    <t>Anaerobic Lagoon</t>
  </si>
  <si>
    <t>Liquid/ Slurry</t>
  </si>
  <si>
    <t>Daily Spread</t>
  </si>
  <si>
    <t>Solid Storage</t>
  </si>
  <si>
    <t>Pasture</t>
  </si>
  <si>
    <t>Deep Pit</t>
  </si>
  <si>
    <t>Managed</t>
  </si>
  <si>
    <t>PRP</t>
  </si>
  <si>
    <t>STATE</t>
  </si>
  <si>
    <t>Dry Lot</t>
  </si>
  <si>
    <t>Poultry without bedding</t>
  </si>
  <si>
    <t>Range</t>
  </si>
  <si>
    <t>On Feed (PRP)</t>
  </si>
  <si>
    <t>Not on Feed (PRP)</t>
  </si>
  <si>
    <t>Pasture, Range &amp; Paddock</t>
  </si>
  <si>
    <t>Unvolatilized N from Organic Fertilizers (kg)</t>
  </si>
  <si>
    <t>2011MD</t>
  </si>
  <si>
    <t>MD</t>
  </si>
  <si>
    <t>Unvolatilized N from Synthetic Fertilizers (kg)</t>
  </si>
  <si>
    <r>
      <rPr>
        <b/>
        <sz val="8"/>
        <color theme="1"/>
        <rFont val="Calibri"/>
        <family val="2"/>
      </rPr>
      <t>Fertilizer Runoff/Leached</t>
    </r>
    <r>
      <rPr>
        <sz val="8"/>
        <color theme="1"/>
        <rFont val="Calibri"/>
        <family val="2"/>
      </rPr>
      <t xml:space="preserve"> (metric tons N)</t>
    </r>
  </si>
  <si>
    <t>Total N excreted by Livestock (kg)</t>
  </si>
  <si>
    <r>
      <rPr>
        <b/>
        <sz val="8"/>
        <color theme="1"/>
        <rFont val="Calibri"/>
        <family val="2"/>
      </rPr>
      <t xml:space="preserve">Manure Runoff/Leached </t>
    </r>
    <r>
      <rPr>
        <sz val="8"/>
        <color theme="1"/>
        <rFont val="Calibri"/>
        <family val="2"/>
      </rPr>
      <t>(metric tons N)</t>
    </r>
  </si>
  <si>
    <r>
      <rPr>
        <b/>
        <sz val="8"/>
        <color theme="1"/>
        <rFont val="Calibri"/>
        <family val="2"/>
      </rPr>
      <t xml:space="preserve">TOTAL Runoff/Leached </t>
    </r>
    <r>
      <rPr>
        <sz val="8"/>
        <color theme="1"/>
        <rFont val="Calibri"/>
        <family val="2"/>
      </rPr>
      <t>(metric tons N</t>
    </r>
    <r>
      <rPr>
        <vertAlign val="subscript"/>
        <sz val="8"/>
        <color theme="1"/>
        <rFont val="Calibri"/>
        <family val="2"/>
      </rPr>
      <t>2</t>
    </r>
    <r>
      <rPr>
        <sz val="8"/>
        <color theme="1"/>
        <rFont val="Calibri"/>
        <family val="2"/>
      </rPr>
      <t>O-N)</t>
    </r>
  </si>
  <si>
    <t>Total Beef Heifers</t>
  </si>
  <si>
    <t>EMISSIONS SUMMARY  2017</t>
  </si>
  <si>
    <r>
      <rPr>
        <b/>
        <sz val="8"/>
        <color theme="1"/>
        <rFont val="Calibri"/>
        <family val="2"/>
      </rPr>
      <t>Livestock
(Metric Tons N</t>
    </r>
    <r>
      <rPr>
        <b/>
        <vertAlign val="subscript"/>
        <sz val="8"/>
        <color theme="1"/>
        <rFont val="Calibri"/>
        <family val="2"/>
      </rPr>
      <t>2</t>
    </r>
    <r>
      <rPr>
        <b/>
        <sz val="8"/>
        <color theme="1"/>
        <rFont val="Calibri"/>
        <family val="2"/>
      </rPr>
      <t>O)</t>
    </r>
  </si>
  <si>
    <t>Livestock
(MMTCE)</t>
  </si>
  <si>
    <r>
      <rPr>
        <b/>
        <sz val="8"/>
        <color theme="1"/>
        <rFont val="Calibri"/>
        <family val="2"/>
      </rPr>
      <t>Livestock
(MMTCO</t>
    </r>
    <r>
      <rPr>
        <b/>
        <vertAlign val="subscript"/>
        <sz val="8"/>
        <color theme="1"/>
        <rFont val="Calibri"/>
        <family val="2"/>
      </rPr>
      <t>2</t>
    </r>
    <r>
      <rPr>
        <b/>
        <sz val="8"/>
        <color theme="1"/>
        <rFont val="Calibri"/>
        <family val="2"/>
      </rPr>
      <t>E)</t>
    </r>
  </si>
  <si>
    <r>
      <rPr>
        <b/>
        <sz val="8"/>
        <color theme="1"/>
        <rFont val="Calibri"/>
        <family val="2"/>
      </rPr>
      <t>Leaching and Runoff
(Metric Tons N</t>
    </r>
    <r>
      <rPr>
        <b/>
        <vertAlign val="subscript"/>
        <sz val="8"/>
        <color theme="1"/>
        <rFont val="Calibri"/>
        <family val="2"/>
      </rPr>
      <t>2</t>
    </r>
    <r>
      <rPr>
        <b/>
        <sz val="8"/>
        <color theme="1"/>
        <rFont val="Calibri"/>
        <family val="2"/>
      </rPr>
      <t>O)</t>
    </r>
  </si>
  <si>
    <t>Leaching and Runoff
(MMTCE)</t>
  </si>
  <si>
    <r>
      <rPr>
        <b/>
        <sz val="8"/>
        <color theme="1"/>
        <rFont val="Calibri"/>
        <family val="2"/>
      </rPr>
      <t>Leaching and Runoff
(MMTCO</t>
    </r>
    <r>
      <rPr>
        <b/>
        <vertAlign val="subscript"/>
        <sz val="8"/>
        <color theme="1"/>
        <rFont val="Calibri"/>
        <family val="2"/>
      </rPr>
      <t>2</t>
    </r>
    <r>
      <rPr>
        <b/>
        <sz val="8"/>
        <color theme="1"/>
        <rFont val="Calibri"/>
        <family val="2"/>
      </rPr>
      <t>E)</t>
    </r>
  </si>
  <si>
    <r>
      <rPr>
        <b/>
        <sz val="8"/>
        <color rgb="FFFF0000"/>
        <rFont val="Calibri"/>
        <family val="2"/>
      </rPr>
      <t>Indirect N</t>
    </r>
    <r>
      <rPr>
        <b/>
        <vertAlign val="subscript"/>
        <sz val="8"/>
        <color rgb="FFFF0000"/>
        <rFont val="Calibri"/>
        <family val="2"/>
      </rPr>
      <t>2</t>
    </r>
    <r>
      <rPr>
        <b/>
        <sz val="8"/>
        <color rgb="FFFF0000"/>
        <rFont val="Calibri"/>
        <family val="2"/>
      </rPr>
      <t>O Emissions</t>
    </r>
  </si>
  <si>
    <t>TOTAL Runoff/Leached</t>
  </si>
  <si>
    <r>
      <rPr>
        <b/>
        <sz val="8"/>
        <color theme="1"/>
        <rFont val="Calibri"/>
        <family val="2"/>
      </rPr>
      <t>Direct N</t>
    </r>
    <r>
      <rPr>
        <b/>
        <vertAlign val="subscript"/>
        <sz val="8"/>
        <color theme="1"/>
        <rFont val="Calibri"/>
        <family val="2"/>
      </rPr>
      <t>2</t>
    </r>
    <r>
      <rPr>
        <b/>
        <sz val="8"/>
        <color theme="1"/>
        <rFont val="Calibri"/>
        <family val="2"/>
      </rPr>
      <t>O Emissions - Manure Applied to Soils (including Daily Spread)</t>
    </r>
  </si>
  <si>
    <t>Fertilizer Runoff/Leached</t>
  </si>
  <si>
    <r>
      <rPr>
        <b/>
        <sz val="8"/>
        <color theme="1"/>
        <rFont val="Calibri"/>
        <family val="2"/>
      </rPr>
      <t>Direct N</t>
    </r>
    <r>
      <rPr>
        <b/>
        <vertAlign val="subscript"/>
        <sz val="8"/>
        <color theme="1"/>
        <rFont val="Calibri"/>
        <family val="2"/>
      </rPr>
      <t>2</t>
    </r>
    <r>
      <rPr>
        <b/>
        <sz val="8"/>
        <color theme="1"/>
        <rFont val="Calibri"/>
        <family val="2"/>
      </rPr>
      <t>O Emissions - Pasture, Range, and Paddock</t>
    </r>
  </si>
  <si>
    <t xml:space="preserve">Manure Runoff/Leached </t>
  </si>
  <si>
    <r>
      <rPr>
        <b/>
        <sz val="8"/>
        <color rgb="FFFF0000"/>
        <rFont val="Calibri"/>
        <family val="2"/>
      </rPr>
      <t>Direct N</t>
    </r>
    <r>
      <rPr>
        <b/>
        <vertAlign val="subscript"/>
        <sz val="8"/>
        <color rgb="FFFF0000"/>
        <rFont val="Calibri"/>
        <family val="2"/>
      </rPr>
      <t>2</t>
    </r>
    <r>
      <rPr>
        <b/>
        <sz val="8"/>
        <color rgb="FFFF0000"/>
        <rFont val="Calibri"/>
        <family val="2"/>
      </rPr>
      <t>O Emissions</t>
    </r>
  </si>
  <si>
    <r>
      <rPr>
        <sz val="14"/>
        <color theme="1"/>
        <rFont val="Comic Sans MS"/>
        <family val="4"/>
      </rPr>
      <t>Agricultural Residue Burning -  CH</t>
    </r>
    <r>
      <rPr>
        <vertAlign val="subscript"/>
        <sz val="14"/>
        <color theme="1"/>
        <rFont val="Comic Sans MS"/>
        <family val="4"/>
      </rPr>
      <t>4</t>
    </r>
    <r>
      <rPr>
        <sz val="14"/>
        <color theme="1"/>
        <rFont val="Comic Sans MS"/>
        <family val="4"/>
      </rPr>
      <t xml:space="preserve"> Emissions</t>
    </r>
  </si>
  <si>
    <t>Crop</t>
  </si>
  <si>
    <t xml:space="preserve">Crop Production        </t>
  </si>
  <si>
    <t>metric tons/bushel</t>
  </si>
  <si>
    <t>Crop Production     (metric tons)</t>
  </si>
  <si>
    <t>Residue/Crop Ratio</t>
  </si>
  <si>
    <t>Fraction   Residue Burned</t>
  </si>
  <si>
    <t>Dry Matter Fraction</t>
  </si>
  <si>
    <t>Burning Efficiency</t>
  </si>
  <si>
    <t>Combustion Efficiency</t>
  </si>
  <si>
    <t>Carbon Content</t>
  </si>
  <si>
    <t>Total C Released  (metric tons C)</t>
  </si>
  <si>
    <r>
      <rPr>
        <b/>
        <sz val="8"/>
        <color theme="1"/>
        <rFont val="Calibri"/>
        <family val="2"/>
      </rPr>
      <t>CH</t>
    </r>
    <r>
      <rPr>
        <b/>
        <vertAlign val="subscript"/>
        <sz val="8"/>
        <color theme="1"/>
        <rFont val="Calibri"/>
        <family val="2"/>
      </rPr>
      <t>4</t>
    </r>
    <r>
      <rPr>
        <b/>
        <sz val="8"/>
        <color theme="1"/>
        <rFont val="Calibri"/>
        <family val="2"/>
      </rPr>
      <t xml:space="preserve"> Emissions  (metric tons CH</t>
    </r>
    <r>
      <rPr>
        <b/>
        <vertAlign val="subscript"/>
        <sz val="8"/>
        <color theme="1"/>
        <rFont val="Calibri"/>
        <family val="2"/>
      </rPr>
      <t>4</t>
    </r>
    <r>
      <rPr>
        <b/>
        <sz val="8"/>
        <color theme="1"/>
        <rFont val="Calibri"/>
        <family val="2"/>
      </rPr>
      <t>)</t>
    </r>
  </si>
  <si>
    <r>
      <rPr>
        <b/>
        <sz val="8"/>
        <color theme="1"/>
        <rFont val="Calibri"/>
        <family val="2"/>
      </rPr>
      <t>CH</t>
    </r>
    <r>
      <rPr>
        <b/>
        <vertAlign val="subscript"/>
        <sz val="8"/>
        <color theme="1"/>
        <rFont val="Calibri"/>
        <family val="2"/>
      </rPr>
      <t>4</t>
    </r>
    <r>
      <rPr>
        <b/>
        <sz val="8"/>
        <color theme="1"/>
        <rFont val="Calibri"/>
        <family val="2"/>
      </rPr>
      <t xml:space="preserve"> Emissions  (MMTCE)</t>
    </r>
  </si>
  <si>
    <r>
      <rPr>
        <b/>
        <sz val="8"/>
        <color theme="1"/>
        <rFont val="Calibri"/>
        <family val="2"/>
      </rPr>
      <t>CH</t>
    </r>
    <r>
      <rPr>
        <b/>
        <vertAlign val="subscript"/>
        <sz val="8"/>
        <color theme="1"/>
        <rFont val="Calibri"/>
        <family val="2"/>
      </rPr>
      <t>4</t>
    </r>
    <r>
      <rPr>
        <b/>
        <sz val="8"/>
        <color theme="1"/>
        <rFont val="Calibri"/>
        <family val="2"/>
      </rPr>
      <t xml:space="preserve"> Emissions  (MMTCO</t>
    </r>
    <r>
      <rPr>
        <b/>
        <vertAlign val="subscript"/>
        <sz val="8"/>
        <color theme="1"/>
        <rFont val="Calibri"/>
        <family val="2"/>
      </rPr>
      <t>2</t>
    </r>
    <r>
      <rPr>
        <b/>
        <sz val="8"/>
        <color theme="1"/>
        <rFont val="Calibri"/>
        <family val="2"/>
      </rPr>
      <t>E)</t>
    </r>
  </si>
  <si>
    <t>Barley</t>
  </si>
  <si>
    <t>Corn</t>
  </si>
  <si>
    <t>'000 pounds</t>
  </si>
  <si>
    <t>'000 cwt</t>
  </si>
  <si>
    <t>Soybeans</t>
  </si>
  <si>
    <t>Sugarcane</t>
  </si>
  <si>
    <t>Wheat</t>
  </si>
  <si>
    <r>
      <rPr>
        <sz val="14"/>
        <color theme="1"/>
        <rFont val="Comic Sans MS"/>
        <family val="4"/>
      </rPr>
      <t>Agricultural Residue Burning -  N</t>
    </r>
    <r>
      <rPr>
        <vertAlign val="subscript"/>
        <sz val="14"/>
        <color theme="1"/>
        <rFont val="Comic Sans MS"/>
        <family val="4"/>
      </rPr>
      <t>2</t>
    </r>
    <r>
      <rPr>
        <sz val="14"/>
        <color theme="1"/>
        <rFont val="Comic Sans MS"/>
        <family val="4"/>
      </rPr>
      <t>O Emissions</t>
    </r>
  </si>
  <si>
    <t>Fraction Residue Burned</t>
  </si>
  <si>
    <t>Nitrogen Content</t>
  </si>
  <si>
    <t>Total N Released  (metric tons)</t>
  </si>
  <si>
    <r>
      <rPr>
        <b/>
        <sz val="8"/>
        <color theme="1"/>
        <rFont val="Calibri"/>
        <family val="2"/>
      </rPr>
      <t>N</t>
    </r>
    <r>
      <rPr>
        <b/>
        <vertAlign val="subscript"/>
        <sz val="8"/>
        <color theme="1"/>
        <rFont val="Calibri"/>
        <family val="2"/>
      </rPr>
      <t>2</t>
    </r>
    <r>
      <rPr>
        <b/>
        <sz val="8"/>
        <color theme="1"/>
        <rFont val="Calibri"/>
        <family val="2"/>
      </rPr>
      <t>O Emissions  (metric tons)</t>
    </r>
  </si>
  <si>
    <r>
      <rPr>
        <b/>
        <sz val="8"/>
        <color theme="1"/>
        <rFont val="Calibri"/>
        <family val="2"/>
      </rPr>
      <t>N</t>
    </r>
    <r>
      <rPr>
        <b/>
        <vertAlign val="subscript"/>
        <sz val="8"/>
        <color theme="1"/>
        <rFont val="Calibri"/>
        <family val="2"/>
      </rPr>
      <t>2</t>
    </r>
    <r>
      <rPr>
        <b/>
        <sz val="8"/>
        <color theme="1"/>
        <rFont val="Calibri"/>
        <family val="2"/>
      </rPr>
      <t>O Emissions  (MMTCE)</t>
    </r>
  </si>
  <si>
    <r>
      <rPr>
        <b/>
        <sz val="8"/>
        <color theme="1"/>
        <rFont val="Calibri"/>
        <family val="2"/>
      </rPr>
      <t>N</t>
    </r>
    <r>
      <rPr>
        <b/>
        <vertAlign val="subscript"/>
        <sz val="8"/>
        <color theme="1"/>
        <rFont val="Calibri"/>
        <family val="2"/>
      </rPr>
      <t>2</t>
    </r>
    <r>
      <rPr>
        <b/>
        <sz val="8"/>
        <color theme="1"/>
        <rFont val="Calibri"/>
        <family val="2"/>
      </rPr>
      <t>O Emissions  (MMTCO</t>
    </r>
    <r>
      <rPr>
        <b/>
        <vertAlign val="subscript"/>
        <sz val="8"/>
        <color theme="1"/>
        <rFont val="Calibri"/>
        <family val="2"/>
      </rPr>
      <t>2</t>
    </r>
    <r>
      <rPr>
        <b/>
        <sz val="8"/>
        <color theme="1"/>
        <rFont val="Calibri"/>
        <family val="2"/>
      </rPr>
      <t>E)</t>
    </r>
  </si>
  <si>
    <t>TOTAL AGRICULTURE</t>
  </si>
  <si>
    <r>
      <rPr>
        <b/>
        <sz val="9"/>
        <color theme="1"/>
        <rFont val="Calibri"/>
        <family val="2"/>
      </rPr>
      <t>Emissions (MMTCO</t>
    </r>
    <r>
      <rPr>
        <b/>
        <vertAlign val="subscript"/>
        <sz val="9"/>
        <color theme="1"/>
        <rFont val="Calibri"/>
        <family val="2"/>
      </rPr>
      <t xml:space="preserve">2 </t>
    </r>
    <r>
      <rPr>
        <b/>
        <sz val="9"/>
        <color theme="1"/>
        <rFont val="Calibri"/>
        <family val="2"/>
      </rPr>
      <t>Eq.)</t>
    </r>
  </si>
  <si>
    <r>
      <rPr>
        <b/>
        <sz val="9"/>
        <color theme="1"/>
        <rFont val="Calibri"/>
        <family val="2"/>
      </rPr>
      <t>2017
MMTCO</t>
    </r>
    <r>
      <rPr>
        <b/>
        <vertAlign val="subscript"/>
        <sz val="9"/>
        <color theme="1"/>
        <rFont val="Calibri"/>
        <family val="2"/>
      </rPr>
      <t>2</t>
    </r>
    <r>
      <rPr>
        <b/>
        <sz val="9"/>
        <color theme="1"/>
        <rFont val="Calibri"/>
        <family val="2"/>
      </rPr>
      <t>E</t>
    </r>
  </si>
  <si>
    <t>Ag Soils</t>
  </si>
  <si>
    <t>Rice Cultivation</t>
  </si>
  <si>
    <t>Agricultural Residue Burning</t>
  </si>
  <si>
    <r>
      <rPr>
        <b/>
        <sz val="9"/>
        <color theme="1"/>
        <rFont val="Calibri"/>
        <family val="2"/>
      </rPr>
      <t>Emissions by Gas 
(MMTCH</t>
    </r>
    <r>
      <rPr>
        <b/>
        <vertAlign val="subscript"/>
        <sz val="9"/>
        <color theme="1"/>
        <rFont val="Calibri"/>
        <family val="2"/>
      </rPr>
      <t>4</t>
    </r>
    <r>
      <rPr>
        <b/>
        <sz val="9"/>
        <color theme="1"/>
        <rFont val="Calibri"/>
        <family val="2"/>
      </rPr>
      <t xml:space="preserve"> or MMTN</t>
    </r>
    <r>
      <rPr>
        <b/>
        <vertAlign val="subscript"/>
        <sz val="9"/>
        <color theme="1"/>
        <rFont val="Calibri"/>
        <family val="2"/>
      </rPr>
      <t>2</t>
    </r>
    <r>
      <rPr>
        <b/>
        <sz val="9"/>
        <color theme="1"/>
        <rFont val="Calibri"/>
        <family val="2"/>
      </rPr>
      <t>O)</t>
    </r>
  </si>
  <si>
    <r>
      <rPr>
        <b/>
        <sz val="9"/>
        <color theme="1"/>
        <rFont val="Calibri"/>
        <family val="2"/>
      </rPr>
      <t>2017
MMTCO</t>
    </r>
    <r>
      <rPr>
        <b/>
        <vertAlign val="subscript"/>
        <sz val="9"/>
        <color theme="1"/>
        <rFont val="Calibri"/>
        <family val="2"/>
      </rPr>
      <t>2</t>
    </r>
    <r>
      <rPr>
        <b/>
        <sz val="9"/>
        <color theme="1"/>
        <rFont val="Calibri"/>
        <family val="2"/>
      </rPr>
      <t>E</t>
    </r>
  </si>
  <si>
    <t>Methane</t>
  </si>
  <si>
    <t>Nitrous Oxide</t>
  </si>
  <si>
    <r>
      <rPr>
        <b/>
        <sz val="9"/>
        <color theme="1"/>
        <rFont val="Calibri"/>
        <family val="2"/>
      </rPr>
      <t>Nitrous Oxide Emissions from Ag Soils (metric tons N</t>
    </r>
    <r>
      <rPr>
        <b/>
        <vertAlign val="subscript"/>
        <sz val="9"/>
        <color theme="1"/>
        <rFont val="Calibri"/>
        <family val="2"/>
      </rPr>
      <t>2</t>
    </r>
    <r>
      <rPr>
        <b/>
        <sz val="9"/>
        <color theme="1"/>
        <rFont val="Calibri"/>
        <family val="2"/>
      </rPr>
      <t>O)</t>
    </r>
  </si>
  <si>
    <t>Direct</t>
  </si>
  <si>
    <t>Fertilizers</t>
  </si>
  <si>
    <t>Crop Residues</t>
  </si>
  <si>
    <t>N-Fixing Crops</t>
  </si>
  <si>
    <t>Histosols</t>
  </si>
  <si>
    <t>Livestock</t>
  </si>
  <si>
    <t>Indirect</t>
  </si>
  <si>
    <t>Leaching/Runoff</t>
  </si>
  <si>
    <t>CO2 from Urea Fertilization in Maryland</t>
  </si>
  <si>
    <t>Total Urea Applied to Soil</t>
  </si>
  <si>
    <t>Carbon Dioxide Emissions</t>
  </si>
  <si>
    <t>(Ton C/Ton urea)</t>
  </si>
  <si>
    <t>(MTCO2E)</t>
  </si>
  <si>
    <t>Emissions from Liming of Soils are calculated by summing carbon emissions from the application of both limestone and dolomite to soil. The masses of limestone and dolomite are multiplied by their carbon emission factors, converted to million metric tons carbon dioxide equivalent, and then summed. For more information, please refer to the Agriculture Chapter of the User's Guide.</t>
  </si>
  <si>
    <t>CO2 from Liming of Agric Soils in Maryland</t>
  </si>
  <si>
    <t>Total Applied to Soil</t>
  </si>
  <si>
    <t>Total Carbon Dioxide Emissions</t>
  </si>
  <si>
    <t>('000 Metric Tons)</t>
  </si>
  <si>
    <t>(Ton C/Ton limestone)</t>
  </si>
  <si>
    <t>Maryland 2017 GHG Emissions by Sector</t>
  </si>
  <si>
    <r>
      <t>Energy Use (CO</t>
    </r>
    <r>
      <rPr>
        <vertAlign val="subscript"/>
        <sz val="11"/>
        <color theme="1"/>
        <rFont val="Calibri"/>
        <family val="2"/>
      </rPr>
      <t>2</t>
    </r>
    <r>
      <rPr>
        <sz val="11"/>
        <color theme="1"/>
        <rFont val="Calibri"/>
        <family val="2"/>
      </rPr>
      <t>, CH</t>
    </r>
    <r>
      <rPr>
        <vertAlign val="subscript"/>
        <sz val="11"/>
        <color theme="1"/>
        <rFont val="Calibri"/>
        <family val="2"/>
      </rPr>
      <t>4</t>
    </r>
    <r>
      <rPr>
        <sz val="11"/>
        <color theme="1"/>
        <rFont val="Calibri"/>
        <family val="2"/>
      </rPr>
      <t>, N</t>
    </r>
    <r>
      <rPr>
        <vertAlign val="subscript"/>
        <sz val="11"/>
        <color theme="1"/>
        <rFont val="Calibri"/>
        <family val="2"/>
      </rPr>
      <t>2</t>
    </r>
    <r>
      <rPr>
        <sz val="11"/>
        <color theme="1"/>
        <rFont val="Calibri"/>
        <family val="2"/>
      </rPr>
      <t>O)</t>
    </r>
  </si>
  <si>
    <t>2017 (20-yr)</t>
  </si>
  <si>
    <r>
      <t>CO</t>
    </r>
    <r>
      <rPr>
        <vertAlign val="subscript"/>
        <sz val="11"/>
        <color theme="1"/>
        <rFont val="Calibri"/>
        <family val="2"/>
      </rPr>
      <t>2</t>
    </r>
  </si>
  <si>
    <r>
      <t>CH</t>
    </r>
    <r>
      <rPr>
        <vertAlign val="subscript"/>
        <sz val="11"/>
        <color theme="1"/>
        <rFont val="Calibri"/>
        <family val="2"/>
      </rPr>
      <t>4</t>
    </r>
  </si>
  <si>
    <r>
      <t>N</t>
    </r>
    <r>
      <rPr>
        <vertAlign val="subscript"/>
        <sz val="11"/>
        <color theme="1"/>
        <rFont val="Calibri"/>
        <family val="2"/>
      </rPr>
      <t>2</t>
    </r>
    <r>
      <rPr>
        <sz val="11"/>
        <color theme="1"/>
        <rFont val="Calibri"/>
        <family val="2"/>
      </rPr>
      <t>O</t>
    </r>
  </si>
  <si>
    <t>Natural Gas &amp; LPG</t>
  </si>
  <si>
    <t xml:space="preserve">Wood </t>
  </si>
  <si>
    <t>Natural Gas Industry</t>
  </si>
  <si>
    <t>Oil Industry</t>
  </si>
  <si>
    <t xml:space="preserve">Limestone and Dolomite </t>
  </si>
  <si>
    <t xml:space="preserve">Soda Ash </t>
  </si>
  <si>
    <t>Iron and Steel</t>
  </si>
  <si>
    <r>
      <t>HFC, PFC, SF</t>
    </r>
    <r>
      <rPr>
        <vertAlign val="subscript"/>
        <sz val="11"/>
        <color theme="1"/>
        <rFont val="Calibri"/>
        <family val="2"/>
      </rPr>
      <t>6</t>
    </r>
  </si>
  <si>
    <t>Electricity Transmission and Dist.</t>
  </si>
  <si>
    <t>Ammonia and Urea Production (Nonfertilizer Usage)</t>
  </si>
  <si>
    <t xml:space="preserve">Urea Fertilizer Usage and Liming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</si>
</sst>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41" formatCode="_(* #,##0_);_(* \(#,##0\);_(* &quot;-&quot;_);_(@_)"/>
    <numFmt numFmtId="43" formatCode="_(* #,##0.00_);_(* \(#,##0.00\);_(* &quot;-&quot;??_);_(@_)"/>
    <numFmt numFmtId="164" formatCode="0.000000"/>
    <numFmt numFmtId="165" formatCode="#,##0.00000_);\(#,##0.00000\)"/>
    <numFmt numFmtId="166" formatCode="#,##0.000000_);\(#,##0.000000\)"/>
    <numFmt numFmtId="167" formatCode="#,##0.0000_);\(#,##0.0000\)"/>
    <numFmt numFmtId="168" formatCode="0.000"/>
    <numFmt numFmtId="169" formatCode="_(* #,##0.00000_);_(* \(#,##0.00000\);_(* &quot;-&quot;??_);_(@_)"/>
    <numFmt numFmtId="170" formatCode="#,##0.000"/>
    <numFmt numFmtId="171" formatCode="#,##0.0000"/>
    <numFmt numFmtId="172" formatCode="#,##0.0"/>
    <numFmt numFmtId="173" formatCode="0_);\(0\)"/>
    <numFmt numFmtId="174" formatCode="0.00000"/>
    <numFmt numFmtId="175" formatCode="0.0"/>
    <numFmt numFmtId="176" formatCode="_(* #,##0_);_(* \(#,##0\);_(* &quot;-&quot;??_);_(@_)"/>
    <numFmt numFmtId="177" formatCode="_(* #,##0.0_);_(* \(#,##0.0\);_(* &quot;-&quot;??_);_(@_)"/>
    <numFmt numFmtId="178" formatCode="_(* #,##0.0000_);_(* \(#,##0.0000\);_(* &quot;-&quot;??_);_(@_)"/>
    <numFmt numFmtId="179" formatCode="_(* #,##0.000_);_(* \(#,##0.000\);_(* &quot;-&quot;??_);_(@_)"/>
    <numFmt numFmtId="180" formatCode="#,##0.000_);\(#,##0.000\)"/>
    <numFmt numFmtId="181" formatCode="#,##0.0_);\(#,##0.0\)"/>
    <numFmt numFmtId="182" formatCode="0.0000"/>
    <numFmt numFmtId="183" formatCode="_(* #,##0.00_);_(* \(#,##0.00\);_(* &quot;-&quot;????_);_(@_)"/>
    <numFmt numFmtId="184" formatCode="0.0000000"/>
    <numFmt numFmtId="185" formatCode="_(* #,##0.000000_);_(* \(#,##0.000000\);_(* &quot;-&quot;??????_);_(@_)"/>
    <numFmt numFmtId="186" formatCode="0.00000E+00"/>
    <numFmt numFmtId="187" formatCode="0.0%"/>
    <numFmt numFmtId="188" formatCode="0.000_)"/>
    <numFmt numFmtId="189" formatCode="0.0000_)"/>
    <numFmt numFmtId="190" formatCode="0.0000000000"/>
    <numFmt numFmtId="191" formatCode="0.00_)"/>
    <numFmt numFmtId="192" formatCode="0.000000000"/>
    <numFmt numFmtId="193" formatCode="0.00000000"/>
    <numFmt numFmtId="194" formatCode="_-* #,##0_-;\-* #,##0_-;_-* &quot;-&quot;??_-;_-@"/>
    <numFmt numFmtId="195" formatCode="_-* #,##0.0_-;\-* #,##0.0_-;_-* &quot;-&quot;??_-;_-@"/>
    <numFmt numFmtId="196" formatCode="_-* #,##0.00_-;\-* #,##0.00_-;_-* &quot;-&quot;??_-;_-@"/>
    <numFmt numFmtId="197" formatCode="_-* #,##0.000_-;\-* #,##0.000_-;_-* &quot;-&quot;??_-;_-@"/>
    <numFmt numFmtId="198" formatCode="_(* #,##0.000000_);_(* \(#,##0.000000\);_(* &quot;-&quot;??_);_(@_)"/>
    <numFmt numFmtId="199" formatCode="_(* #,##0.0000000_);_(* \(#,##0.0000000\);_(* &quot;-&quot;??_);_(@_)"/>
    <numFmt numFmtId="200" formatCode="0E+00"/>
    <numFmt numFmtId="201" formatCode="_(* #,##0.00000000_);_(* \(#,##0.00000000\);_(* &quot;-&quot;????????_);_(@_)"/>
    <numFmt numFmtId="202" formatCode="0.00000000000000000%"/>
    <numFmt numFmtId="203" formatCode="0_)"/>
  </numFmts>
  <fonts count="212">
    <font>
      <sz val="8"/>
      <color rgb="FF000000"/>
      <name val="Calibri"/>
      <scheme val="minor"/>
    </font>
    <font>
      <sz val="8"/>
      <color theme="1"/>
      <name val="Arial"/>
      <family val="2"/>
    </font>
    <font>
      <b/>
      <sz val="14"/>
      <color theme="1"/>
      <name val="Calibri"/>
      <family val="2"/>
    </font>
    <font>
      <sz val="14"/>
      <color theme="1"/>
      <name val="Calibri"/>
      <family val="2"/>
    </font>
    <font>
      <i/>
      <sz val="24"/>
      <color theme="1"/>
      <name val="Engravers MT"/>
      <family val="1"/>
    </font>
    <font>
      <sz val="11"/>
      <color theme="1"/>
      <name val="Calibri"/>
      <family val="2"/>
    </font>
    <font>
      <sz val="8"/>
      <color theme="1"/>
      <name val="Calibri"/>
      <family val="2"/>
    </font>
    <font>
      <sz val="9"/>
      <color theme="1"/>
      <name val="Calibri"/>
      <family val="2"/>
    </font>
    <font>
      <sz val="8"/>
      <name val="Calibri"/>
      <family val="2"/>
    </font>
    <font>
      <sz val="7"/>
      <color theme="1"/>
      <name val="Arial"/>
      <family val="2"/>
    </font>
    <font>
      <b/>
      <sz val="11"/>
      <color rgb="FFFFFFFF"/>
      <name val="Calibri"/>
      <family val="2"/>
    </font>
    <font>
      <b/>
      <sz val="11"/>
      <color theme="1"/>
      <name val="Calibri"/>
      <family val="2"/>
    </font>
    <font>
      <i/>
      <sz val="11"/>
      <color theme="1"/>
      <name val="Calibri"/>
      <family val="2"/>
    </font>
    <font>
      <sz val="10"/>
      <color theme="1"/>
      <name val="Calibri"/>
      <family val="2"/>
    </font>
    <font>
      <sz val="8"/>
      <color theme="1"/>
      <name val="Calibri"/>
      <family val="2"/>
    </font>
    <font>
      <sz val="8"/>
      <color rgb="FF000000"/>
      <name val="Arial"/>
      <family val="2"/>
    </font>
    <font>
      <sz val="8"/>
      <color theme="1"/>
      <name val="Calibri"/>
      <family val="2"/>
      <scheme val="minor"/>
    </font>
    <font>
      <b/>
      <sz val="8"/>
      <color theme="1"/>
      <name val="Calibri"/>
      <family val="2"/>
    </font>
    <font>
      <b/>
      <sz val="11"/>
      <color rgb="FF1155CC"/>
      <name val="Calibri"/>
      <family val="2"/>
    </font>
    <font>
      <b/>
      <sz val="9"/>
      <color theme="1"/>
      <name val="Calibri"/>
      <family val="2"/>
    </font>
    <font>
      <u/>
      <sz val="11"/>
      <color rgb="FF0563C1"/>
      <name val="Calibri"/>
      <family val="2"/>
    </font>
    <font>
      <b/>
      <sz val="9"/>
      <color rgb="FF000000"/>
      <name val="Calibri"/>
      <family val="2"/>
    </font>
    <font>
      <b/>
      <sz val="9"/>
      <color theme="1"/>
      <name val="Arial"/>
      <family val="2"/>
    </font>
    <font>
      <i/>
      <sz val="9"/>
      <color theme="1"/>
      <name val="Calibri"/>
      <family val="2"/>
    </font>
    <font>
      <sz val="9"/>
      <color theme="1"/>
      <name val="Arial"/>
      <family val="2"/>
    </font>
    <font>
      <b/>
      <sz val="8"/>
      <color theme="1"/>
      <name val="&quot;Comic Sans MS&quot;"/>
    </font>
    <font>
      <sz val="8"/>
      <color theme="1"/>
      <name val="&quot;Comic Sans MS&quot;"/>
    </font>
    <font>
      <sz val="14"/>
      <color theme="1"/>
      <name val="Comic Sans MS"/>
      <family val="4"/>
    </font>
    <font>
      <i/>
      <sz val="26"/>
      <color theme="1"/>
      <name val="Engravers MT"/>
      <family val="1"/>
    </font>
    <font>
      <b/>
      <sz val="16"/>
      <color rgb="FF0000FF"/>
      <name val="Calibri"/>
      <family val="2"/>
    </font>
    <font>
      <sz val="8"/>
      <color rgb="FFFF0000"/>
      <name val="Arial"/>
      <family val="2"/>
    </font>
    <font>
      <sz val="10"/>
      <color rgb="FFFF0000"/>
      <name val="Arial"/>
      <family val="2"/>
    </font>
    <font>
      <b/>
      <sz val="8"/>
      <color theme="1"/>
      <name val="Arial"/>
      <family val="2"/>
    </font>
    <font>
      <sz val="10"/>
      <color theme="1"/>
      <name val="Arial"/>
      <family val="2"/>
    </font>
    <font>
      <b/>
      <sz val="10"/>
      <color theme="1"/>
      <name val="Arial"/>
      <family val="2"/>
    </font>
    <font>
      <b/>
      <sz val="10"/>
      <color rgb="FFFF0000"/>
      <name val="Arial"/>
      <family val="2"/>
    </font>
    <font>
      <b/>
      <sz val="18"/>
      <color rgb="FF548DD4"/>
      <name val="Calibri"/>
      <family val="2"/>
    </font>
    <font>
      <sz val="11"/>
      <color rgb="FF548DD4"/>
      <name val="Calibri"/>
      <family val="2"/>
    </font>
    <font>
      <sz val="14"/>
      <color rgb="FF000000"/>
      <name val="Comic Sans MS"/>
      <family val="4"/>
    </font>
    <font>
      <sz val="11"/>
      <color theme="1"/>
      <name val="Arial"/>
      <family val="2"/>
    </font>
    <font>
      <sz val="8"/>
      <color rgb="FF000000"/>
      <name val="Comic Sans MS"/>
      <family val="4"/>
    </font>
    <font>
      <b/>
      <sz val="11"/>
      <color theme="1"/>
      <name val="Arial"/>
      <family val="2"/>
    </font>
    <font>
      <b/>
      <sz val="11"/>
      <color rgb="FF000000"/>
      <name val="Arial"/>
      <family val="2"/>
    </font>
    <font>
      <sz val="18"/>
      <color rgb="FF548DD4"/>
      <name val="Calibri"/>
      <family val="2"/>
    </font>
    <font>
      <sz val="18"/>
      <color theme="1"/>
      <name val="Calibri"/>
      <family val="2"/>
    </font>
    <font>
      <sz val="8"/>
      <color theme="1"/>
      <name val="Comic Sans MS"/>
      <family val="4"/>
    </font>
    <font>
      <b/>
      <sz val="11"/>
      <color theme="1"/>
      <name val="Comic Sans MS"/>
      <family val="4"/>
    </font>
    <font>
      <b/>
      <sz val="11"/>
      <color rgb="FF000000"/>
      <name val="Comic Sans MS"/>
      <family val="4"/>
    </font>
    <font>
      <b/>
      <sz val="7"/>
      <color theme="1"/>
      <name val="Comic Sans MS"/>
      <family val="4"/>
    </font>
    <font>
      <b/>
      <sz val="8"/>
      <color rgb="FF000000"/>
      <name val="Arial"/>
      <family val="2"/>
    </font>
    <font>
      <sz val="10"/>
      <color rgb="FF993300"/>
      <name val="Arial"/>
      <family val="2"/>
    </font>
    <font>
      <sz val="10"/>
      <color rgb="FF993366"/>
      <name val="Arial"/>
      <family val="2"/>
    </font>
    <font>
      <b/>
      <sz val="10"/>
      <color rgb="FF993366"/>
      <name val="Arial"/>
      <family val="2"/>
    </font>
    <font>
      <b/>
      <sz val="10"/>
      <color rgb="FF993300"/>
      <name val="Arial"/>
      <family val="2"/>
    </font>
    <font>
      <b/>
      <sz val="11"/>
      <color rgb="FF993366"/>
      <name val="Calibri"/>
      <family val="2"/>
    </font>
    <font>
      <b/>
      <sz val="11"/>
      <color rgb="FF993300"/>
      <name val="Calibri"/>
      <family val="2"/>
    </font>
    <font>
      <sz val="10"/>
      <color rgb="FF000080"/>
      <name val="Comic Sans MS"/>
      <family val="4"/>
    </font>
    <font>
      <b/>
      <sz val="10"/>
      <color theme="1"/>
      <name val="Open Sans"/>
      <family val="2"/>
    </font>
    <font>
      <b/>
      <sz val="10"/>
      <color rgb="FF0000FF"/>
      <name val="Open Sans"/>
      <family val="2"/>
    </font>
    <font>
      <sz val="10"/>
      <color rgb="FF0000FF"/>
      <name val="Open Sans"/>
      <family val="2"/>
    </font>
    <font>
      <b/>
      <sz val="10"/>
      <color rgb="FFFF0000"/>
      <name val="Open Sans"/>
      <family val="2"/>
    </font>
    <font>
      <sz val="10"/>
      <color rgb="FFFF0000"/>
      <name val="Open Sans"/>
      <family val="2"/>
    </font>
    <font>
      <b/>
      <sz val="10"/>
      <color rgb="FF993366"/>
      <name val="Open Sans"/>
      <family val="2"/>
    </font>
    <font>
      <sz val="10"/>
      <color rgb="FF993366"/>
      <name val="Open Sans"/>
      <family val="2"/>
    </font>
    <font>
      <sz val="14"/>
      <color rgb="FF000000"/>
      <name val="Calibri"/>
      <family val="2"/>
    </font>
    <font>
      <i/>
      <sz val="14"/>
      <color theme="1"/>
      <name val="Calibri"/>
      <family val="2"/>
    </font>
    <font>
      <sz val="14"/>
      <color rgb="FFFF0000"/>
      <name val="Calibri"/>
      <family val="2"/>
    </font>
    <font>
      <b/>
      <sz val="14"/>
      <color rgb="FFFF0000"/>
      <name val="Calibri"/>
      <family val="2"/>
    </font>
    <font>
      <b/>
      <sz val="14"/>
      <color rgb="FF000000"/>
      <name val="Calibri"/>
      <family val="2"/>
    </font>
    <font>
      <sz val="11"/>
      <color rgb="FF0000FF"/>
      <name val="Calibri"/>
      <family val="2"/>
    </font>
    <font>
      <b/>
      <sz val="16"/>
      <color theme="1"/>
      <name val="Calibri"/>
      <family val="2"/>
    </font>
    <font>
      <sz val="16"/>
      <color rgb="FFFF0000"/>
      <name val="Calibri"/>
      <family val="2"/>
    </font>
    <font>
      <b/>
      <sz val="11"/>
      <color rgb="FF0000FF"/>
      <name val="Calibri"/>
      <family val="2"/>
    </font>
    <font>
      <sz val="11"/>
      <color rgb="FFFF0000"/>
      <name val="Calibri"/>
      <family val="2"/>
    </font>
    <font>
      <b/>
      <sz val="8"/>
      <color rgb="FFFF0000"/>
      <name val="Arial"/>
      <family val="2"/>
    </font>
    <font>
      <sz val="7"/>
      <color rgb="FFFFFFFF"/>
      <name val="Arial"/>
      <family val="2"/>
    </font>
    <font>
      <sz val="7"/>
      <color rgb="FF000000"/>
      <name val="Comic Sans MS"/>
      <family val="4"/>
    </font>
    <font>
      <sz val="7"/>
      <color rgb="FF000000"/>
      <name val="Arial"/>
      <family val="2"/>
    </font>
    <font>
      <sz val="10"/>
      <color rgb="FF000000"/>
      <name val="Calibri"/>
      <family val="2"/>
    </font>
    <font>
      <b/>
      <sz val="10"/>
      <color rgb="FF000000"/>
      <name val="Calibri"/>
      <family val="2"/>
    </font>
    <font>
      <sz val="10"/>
      <color rgb="FFFF0000"/>
      <name val="Calibri"/>
      <family val="2"/>
    </font>
    <font>
      <b/>
      <sz val="10"/>
      <color theme="1"/>
      <name val="Calibri"/>
      <family val="2"/>
    </font>
    <font>
      <b/>
      <sz val="10"/>
      <color rgb="FFFF0000"/>
      <name val="Calibri"/>
      <family val="2"/>
    </font>
    <font>
      <b/>
      <sz val="8"/>
      <color theme="1"/>
      <name val="Comic Sans MS"/>
      <family val="4"/>
    </font>
    <font>
      <b/>
      <sz val="7"/>
      <color theme="1"/>
      <name val="Arial"/>
      <family val="2"/>
    </font>
    <font>
      <i/>
      <sz val="8"/>
      <color theme="1"/>
      <name val="Engravers MT"/>
      <family val="1"/>
    </font>
    <font>
      <b/>
      <sz val="8"/>
      <color rgb="FF000000"/>
      <name val="Comic Sans MS"/>
      <family val="4"/>
    </font>
    <font>
      <sz val="8"/>
      <color rgb="FF000000"/>
      <name val="Arial Narrow"/>
      <family val="2"/>
    </font>
    <font>
      <u/>
      <sz val="8"/>
      <color theme="10"/>
      <name val="Arial"/>
      <family val="2"/>
    </font>
    <font>
      <b/>
      <sz val="14"/>
      <color theme="1"/>
      <name val="Comic Sans MS"/>
      <family val="4"/>
    </font>
    <font>
      <sz val="7"/>
      <color theme="1"/>
      <name val="Comic Sans MS"/>
      <family val="4"/>
    </font>
    <font>
      <sz val="9"/>
      <color theme="1"/>
      <name val="Times New Roman"/>
      <family val="1"/>
    </font>
    <font>
      <b/>
      <sz val="12"/>
      <color theme="1"/>
      <name val="Arial"/>
      <family val="2"/>
    </font>
    <font>
      <sz val="8"/>
      <color theme="1"/>
      <name val="Times New Roman"/>
      <family val="1"/>
    </font>
    <font>
      <b/>
      <sz val="8"/>
      <color theme="1"/>
      <name val="Times New Roman"/>
      <family val="1"/>
    </font>
    <font>
      <sz val="10"/>
      <color theme="1"/>
      <name val="Times New Roman"/>
      <family val="1"/>
    </font>
    <font>
      <b/>
      <sz val="10"/>
      <color theme="1"/>
      <name val="Times New Roman"/>
      <family val="1"/>
    </font>
    <font>
      <b/>
      <sz val="8"/>
      <color rgb="FFFF0000"/>
      <name val="Times New Roman"/>
      <family val="1"/>
    </font>
    <font>
      <sz val="8"/>
      <color rgb="FFFF0000"/>
      <name val="Times New Roman"/>
      <family val="1"/>
    </font>
    <font>
      <sz val="8"/>
      <color rgb="FF0000FF"/>
      <name val="Arial"/>
      <family val="2"/>
    </font>
    <font>
      <b/>
      <sz val="10"/>
      <color rgb="FFFFFFFF"/>
      <name val="Times New Roman"/>
      <family val="1"/>
    </font>
    <font>
      <b/>
      <sz val="10"/>
      <color rgb="FF000000"/>
      <name val="Arial"/>
      <family val="2"/>
    </font>
    <font>
      <sz val="10"/>
      <color rgb="FF000000"/>
      <name val="Arial"/>
      <family val="2"/>
    </font>
    <font>
      <b/>
      <sz val="10"/>
      <color rgb="FFFF6600"/>
      <name val="Arial"/>
      <family val="2"/>
    </font>
    <font>
      <sz val="11"/>
      <color rgb="FF000000"/>
      <name val="Calibri"/>
      <family val="2"/>
    </font>
    <font>
      <b/>
      <sz val="11"/>
      <color rgb="FF000000"/>
      <name val="Calibri"/>
      <family val="2"/>
    </font>
    <font>
      <b/>
      <sz val="11"/>
      <color rgb="FF00CCFF"/>
      <name val="Calibri"/>
      <family val="2"/>
    </font>
    <font>
      <b/>
      <sz val="11"/>
      <color rgb="FF008000"/>
      <name val="Calibri"/>
      <family val="2"/>
    </font>
    <font>
      <b/>
      <sz val="11"/>
      <color rgb="FF800080"/>
      <name val="Calibri"/>
      <family val="2"/>
    </font>
    <font>
      <b/>
      <sz val="11"/>
      <color rgb="FFFF6600"/>
      <name val="Calibri"/>
      <family val="2"/>
    </font>
    <font>
      <b/>
      <sz val="11"/>
      <color rgb="FF808080"/>
      <name val="Calibri"/>
      <family val="2"/>
    </font>
    <font>
      <b/>
      <sz val="11"/>
      <color rgb="FFFF0000"/>
      <name val="Calibri"/>
      <family val="2"/>
    </font>
    <font>
      <sz val="8"/>
      <color rgb="FF000000"/>
      <name val="Calibri"/>
      <family val="2"/>
    </font>
    <font>
      <b/>
      <sz val="8"/>
      <color rgb="FFFF0000"/>
      <name val="Comic Sans MS"/>
      <family val="4"/>
    </font>
    <font>
      <b/>
      <sz val="7"/>
      <color rgb="FFFF0000"/>
      <name val="Comic Sans MS"/>
      <family val="4"/>
    </font>
    <font>
      <sz val="8"/>
      <color rgb="FFFF0000"/>
      <name val="Comic Sans MS"/>
      <family val="4"/>
    </font>
    <font>
      <sz val="7"/>
      <color rgb="FFFF0000"/>
      <name val="Comic Sans MS"/>
      <family val="4"/>
    </font>
    <font>
      <b/>
      <sz val="7"/>
      <color rgb="FF000000"/>
      <name val="Comic Sans MS"/>
      <family val="4"/>
    </font>
    <font>
      <b/>
      <sz val="10"/>
      <color theme="1"/>
      <name val="Comic Sans MS"/>
      <family val="4"/>
    </font>
    <font>
      <sz val="10"/>
      <color rgb="FFFFFFFF"/>
      <name val="Calibri"/>
      <family val="2"/>
    </font>
    <font>
      <b/>
      <sz val="7"/>
      <color theme="1"/>
      <name val="Calibri"/>
      <family val="2"/>
    </font>
    <font>
      <sz val="7"/>
      <color theme="1"/>
      <name val="Calibri"/>
      <family val="2"/>
    </font>
    <font>
      <b/>
      <i/>
      <sz val="7"/>
      <color theme="1"/>
      <name val="Calibri"/>
      <family val="2"/>
    </font>
    <font>
      <b/>
      <sz val="14"/>
      <color rgb="FF000080"/>
      <name val="Calibri"/>
      <family val="2"/>
    </font>
    <font>
      <i/>
      <sz val="8"/>
      <color theme="1"/>
      <name val="Calibri"/>
      <family val="2"/>
    </font>
    <font>
      <b/>
      <sz val="14"/>
      <color rgb="FF000080"/>
      <name val="Comic Sans MS"/>
      <family val="4"/>
    </font>
    <font>
      <sz val="14"/>
      <color theme="1"/>
      <name val="Arial"/>
      <family val="2"/>
    </font>
    <font>
      <b/>
      <sz val="12"/>
      <color rgb="FF000000"/>
      <name val="Comic Sans MS"/>
      <family val="4"/>
    </font>
    <font>
      <sz val="12"/>
      <color theme="1"/>
      <name val="Comic Sans MS"/>
      <family val="4"/>
    </font>
    <font>
      <sz val="7"/>
      <color theme="1"/>
      <name val="@batang"/>
    </font>
    <font>
      <sz val="10"/>
      <color theme="1"/>
      <name val="Comic Sans MS"/>
      <family val="4"/>
    </font>
    <font>
      <sz val="7"/>
      <color rgb="FFFFFFFF"/>
      <name val="Comic Sans MS"/>
      <family val="4"/>
    </font>
    <font>
      <sz val="10"/>
      <color rgb="FFFFFFFF"/>
      <name val="Arial"/>
      <family val="2"/>
    </font>
    <font>
      <b/>
      <sz val="8"/>
      <color rgb="FFFF0000"/>
      <name val="Calibri"/>
      <family val="2"/>
    </font>
    <font>
      <sz val="8"/>
      <color rgb="FFFF0000"/>
      <name val="Calibri"/>
      <family val="2"/>
    </font>
    <font>
      <sz val="8"/>
      <color rgb="FFFFFFFF"/>
      <name val="Calibri"/>
      <family val="2"/>
    </font>
    <font>
      <sz val="18"/>
      <color theme="1"/>
      <name val="Arial"/>
      <family val="2"/>
    </font>
    <font>
      <sz val="9"/>
      <color theme="1"/>
      <name val="&quot;Comic Sans MS&quot;"/>
    </font>
    <font>
      <sz val="9"/>
      <color rgb="FFFF0000"/>
      <name val="&quot;Comic Sans MS&quot;"/>
    </font>
    <font>
      <sz val="11"/>
      <color rgb="FFFF0000"/>
      <name val="Arial"/>
      <family val="2"/>
    </font>
    <font>
      <sz val="18"/>
      <color theme="1"/>
      <name val="Roboto"/>
    </font>
    <font>
      <b/>
      <vertAlign val="subscript"/>
      <sz val="11"/>
      <color rgb="FFFFFFFF"/>
      <name val="Calibri"/>
      <family val="2"/>
    </font>
    <font>
      <b/>
      <vertAlign val="subscript"/>
      <sz val="11"/>
      <color theme="1"/>
      <name val="Calibri"/>
      <family val="2"/>
    </font>
    <font>
      <vertAlign val="subscript"/>
      <sz val="11"/>
      <color theme="1"/>
      <name val="Calibri"/>
      <family val="2"/>
    </font>
    <font>
      <sz val="11"/>
      <color rgb="FF1155CC"/>
      <name val="Calibri"/>
      <family val="2"/>
    </font>
    <font>
      <b/>
      <vertAlign val="subscript"/>
      <sz val="9"/>
      <color theme="1"/>
      <name val="Calibri"/>
      <family val="2"/>
    </font>
    <font>
      <vertAlign val="subscript"/>
      <sz val="14"/>
      <color theme="1"/>
      <name val="Comic Sans MS"/>
      <family val="4"/>
    </font>
    <font>
      <b/>
      <vertAlign val="subscript"/>
      <sz val="10"/>
      <color theme="1"/>
      <name val="Arial"/>
      <family val="2"/>
    </font>
    <font>
      <b/>
      <vertAlign val="subscript"/>
      <sz val="18"/>
      <color rgb="FF548DD4"/>
      <name val="Calibri"/>
      <family val="2"/>
    </font>
    <font>
      <vertAlign val="subscript"/>
      <sz val="14"/>
      <color rgb="FF000000"/>
      <name val="Comic Sans MS"/>
      <family val="4"/>
    </font>
    <font>
      <b/>
      <vertAlign val="subscript"/>
      <sz val="11"/>
      <color theme="1"/>
      <name val="Arial"/>
      <family val="2"/>
    </font>
    <font>
      <b/>
      <vertAlign val="subscript"/>
      <sz val="11"/>
      <color theme="1"/>
      <name val="Comic Sans MS"/>
      <family val="4"/>
    </font>
    <font>
      <vertAlign val="superscript"/>
      <sz val="11"/>
      <color theme="1"/>
      <name val="Calibri"/>
      <family val="2"/>
    </font>
    <font>
      <vertAlign val="subscript"/>
      <sz val="10"/>
      <color theme="1"/>
      <name val="Arial"/>
      <family val="2"/>
    </font>
    <font>
      <vertAlign val="subscript"/>
      <sz val="10"/>
      <color rgb="FFFF0000"/>
      <name val="Arial"/>
      <family val="2"/>
    </font>
    <font>
      <b/>
      <vertAlign val="subscript"/>
      <sz val="10"/>
      <color rgb="FFFF0000"/>
      <name val="Arial"/>
      <family val="2"/>
    </font>
    <font>
      <b/>
      <sz val="10"/>
      <color rgb="FF339966"/>
      <name val="MS Sans Serif"/>
    </font>
    <font>
      <b/>
      <sz val="10"/>
      <color theme="1"/>
      <name val="MS Sans Serif"/>
    </font>
    <font>
      <b/>
      <sz val="10"/>
      <color rgb="FF0000FF"/>
      <name val="MS Sans Serif"/>
    </font>
    <font>
      <b/>
      <sz val="10"/>
      <color rgb="FFFF0000"/>
      <name val="MS Sans Serif"/>
    </font>
    <font>
      <sz val="10"/>
      <color rgb="FF993366"/>
      <name val="MS Sans Serif"/>
    </font>
    <font>
      <sz val="10"/>
      <color theme="1"/>
      <name val="MS Sans Serif"/>
    </font>
    <font>
      <sz val="10"/>
      <color rgb="FF339966"/>
      <name val="MS Sans Serif"/>
    </font>
    <font>
      <vertAlign val="subscript"/>
      <sz val="10"/>
      <color theme="1"/>
      <name val="MS Sans Serif"/>
    </font>
    <font>
      <b/>
      <vertAlign val="subscript"/>
      <sz val="10"/>
      <color theme="1"/>
      <name val="MS Sans Serif"/>
    </font>
    <font>
      <vertAlign val="subscript"/>
      <sz val="14"/>
      <color theme="1"/>
      <name val="Calibri"/>
      <family val="2"/>
    </font>
    <font>
      <b/>
      <vertAlign val="subscript"/>
      <sz val="14"/>
      <color theme="1"/>
      <name val="Calibri"/>
      <family val="2"/>
    </font>
    <font>
      <vertAlign val="subscript"/>
      <sz val="14"/>
      <color rgb="FF000000"/>
      <name val="Calibri"/>
      <family val="2"/>
    </font>
    <font>
      <vertAlign val="subscript"/>
      <sz val="8"/>
      <color theme="1"/>
      <name val="Arial"/>
      <family val="2"/>
    </font>
    <font>
      <b/>
      <vertAlign val="subscript"/>
      <sz val="11"/>
      <color rgb="FF0000FF"/>
      <name val="Calibri"/>
      <family val="2"/>
    </font>
    <font>
      <b/>
      <vertAlign val="subscript"/>
      <sz val="8"/>
      <color rgb="FFFF0000"/>
      <name val="Arial"/>
      <family val="2"/>
    </font>
    <font>
      <b/>
      <vertAlign val="subscript"/>
      <sz val="8"/>
      <color rgb="FF000000"/>
      <name val="Arial"/>
      <family val="2"/>
    </font>
    <font>
      <b/>
      <vertAlign val="subscript"/>
      <sz val="8"/>
      <color theme="1"/>
      <name val="Arial"/>
      <family val="2"/>
    </font>
    <font>
      <b/>
      <vertAlign val="subscript"/>
      <sz val="10"/>
      <color theme="1"/>
      <name val="Calibri"/>
      <family val="2"/>
    </font>
    <font>
      <b/>
      <vertAlign val="subscript"/>
      <sz val="8"/>
      <color theme="1"/>
      <name val="Comic Sans MS"/>
      <family val="4"/>
    </font>
    <font>
      <vertAlign val="subscript"/>
      <sz val="8"/>
      <color rgb="FF000000"/>
      <name val="Comic Sans MS"/>
      <family val="4"/>
    </font>
    <font>
      <vertAlign val="subscript"/>
      <sz val="8"/>
      <color theme="1"/>
      <name val="Comic Sans MS"/>
      <family val="4"/>
    </font>
    <font>
      <b/>
      <vertAlign val="subscript"/>
      <sz val="14"/>
      <color theme="1"/>
      <name val="Comic Sans MS"/>
      <family val="4"/>
    </font>
    <font>
      <b/>
      <vertAlign val="subscript"/>
      <sz val="10"/>
      <color theme="1"/>
      <name val="Times New Roman"/>
      <family val="1"/>
    </font>
    <font>
      <b/>
      <vertAlign val="subscript"/>
      <sz val="9"/>
      <color theme="1"/>
      <name val="Arial"/>
      <family val="2"/>
    </font>
    <font>
      <b/>
      <vertAlign val="subscript"/>
      <sz val="11"/>
      <color rgb="FF00CCFF"/>
      <name val="Calibri"/>
      <family val="2"/>
    </font>
    <font>
      <b/>
      <vertAlign val="subscript"/>
      <sz val="11"/>
      <color rgb="FF008000"/>
      <name val="Calibri"/>
      <family val="2"/>
    </font>
    <font>
      <b/>
      <vertAlign val="subscript"/>
      <sz val="11"/>
      <color rgb="FFFF6600"/>
      <name val="Calibri"/>
      <family val="2"/>
    </font>
    <font>
      <b/>
      <vertAlign val="subscript"/>
      <sz val="11"/>
      <color rgb="FF808080"/>
      <name val="Calibri"/>
      <family val="2"/>
    </font>
    <font>
      <b/>
      <vertAlign val="subscript"/>
      <sz val="11"/>
      <color rgb="FFFF0000"/>
      <name val="Calibri"/>
      <family val="2"/>
    </font>
    <font>
      <b/>
      <vertAlign val="subscript"/>
      <sz val="11"/>
      <color rgb="FF993300"/>
      <name val="Calibri"/>
      <family val="2"/>
    </font>
    <font>
      <i/>
      <sz val="10"/>
      <color theme="1"/>
      <name val="Arial"/>
      <family val="2"/>
    </font>
    <font>
      <b/>
      <vertAlign val="subscript"/>
      <sz val="10"/>
      <color theme="1"/>
      <name val="Comic Sans MS"/>
      <family val="4"/>
    </font>
    <font>
      <b/>
      <vertAlign val="subscript"/>
      <sz val="7"/>
      <color theme="1"/>
      <name val="Calibri"/>
      <family val="2"/>
    </font>
    <font>
      <b/>
      <vertAlign val="superscript"/>
      <sz val="7"/>
      <color theme="1"/>
      <name val="Calibri"/>
      <family val="2"/>
    </font>
    <font>
      <b/>
      <vertAlign val="subscript"/>
      <sz val="8"/>
      <color theme="1"/>
      <name val="Calibri"/>
      <family val="2"/>
    </font>
    <font>
      <b/>
      <vertAlign val="subscript"/>
      <sz val="7"/>
      <color theme="1"/>
      <name val="Comic Sans MS"/>
      <family val="4"/>
    </font>
    <font>
      <b/>
      <vertAlign val="subscript"/>
      <sz val="12"/>
      <color rgb="FF000000"/>
      <name val="Comic Sans MS"/>
      <family val="4"/>
    </font>
    <font>
      <vertAlign val="superscript"/>
      <sz val="7"/>
      <color theme="1"/>
      <name val="Comic Sans MS"/>
      <family val="4"/>
    </font>
    <font>
      <vertAlign val="subscript"/>
      <sz val="7"/>
      <color theme="1"/>
      <name val="Comic Sans MS"/>
      <family val="4"/>
    </font>
    <font>
      <b/>
      <vertAlign val="subscript"/>
      <sz val="7"/>
      <color theme="1"/>
      <name val="Arial"/>
      <family val="2"/>
    </font>
    <font>
      <b/>
      <vertAlign val="superscript"/>
      <sz val="7"/>
      <color theme="1"/>
      <name val="Comic Sans MS"/>
      <family val="4"/>
    </font>
    <font>
      <vertAlign val="subscript"/>
      <sz val="12"/>
      <color theme="1"/>
      <name val="Comic Sans MS"/>
      <family val="4"/>
    </font>
    <font>
      <vertAlign val="subscript"/>
      <sz val="8"/>
      <color theme="1"/>
      <name val="Calibri"/>
      <family val="2"/>
    </font>
    <font>
      <b/>
      <vertAlign val="subscript"/>
      <sz val="8"/>
      <color rgb="FFFF0000"/>
      <name val="Calibri"/>
      <family val="2"/>
    </font>
    <font>
      <sz val="8"/>
      <color theme="1"/>
      <name val="Calibri"/>
      <family val="2"/>
    </font>
    <font>
      <b/>
      <sz val="14"/>
      <color theme="1"/>
      <name val="Calibri"/>
      <family val="2"/>
      <scheme val="major"/>
    </font>
    <font>
      <sz val="14"/>
      <name val="Calibri"/>
      <family val="2"/>
      <scheme val="major"/>
    </font>
    <font>
      <b/>
      <sz val="11"/>
      <color rgb="FFFFFFFF"/>
      <name val="Calibri"/>
      <family val="2"/>
    </font>
    <font>
      <sz val="11"/>
      <name val="Calibri"/>
      <family val="2"/>
    </font>
    <font>
      <b/>
      <sz val="11"/>
      <color theme="1"/>
      <name val="Calibri"/>
      <family val="2"/>
    </font>
    <font>
      <sz val="11"/>
      <color theme="1"/>
      <name val="Calibri"/>
      <family val="2"/>
    </font>
    <font>
      <i/>
      <sz val="11"/>
      <color theme="1"/>
      <name val="Calibri"/>
      <family val="2"/>
    </font>
    <font>
      <sz val="11"/>
      <color rgb="FFFF0000"/>
      <name val="Calibri"/>
      <family val="2"/>
    </font>
    <font>
      <b/>
      <sz val="8"/>
      <color theme="1"/>
      <name val="Calibri"/>
      <family val="2"/>
    </font>
    <font>
      <sz val="9"/>
      <color theme="1"/>
      <name val="Calibri"/>
      <family val="2"/>
    </font>
    <font>
      <sz val="8"/>
      <color rgb="FF000000"/>
      <name val="Calibri"/>
      <family val="2"/>
      <scheme val="minor"/>
    </font>
  </fonts>
  <fills count="53">
    <fill>
      <patternFill patternType="none"/>
    </fill>
    <fill>
      <patternFill patternType="gray125"/>
    </fill>
    <fill>
      <patternFill patternType="solid">
        <fgColor rgb="FFFFFFFF"/>
        <bgColor rgb="FFFFFFFF"/>
      </patternFill>
    </fill>
    <fill>
      <patternFill patternType="solid">
        <fgColor rgb="FF333333"/>
        <bgColor rgb="FF333333"/>
      </patternFill>
    </fill>
    <fill>
      <patternFill patternType="solid">
        <fgColor rgb="FFFFFF99"/>
        <bgColor rgb="FFFFFF99"/>
      </patternFill>
    </fill>
    <fill>
      <patternFill patternType="solid">
        <fgColor rgb="FFBFBFBF"/>
        <bgColor rgb="FFBFBFBF"/>
      </patternFill>
    </fill>
    <fill>
      <patternFill patternType="solid">
        <fgColor rgb="FFA4C2F4"/>
        <bgColor rgb="FFA4C2F4"/>
      </patternFill>
    </fill>
    <fill>
      <patternFill patternType="solid">
        <fgColor rgb="FFFCE4D6"/>
        <bgColor rgb="FFFCE4D6"/>
      </patternFill>
    </fill>
    <fill>
      <patternFill patternType="solid">
        <fgColor rgb="FFB7B7B7"/>
        <bgColor rgb="FFB7B7B7"/>
      </patternFill>
    </fill>
    <fill>
      <patternFill patternType="solid">
        <fgColor rgb="FF999999"/>
        <bgColor rgb="FF999999"/>
      </patternFill>
    </fill>
    <fill>
      <patternFill patternType="solid">
        <fgColor rgb="FFC0C0C0"/>
        <bgColor rgb="FFC0C0C0"/>
      </patternFill>
    </fill>
    <fill>
      <patternFill patternType="solid">
        <fgColor rgb="FFCCCCCC"/>
        <bgColor rgb="FFCCCCCC"/>
      </patternFill>
    </fill>
    <fill>
      <patternFill patternType="solid">
        <fgColor rgb="FFCCFFFF"/>
        <bgColor rgb="FFCCFFFF"/>
      </patternFill>
    </fill>
    <fill>
      <patternFill patternType="solid">
        <fgColor rgb="FF99CC00"/>
        <bgColor rgb="FF99CC00"/>
      </patternFill>
    </fill>
    <fill>
      <patternFill patternType="solid">
        <fgColor rgb="FFFFF2CC"/>
        <bgColor rgb="FFFFF2CC"/>
      </patternFill>
    </fill>
    <fill>
      <patternFill patternType="solid">
        <fgColor rgb="FFFF99CC"/>
        <bgColor rgb="FFFF99CC"/>
      </patternFill>
    </fill>
    <fill>
      <patternFill patternType="solid">
        <fgColor rgb="FFFCE5CD"/>
        <bgColor rgb="FFFCE5CD"/>
      </patternFill>
    </fill>
    <fill>
      <patternFill patternType="solid">
        <fgColor rgb="FFCFE2F3"/>
        <bgColor rgb="FFCFE2F3"/>
      </patternFill>
    </fill>
    <fill>
      <patternFill patternType="solid">
        <fgColor rgb="FFEAD1DC"/>
        <bgColor rgb="FFEAD1DC"/>
      </patternFill>
    </fill>
    <fill>
      <patternFill patternType="solid">
        <fgColor rgb="FFD9EAD3"/>
        <bgColor rgb="FFD9EAD3"/>
      </patternFill>
    </fill>
    <fill>
      <patternFill patternType="solid">
        <fgColor rgb="FFEFEFEF"/>
        <bgColor rgb="FFEFEFEF"/>
      </patternFill>
    </fill>
    <fill>
      <patternFill patternType="solid">
        <fgColor rgb="FF808080"/>
        <bgColor rgb="FF808080"/>
      </patternFill>
    </fill>
    <fill>
      <patternFill patternType="solid">
        <fgColor rgb="FFCC99FF"/>
        <bgColor rgb="FFCC99FF"/>
      </patternFill>
    </fill>
    <fill>
      <patternFill patternType="solid">
        <fgColor rgb="FF969696"/>
        <bgColor rgb="FF969696"/>
      </patternFill>
    </fill>
    <fill>
      <patternFill patternType="solid">
        <fgColor rgb="FFD8D8D8"/>
        <bgColor rgb="FFD8D8D8"/>
      </patternFill>
    </fill>
    <fill>
      <patternFill patternType="solid">
        <fgColor rgb="FF7F7F7F"/>
        <bgColor rgb="FF7F7F7F"/>
      </patternFill>
    </fill>
    <fill>
      <patternFill patternType="solid">
        <fgColor rgb="FFFFCC99"/>
        <bgColor rgb="FFFFCC99"/>
      </patternFill>
    </fill>
    <fill>
      <patternFill patternType="solid">
        <fgColor rgb="FFCCFFCC"/>
        <bgColor rgb="FFCCFFCC"/>
      </patternFill>
    </fill>
    <fill>
      <patternFill patternType="solid">
        <fgColor rgb="FF00FF00"/>
        <bgColor rgb="FF00FF00"/>
      </patternFill>
    </fill>
    <fill>
      <patternFill patternType="solid">
        <fgColor rgb="FFFF00FF"/>
        <bgColor rgb="FFFF00FF"/>
      </patternFill>
    </fill>
    <fill>
      <patternFill patternType="solid">
        <fgColor rgb="FFFFCC00"/>
        <bgColor rgb="FFFFCC00"/>
      </patternFill>
    </fill>
    <fill>
      <patternFill patternType="solid">
        <fgColor rgb="FF339966"/>
        <bgColor rgb="FF339966"/>
      </patternFill>
    </fill>
    <fill>
      <patternFill patternType="solid">
        <fgColor rgb="FFFFFF00"/>
        <bgColor rgb="FFFFFF00"/>
      </patternFill>
    </fill>
    <fill>
      <patternFill patternType="solid">
        <fgColor rgb="FFE5B8B7"/>
        <bgColor rgb="FFE5B8B7"/>
      </patternFill>
    </fill>
    <fill>
      <patternFill patternType="solid">
        <fgColor rgb="FFD6E3BC"/>
        <bgColor rgb="FFD6E3BC"/>
      </patternFill>
    </fill>
    <fill>
      <patternFill patternType="solid">
        <fgColor rgb="FF8DB3E2"/>
        <bgColor rgb="FF8DB3E2"/>
      </patternFill>
    </fill>
    <fill>
      <patternFill patternType="solid">
        <fgColor rgb="FFFABF8F"/>
        <bgColor rgb="FFFABF8F"/>
      </patternFill>
    </fill>
    <fill>
      <patternFill patternType="solid">
        <fgColor rgb="FF00B0F0"/>
        <bgColor rgb="FF00B0F0"/>
      </patternFill>
    </fill>
    <fill>
      <patternFill patternType="solid">
        <fgColor rgb="FFFF0000"/>
        <bgColor rgb="FFFF0000"/>
      </patternFill>
    </fill>
    <fill>
      <patternFill patternType="solid">
        <fgColor rgb="FFD9D9D9"/>
        <bgColor rgb="FFD9D9D9"/>
      </patternFill>
    </fill>
    <fill>
      <patternFill patternType="solid">
        <fgColor rgb="FF99CCFF"/>
        <bgColor rgb="FF99CCFF"/>
      </patternFill>
    </fill>
    <fill>
      <patternFill patternType="solid">
        <fgColor rgb="FF92D050"/>
        <bgColor rgb="FF92D050"/>
      </patternFill>
    </fill>
    <fill>
      <patternFill patternType="solid">
        <fgColor rgb="FF33CCCC"/>
        <bgColor rgb="FF33CCCC"/>
      </patternFill>
    </fill>
    <fill>
      <patternFill patternType="solid">
        <fgColor rgb="FFFFFFCC"/>
        <bgColor rgb="FFFFFFCC"/>
      </patternFill>
    </fill>
    <fill>
      <patternFill patternType="solid">
        <fgColor rgb="FFC6D9F0"/>
        <bgColor rgb="FFC6D9F0"/>
      </patternFill>
    </fill>
    <fill>
      <patternFill patternType="solid">
        <fgColor rgb="FF808000"/>
        <bgColor rgb="FF808000"/>
      </patternFill>
    </fill>
    <fill>
      <patternFill patternType="solid">
        <fgColor rgb="FFFFC000"/>
        <bgColor rgb="FFFFC000"/>
      </patternFill>
    </fill>
    <fill>
      <patternFill patternType="solid">
        <fgColor rgb="FF548DD4"/>
        <bgColor rgb="FF548DD4"/>
      </patternFill>
    </fill>
    <fill>
      <patternFill patternType="solid">
        <fgColor rgb="FFF4CCCC"/>
        <bgColor rgb="FFF4CCCC"/>
      </patternFill>
    </fill>
    <fill>
      <patternFill patternType="solid">
        <fgColor rgb="FFB6DDE8"/>
        <bgColor rgb="FFB6DDE8"/>
      </patternFill>
    </fill>
    <fill>
      <patternFill patternType="solid">
        <fgColor rgb="FF008000"/>
        <bgColor rgb="FF008000"/>
      </patternFill>
    </fill>
    <fill>
      <patternFill patternType="solid">
        <fgColor rgb="FFF2F2F2"/>
        <bgColor rgb="FFF2F2F2"/>
      </patternFill>
    </fill>
    <fill>
      <patternFill patternType="solid">
        <fgColor rgb="FFFFFF99"/>
        <bgColor indexed="64"/>
      </patternFill>
    </fill>
  </fills>
  <borders count="365">
    <border>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style="medium">
        <color rgb="FF000000"/>
      </right>
      <top style="thin">
        <color rgb="FF000000"/>
      </top>
      <bottom style="thin">
        <color rgb="FF000000"/>
      </bottom>
      <diagonal/>
    </border>
    <border>
      <left style="medium">
        <color rgb="FFC0C0C0"/>
      </left>
      <right style="medium">
        <color rgb="FF000000"/>
      </right>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bottom/>
      <diagonal/>
    </border>
    <border>
      <left/>
      <right style="medium">
        <color rgb="FF000000"/>
      </right>
      <top/>
      <bottom style="medium">
        <color rgb="FF000000"/>
      </bottom>
      <diagonal/>
    </border>
    <border>
      <left/>
      <right/>
      <top/>
      <bottom/>
      <diagonal/>
    </border>
    <border>
      <left style="thick">
        <color rgb="FF000000"/>
      </left>
      <right style="medium">
        <color rgb="FF000000"/>
      </right>
      <top style="thick">
        <color rgb="FF000000"/>
      </top>
      <bottom/>
      <diagonal/>
    </border>
    <border>
      <left style="medium">
        <color rgb="FF000000"/>
      </left>
      <right style="medium">
        <color rgb="FF000000"/>
      </right>
      <top style="thick">
        <color rgb="FF000000"/>
      </top>
      <bottom/>
      <diagonal/>
    </border>
    <border>
      <left style="thick">
        <color rgb="FF000000"/>
      </left>
      <right style="medium">
        <color rgb="FF000000"/>
      </right>
      <top/>
      <bottom/>
      <diagonal/>
    </border>
    <border>
      <left style="thick">
        <color rgb="FF000000"/>
      </left>
      <right style="medium">
        <color rgb="FF000000"/>
      </right>
      <top/>
      <bottom/>
      <diagonal/>
    </border>
    <border>
      <left style="thick">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thick">
        <color rgb="FF000000"/>
      </left>
      <right style="medium">
        <color rgb="FF000000"/>
      </right>
      <top/>
      <bottom style="medium">
        <color rgb="FF000000"/>
      </bottom>
      <diagonal/>
    </border>
    <border>
      <left style="thick">
        <color rgb="FF000000"/>
      </left>
      <right style="medium">
        <color rgb="FF000000"/>
      </right>
      <top/>
      <bottom style="thick">
        <color rgb="FF000000"/>
      </bottom>
      <diagonal/>
    </border>
    <border>
      <left style="medium">
        <color rgb="FF000000"/>
      </left>
      <right style="medium">
        <color rgb="FF000000"/>
      </right>
      <top/>
      <bottom style="thick">
        <color rgb="FF000000"/>
      </bottom>
      <diagonal/>
    </border>
    <border>
      <left style="double">
        <color rgb="FF000000"/>
      </left>
      <right style="double">
        <color rgb="FF000000"/>
      </right>
      <top style="double">
        <color rgb="FF000000"/>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double">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rgb="FF000000"/>
      </right>
      <top style="double">
        <color rgb="FF000000"/>
      </top>
      <bottom/>
      <diagonal/>
    </border>
    <border>
      <left style="double">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double">
        <color rgb="FF000000"/>
      </right>
      <top style="thin">
        <color rgb="FF000000"/>
      </top>
      <bottom style="thick">
        <color rgb="FF000000"/>
      </bottom>
      <diagonal/>
    </border>
    <border>
      <left style="double">
        <color rgb="FF000000"/>
      </left>
      <right style="thin">
        <color rgb="FF000000"/>
      </right>
      <top/>
      <bottom style="thin">
        <color rgb="FF000000"/>
      </bottom>
      <diagonal/>
    </border>
    <border>
      <left style="thin">
        <color rgb="FF000000"/>
      </left>
      <right style="double">
        <color rgb="FF000000"/>
      </right>
      <top/>
      <bottom style="thin">
        <color rgb="FF000000"/>
      </bottom>
      <diagonal/>
    </border>
    <border>
      <left/>
      <right style="medium">
        <color rgb="FF000000"/>
      </right>
      <top style="medium">
        <color rgb="FF000000"/>
      </top>
      <bottom/>
      <diagonal/>
    </border>
    <border>
      <left/>
      <right/>
      <top style="medium">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double">
        <color rgb="FF000000"/>
      </left>
      <right style="medium">
        <color rgb="FF000000"/>
      </right>
      <top style="double">
        <color rgb="FF000000"/>
      </top>
      <bottom/>
      <diagonal/>
    </border>
    <border>
      <left style="medium">
        <color rgb="FF000000"/>
      </left>
      <right style="medium">
        <color rgb="FF000000"/>
      </right>
      <top style="double">
        <color rgb="FF000000"/>
      </top>
      <bottom/>
      <diagonal/>
    </border>
    <border>
      <left style="medium">
        <color rgb="FF000000"/>
      </left>
      <right style="double">
        <color rgb="FF000000"/>
      </right>
      <top style="double">
        <color rgb="FF000000"/>
      </top>
      <bottom/>
      <diagonal/>
    </border>
    <border>
      <left style="double">
        <color rgb="FF000000"/>
      </left>
      <right/>
      <top/>
      <bottom/>
      <diagonal/>
    </border>
    <border>
      <left style="double">
        <color rgb="FF000000"/>
      </left>
      <right/>
      <top/>
      <bottom style="medium">
        <color rgb="FF000000"/>
      </bottom>
      <diagonal/>
    </border>
    <border>
      <left style="medium">
        <color rgb="FF000000"/>
      </left>
      <right style="double">
        <color rgb="FF000000"/>
      </right>
      <top/>
      <bottom style="medium">
        <color rgb="FF000000"/>
      </bottom>
      <diagonal/>
    </border>
    <border>
      <left style="double">
        <color rgb="FF000000"/>
      </left>
      <right/>
      <top style="medium">
        <color rgb="FF000000"/>
      </top>
      <bottom/>
      <diagonal/>
    </border>
    <border>
      <left style="medium">
        <color rgb="FF000000"/>
      </left>
      <right style="double">
        <color rgb="FF000000"/>
      </right>
      <top style="medium">
        <color rgb="FF000000"/>
      </top>
      <bottom/>
      <diagonal/>
    </border>
    <border>
      <left style="double">
        <color rgb="FF000000"/>
      </left>
      <right/>
      <top style="thin">
        <color rgb="FF000000"/>
      </top>
      <bottom style="thin">
        <color rgb="FF000000"/>
      </bottom>
      <diagonal/>
    </border>
    <border>
      <left style="medium">
        <color rgb="FF000000"/>
      </left>
      <right style="double">
        <color rgb="FF000000"/>
      </right>
      <top style="thin">
        <color rgb="FF000000"/>
      </top>
      <bottom style="thin">
        <color rgb="FF000000"/>
      </bottom>
      <diagonal/>
    </border>
    <border>
      <left style="double">
        <color rgb="FF000000"/>
      </left>
      <right/>
      <top style="thin">
        <color rgb="FF000000"/>
      </top>
      <bottom/>
      <diagonal/>
    </border>
    <border>
      <left style="medium">
        <color rgb="FF000000"/>
      </left>
      <right style="medium">
        <color rgb="FF000000"/>
      </right>
      <top style="thin">
        <color rgb="FF000000"/>
      </top>
      <bottom/>
      <diagonal/>
    </border>
    <border>
      <left style="medium">
        <color rgb="FF000000"/>
      </left>
      <right style="double">
        <color rgb="FF000000"/>
      </right>
      <top style="thin">
        <color rgb="FF000000"/>
      </top>
      <bottom/>
      <diagonal/>
    </border>
    <border>
      <left style="double">
        <color rgb="FF000000"/>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double">
        <color rgb="FF000000"/>
      </right>
      <top style="medium">
        <color rgb="FF000000"/>
      </top>
      <bottom style="medium">
        <color rgb="FF000000"/>
      </bottom>
      <diagonal/>
    </border>
    <border>
      <left style="double">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rgb="FF000000"/>
      </bottom>
      <diagonal/>
    </border>
    <border>
      <left style="medium">
        <color rgb="FF000000"/>
      </left>
      <right/>
      <top style="double">
        <color rgb="FF000000"/>
      </top>
      <bottom/>
      <diagonal/>
    </border>
    <border>
      <left style="double">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double">
        <color rgb="FF000000"/>
      </right>
      <top style="medium">
        <color rgb="FF000000"/>
      </top>
      <bottom style="medium">
        <color rgb="FF000000"/>
      </bottom>
      <diagonal/>
    </border>
    <border>
      <left style="double">
        <color rgb="FF000000"/>
      </left>
      <right/>
      <top/>
      <bottom style="double">
        <color rgb="FF000000"/>
      </bottom>
      <diagonal/>
    </border>
    <border>
      <left style="medium">
        <color rgb="FF000000"/>
      </left>
      <right style="medium">
        <color rgb="FF000000"/>
      </right>
      <top/>
      <bottom style="double">
        <color rgb="FF000000"/>
      </bottom>
      <diagonal/>
    </border>
    <border>
      <left style="medium">
        <color rgb="FF000000"/>
      </left>
      <right style="double">
        <color rgb="FF000000"/>
      </right>
      <top/>
      <bottom style="double">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diagonal/>
    </border>
    <border>
      <left style="medium">
        <color rgb="FF000000"/>
      </left>
      <right/>
      <top style="thin">
        <color rgb="FF000000"/>
      </top>
      <bottom style="thin">
        <color rgb="FF000000"/>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bottom/>
      <diagonal/>
    </border>
    <border>
      <left/>
      <right style="medium">
        <color rgb="FF000000"/>
      </right>
      <top style="thin">
        <color rgb="FF000000"/>
      </top>
      <bottom/>
      <diagonal/>
    </border>
    <border>
      <left/>
      <right/>
      <top style="medium">
        <color rgb="FF000000"/>
      </top>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n">
        <color rgb="FF000000"/>
      </top>
      <bottom/>
      <diagonal/>
    </border>
    <border>
      <left/>
      <right/>
      <top style="medium">
        <color rgb="FF000000"/>
      </top>
      <bottom style="medium">
        <color rgb="FF000000"/>
      </bottom>
      <diagonal/>
    </border>
    <border>
      <left style="double">
        <color rgb="FF000000"/>
      </left>
      <right/>
      <top style="medium">
        <color rgb="FF000000"/>
      </top>
      <bottom style="thin">
        <color rgb="FF000000"/>
      </bottom>
      <diagonal/>
    </border>
    <border>
      <left/>
      <right style="double">
        <color rgb="FF000000"/>
      </right>
      <top style="medium">
        <color rgb="FF000000"/>
      </top>
      <bottom style="thin">
        <color rgb="FF000000"/>
      </bottom>
      <diagonal/>
    </border>
    <border>
      <left/>
      <right/>
      <top style="thin">
        <color rgb="FF000000"/>
      </top>
      <bottom/>
      <diagonal/>
    </border>
    <border>
      <left/>
      <right/>
      <top style="medium">
        <color rgb="FF000000"/>
      </top>
      <bottom style="medium">
        <color rgb="FF000000"/>
      </bottom>
      <diagonal/>
    </border>
    <border>
      <left style="thin">
        <color rgb="FF000000"/>
      </left>
      <right/>
      <top/>
      <bottom style="double">
        <color rgb="FF000000"/>
      </bottom>
      <diagonal/>
    </border>
    <border>
      <left/>
      <right/>
      <top style="double">
        <color rgb="FF000000"/>
      </top>
      <bottom/>
      <diagonal/>
    </border>
    <border>
      <left/>
      <right/>
      <top/>
      <bottom style="double">
        <color rgb="FF000000"/>
      </bottom>
      <diagonal/>
    </border>
    <border>
      <left/>
      <right style="double">
        <color rgb="FF000000"/>
      </right>
      <top style="thin">
        <color rgb="FF000000"/>
      </top>
      <bottom style="thin">
        <color rgb="FF000000"/>
      </bottom>
      <diagonal/>
    </border>
    <border>
      <left/>
      <right style="double">
        <color rgb="FF000000"/>
      </right>
      <top style="thin">
        <color rgb="FF000000"/>
      </top>
      <bottom/>
      <diagonal/>
    </border>
    <border>
      <left/>
      <right style="double">
        <color rgb="FF000000"/>
      </right>
      <top style="medium">
        <color rgb="FF000000"/>
      </top>
      <bottom style="medium">
        <color rgb="FF000000"/>
      </bottom>
      <diagonal/>
    </border>
    <border>
      <left style="double">
        <color rgb="FF000000"/>
      </left>
      <right/>
      <top style="thin">
        <color rgb="FF000000"/>
      </top>
      <bottom style="thin">
        <color rgb="FF000000"/>
      </bottom>
      <diagonal/>
    </border>
    <border>
      <left/>
      <right style="double">
        <color rgb="FF000000"/>
      </right>
      <top style="thin">
        <color rgb="FF000000"/>
      </top>
      <bottom style="thin">
        <color rgb="FF000000"/>
      </bottom>
      <diagonal/>
    </border>
    <border>
      <left style="medium">
        <color rgb="FF000000"/>
      </left>
      <right style="thick">
        <color rgb="FF000000"/>
      </right>
      <top style="thick">
        <color rgb="FF000000"/>
      </top>
      <bottom/>
      <diagonal/>
    </border>
    <border>
      <left style="medium">
        <color rgb="FF000000"/>
      </left>
      <right style="thick">
        <color rgb="FF000000"/>
      </right>
      <top/>
      <bottom/>
      <diagonal/>
    </border>
    <border>
      <left style="medium">
        <color rgb="FF000000"/>
      </left>
      <right style="thick">
        <color rgb="FF000000"/>
      </right>
      <top/>
      <bottom/>
      <diagonal/>
    </border>
    <border>
      <left style="medium">
        <color rgb="FF000000"/>
      </left>
      <right style="thick">
        <color rgb="FF000000"/>
      </right>
      <top style="medium">
        <color rgb="FF000000"/>
      </top>
      <bottom/>
      <diagonal/>
    </border>
    <border>
      <left style="medium">
        <color rgb="FF000000"/>
      </left>
      <right style="thick">
        <color rgb="FF000000"/>
      </right>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bottom/>
      <diagonal/>
    </border>
    <border>
      <left style="medium">
        <color rgb="FF000000"/>
      </left>
      <right style="thick">
        <color rgb="FF000000"/>
      </right>
      <top/>
      <bottom style="thick">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thin">
        <color rgb="FF000000"/>
      </bottom>
      <diagonal/>
    </border>
    <border>
      <left/>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top/>
      <bottom/>
      <diagonal/>
    </border>
    <border>
      <left/>
      <right/>
      <top style="thin">
        <color rgb="FF000000"/>
      </top>
      <bottom style="medium">
        <color rgb="FF00000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thin">
        <color rgb="FFC0C0C0"/>
      </left>
      <right style="thin">
        <color rgb="FFC0C0C0"/>
      </right>
      <top style="thin">
        <color rgb="FFC0C0C0"/>
      </top>
      <bottom style="medium">
        <color rgb="FF000000"/>
      </bottom>
      <diagonal/>
    </border>
    <border>
      <left style="thin">
        <color rgb="FFC0C0C0"/>
      </left>
      <right/>
      <top style="thin">
        <color rgb="FFC0C0C0"/>
      </top>
      <bottom style="medium">
        <color rgb="FF000000"/>
      </bottom>
      <diagonal/>
    </border>
    <border>
      <left style="thin">
        <color rgb="FF000000"/>
      </left>
      <right style="thin">
        <color rgb="FF000000"/>
      </right>
      <top style="thin">
        <color rgb="FF000000"/>
      </top>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style="thick">
        <color rgb="FF000000"/>
      </left>
      <right style="thin">
        <color rgb="FF000000"/>
      </right>
      <top style="medium">
        <color rgb="FF000000"/>
      </top>
      <bottom style="thin">
        <color rgb="FF000000"/>
      </bottom>
      <diagonal/>
    </border>
    <border>
      <left/>
      <right style="thick">
        <color rgb="FF000000"/>
      </right>
      <top style="medium">
        <color rgb="FF000000"/>
      </top>
      <bottom style="thin">
        <color rgb="FF000000"/>
      </bottom>
      <diagonal/>
    </border>
    <border>
      <left style="thick">
        <color rgb="FF000000"/>
      </left>
      <right style="thin">
        <color rgb="FF000000"/>
      </right>
      <top style="thin">
        <color rgb="FF000000"/>
      </top>
      <bottom style="medium">
        <color rgb="FF000000"/>
      </bottom>
      <diagonal/>
    </border>
    <border>
      <left style="thin">
        <color rgb="FF000000"/>
      </left>
      <right style="thick">
        <color rgb="FF000000"/>
      </right>
      <top style="thin">
        <color rgb="FF000000"/>
      </top>
      <bottom style="medium">
        <color rgb="FF000000"/>
      </bottom>
      <diagonal/>
    </border>
    <border>
      <left style="thick">
        <color rgb="FF000000"/>
      </left>
      <right style="thin">
        <color rgb="FF000000"/>
      </right>
      <top/>
      <bottom style="thin">
        <color rgb="FF000000"/>
      </bottom>
      <diagonal/>
    </border>
    <border>
      <left style="thin">
        <color rgb="FF000000"/>
      </left>
      <right style="thick">
        <color rgb="FF000000"/>
      </right>
      <top/>
      <bottom style="thin">
        <color rgb="FF000000"/>
      </bottom>
      <diagonal/>
    </border>
    <border>
      <left/>
      <right style="thin">
        <color rgb="FF000000"/>
      </right>
      <top style="thin">
        <color rgb="FF000000"/>
      </top>
      <bottom/>
      <diagonal/>
    </border>
    <border>
      <left/>
      <right style="thin">
        <color rgb="FF000000"/>
      </right>
      <top style="medium">
        <color rgb="FF000000"/>
      </top>
      <bottom style="medium">
        <color rgb="FF000000"/>
      </bottom>
      <diagonal/>
    </border>
    <border>
      <left style="thin">
        <color rgb="FF000000"/>
      </left>
      <right style="thick">
        <color rgb="FF000000"/>
      </right>
      <top style="medium">
        <color rgb="FF000000"/>
      </top>
      <bottom style="medium">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thin">
        <color rgb="FF000000"/>
      </right>
      <top style="thin">
        <color rgb="FF000000"/>
      </top>
      <bottom/>
      <diagonal/>
    </border>
    <border>
      <left/>
      <right style="thin">
        <color rgb="FF000000"/>
      </right>
      <top style="thin">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ck">
        <color rgb="FFFF0000"/>
      </left>
      <right style="thin">
        <color rgb="FF000000"/>
      </right>
      <top style="medium">
        <color rgb="FF000000"/>
      </top>
      <bottom/>
      <diagonal/>
    </border>
    <border>
      <left style="thin">
        <color rgb="FF000000"/>
      </left>
      <right style="thick">
        <color rgb="FFFF0000"/>
      </right>
      <top style="medium">
        <color rgb="FF000000"/>
      </top>
      <bottom/>
      <diagonal/>
    </border>
    <border>
      <left/>
      <right/>
      <top style="medium">
        <color rgb="FF000000"/>
      </top>
      <bottom/>
      <diagonal/>
    </border>
    <border>
      <left style="thick">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ck">
        <color rgb="FFFF0000"/>
      </left>
      <right style="thin">
        <color rgb="FF000000"/>
      </right>
      <top/>
      <bottom style="medium">
        <color rgb="FF000000"/>
      </bottom>
      <diagonal/>
    </border>
    <border>
      <left style="thin">
        <color rgb="FF000000"/>
      </left>
      <right style="thick">
        <color rgb="FFFF0000"/>
      </right>
      <top/>
      <bottom style="medium">
        <color rgb="FF000000"/>
      </bottom>
      <diagonal/>
    </border>
    <border>
      <left/>
      <right/>
      <top/>
      <bottom style="medium">
        <color rgb="FF000000"/>
      </bottom>
      <diagonal/>
    </border>
    <border>
      <left style="thick">
        <color rgb="FFFF0000"/>
      </left>
      <right style="thin">
        <color rgb="FF000000"/>
      </right>
      <top style="medium">
        <color rgb="FF000000"/>
      </top>
      <bottom style="thin">
        <color rgb="FF000000"/>
      </bottom>
      <diagonal/>
    </border>
    <border>
      <left style="thin">
        <color rgb="FF000000"/>
      </left>
      <right style="thick">
        <color rgb="FFFF0000"/>
      </right>
      <top style="medium">
        <color rgb="FF000000"/>
      </top>
      <bottom style="thin">
        <color rgb="FF000000"/>
      </bottom>
      <diagonal/>
    </border>
    <border>
      <left style="thick">
        <color rgb="FFFF0000"/>
      </left>
      <right style="thin">
        <color rgb="FF000000"/>
      </right>
      <top style="thin">
        <color rgb="FF000000"/>
      </top>
      <bottom style="thin">
        <color rgb="FF000000"/>
      </bottom>
      <diagonal/>
    </border>
    <border>
      <left style="thin">
        <color rgb="FF000000"/>
      </left>
      <right style="thick">
        <color rgb="FFFF0000"/>
      </right>
      <top style="thin">
        <color rgb="FF000000"/>
      </top>
      <bottom style="thin">
        <color rgb="FF000000"/>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medium">
        <color rgb="FFFF0000"/>
      </left>
      <right style="thin">
        <color rgb="FF000000"/>
      </right>
      <top style="medium">
        <color rgb="FFFF0000"/>
      </top>
      <bottom style="thin">
        <color rgb="FF000000"/>
      </bottom>
      <diagonal/>
    </border>
    <border>
      <left style="thin">
        <color rgb="FF000000"/>
      </left>
      <right style="thin">
        <color rgb="FF000000"/>
      </right>
      <top style="medium">
        <color rgb="FFFF0000"/>
      </top>
      <bottom style="thin">
        <color rgb="FF000000"/>
      </bottom>
      <diagonal/>
    </border>
    <border>
      <left style="thin">
        <color rgb="FF000000"/>
      </left>
      <right style="medium">
        <color rgb="FFFF0000"/>
      </right>
      <top style="medium">
        <color rgb="FFFF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right style="medium">
        <color rgb="FFFF0000"/>
      </right>
      <top/>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right style="medium">
        <color rgb="FFFF0000"/>
      </right>
      <top/>
      <bottom style="medium">
        <color rgb="FFFF0000"/>
      </bottom>
      <diagonal/>
    </border>
    <border>
      <left style="thin">
        <color rgb="FF000000"/>
      </left>
      <right style="medium">
        <color rgb="FFFF0000"/>
      </right>
      <top style="thin">
        <color rgb="FF000000"/>
      </top>
      <bottom style="medium">
        <color rgb="FFFF0000"/>
      </bottom>
      <diagonal/>
    </border>
    <border>
      <left style="thick">
        <color rgb="FF000000"/>
      </left>
      <right style="thin">
        <color rgb="FF000000"/>
      </right>
      <top style="thick">
        <color rgb="FF000000"/>
      </top>
      <bottom/>
      <diagonal/>
    </border>
    <border>
      <left style="thin">
        <color rgb="FF000000"/>
      </left>
      <right style="thin">
        <color rgb="FF000000"/>
      </right>
      <top style="thick">
        <color rgb="FF000000"/>
      </top>
      <bottom/>
      <diagonal/>
    </border>
    <border>
      <left style="thin">
        <color rgb="FF000000"/>
      </left>
      <right style="thick">
        <color rgb="FF000000"/>
      </right>
      <top style="thick">
        <color rgb="FF000000"/>
      </top>
      <bottom/>
      <diagonal/>
    </border>
    <border>
      <left style="thick">
        <color rgb="FF000000"/>
      </left>
      <right style="thin">
        <color rgb="FF000000"/>
      </right>
      <top/>
      <bottom/>
      <diagonal/>
    </border>
    <border>
      <left style="thin">
        <color rgb="FF000000"/>
      </left>
      <right style="thick">
        <color rgb="FF000000"/>
      </right>
      <top/>
      <bottom/>
      <diagonal/>
    </border>
    <border>
      <left style="thin">
        <color rgb="FF000000"/>
      </left>
      <right style="thick">
        <color rgb="FF000000"/>
      </right>
      <top style="medium">
        <color rgb="FF000000"/>
      </top>
      <bottom style="thin">
        <color rgb="FF000000"/>
      </bottom>
      <diagonal/>
    </border>
    <border>
      <left style="double">
        <color rgb="FF000000"/>
      </left>
      <right style="double">
        <color rgb="FF000000"/>
      </right>
      <top style="double">
        <color rgb="FF000000"/>
      </top>
      <bottom/>
      <diagonal/>
    </border>
    <border>
      <left/>
      <right/>
      <top style="double">
        <color rgb="FF000000"/>
      </top>
      <bottom/>
      <diagonal/>
    </border>
    <border>
      <left style="double">
        <color rgb="FF000000"/>
      </left>
      <right style="double">
        <color rgb="FF000000"/>
      </right>
      <top/>
      <bottom style="medium">
        <color rgb="FF000000"/>
      </bottom>
      <diagonal/>
    </border>
    <border>
      <left style="double">
        <color rgb="FF000000"/>
      </left>
      <right style="double">
        <color rgb="FF000000"/>
      </right>
      <top/>
      <bottom style="thin">
        <color rgb="FF000000"/>
      </bottom>
      <diagonal/>
    </border>
    <border>
      <left style="double">
        <color rgb="FF000000"/>
      </left>
      <right style="double">
        <color rgb="FF000000"/>
      </right>
      <top style="thin">
        <color rgb="FF000000"/>
      </top>
      <bottom style="thin">
        <color rgb="FF000000"/>
      </bottom>
      <diagonal/>
    </border>
    <border>
      <left style="double">
        <color rgb="FF000000"/>
      </left>
      <right style="double">
        <color rgb="FF000000"/>
      </right>
      <top/>
      <bottom/>
      <diagonal/>
    </border>
    <border>
      <left style="double">
        <color rgb="FF000000"/>
      </left>
      <right style="double">
        <color rgb="FF000000"/>
      </right>
      <top style="thin">
        <color rgb="FF000000"/>
      </top>
      <bottom style="double">
        <color rgb="FF000000"/>
      </bottom>
      <diagonal/>
    </border>
    <border>
      <left/>
      <right/>
      <top style="thin">
        <color rgb="FF000000"/>
      </top>
      <bottom style="double">
        <color rgb="FF000000"/>
      </bottom>
      <diagonal/>
    </border>
    <border>
      <left style="double">
        <color rgb="FF000000"/>
      </left>
      <right style="thin">
        <color rgb="FF000000"/>
      </right>
      <top/>
      <bottom style="medium">
        <color rgb="FF000000"/>
      </bottom>
      <diagonal/>
    </border>
    <border>
      <left style="thin">
        <color rgb="FF000000"/>
      </left>
      <right style="double">
        <color rgb="FF000000"/>
      </right>
      <top/>
      <bottom style="medium">
        <color rgb="FF000000"/>
      </bottom>
      <diagonal/>
    </border>
    <border>
      <left style="thin">
        <color rgb="FF000000"/>
      </left>
      <right/>
      <top/>
      <bottom style="thin">
        <color rgb="FF000000"/>
      </bottom>
      <diagonal/>
    </border>
    <border>
      <left style="double">
        <color rgb="FF000000"/>
      </left>
      <right style="double">
        <color rgb="FF000000"/>
      </right>
      <top style="medium">
        <color rgb="FF000000"/>
      </top>
      <bottom style="thin">
        <color rgb="FF000000"/>
      </bottom>
      <diagonal/>
    </border>
    <border>
      <left/>
      <right style="double">
        <color rgb="FF000000"/>
      </right>
      <top/>
      <bottom style="thin">
        <color rgb="FF000000"/>
      </bottom>
      <diagonal/>
    </border>
    <border>
      <left style="double">
        <color rgb="FF000000"/>
      </left>
      <right style="thin">
        <color rgb="FF000000"/>
      </right>
      <top style="thin">
        <color rgb="FF000000"/>
      </top>
      <bottom style="medium">
        <color rgb="FF000000"/>
      </bottom>
      <diagonal/>
    </border>
    <border>
      <left style="double">
        <color rgb="FF000000"/>
      </left>
      <right style="double">
        <color rgb="FF000000"/>
      </right>
      <top style="thin">
        <color rgb="FF000000"/>
      </top>
      <bottom style="medium">
        <color rgb="FF000000"/>
      </bottom>
      <diagonal/>
    </border>
    <border>
      <left/>
      <right style="double">
        <color rgb="FF000000"/>
      </right>
      <top style="thin">
        <color rgb="FF000000"/>
      </top>
      <bottom style="medium">
        <color rgb="FF000000"/>
      </bottom>
      <diagonal/>
    </border>
    <border>
      <left style="double">
        <color rgb="FF000000"/>
      </left>
      <right style="double">
        <color rgb="FF000000"/>
      </right>
      <top/>
      <bottom style="double">
        <color rgb="FF000000"/>
      </bottom>
      <diagonal/>
    </border>
    <border>
      <left/>
      <right style="double">
        <color rgb="FF000000"/>
      </right>
      <top/>
      <bottom style="double">
        <color rgb="FF000000"/>
      </bottom>
      <diagonal/>
    </border>
    <border>
      <left style="double">
        <color rgb="FF000000"/>
      </left>
      <right style="thin">
        <color rgb="FF000000"/>
      </right>
      <top style="medium">
        <color rgb="FF000000"/>
      </top>
      <bottom style="thin">
        <color rgb="FF000000"/>
      </bottom>
      <diagonal/>
    </border>
    <border>
      <left style="double">
        <color rgb="FF000000"/>
      </left>
      <right/>
      <top style="double">
        <color rgb="FF000000"/>
      </top>
      <bottom/>
      <diagonal/>
    </border>
    <border>
      <left style="thin">
        <color rgb="FF000000"/>
      </left>
      <right style="double">
        <color rgb="FF000000"/>
      </right>
      <top/>
      <bottom/>
      <diagonal/>
    </border>
    <border>
      <left style="thin">
        <color rgb="FF000000"/>
      </left>
      <right style="double">
        <color rgb="FF000000"/>
      </right>
      <top style="thin">
        <color rgb="FF000000"/>
      </top>
      <bottom style="medium">
        <color rgb="FF000000"/>
      </bottom>
      <diagonal/>
    </border>
    <border>
      <left style="double">
        <color rgb="FF000000"/>
      </left>
      <right/>
      <top style="double">
        <color rgb="FF000000"/>
      </top>
      <bottom/>
      <diagonal/>
    </border>
    <border>
      <left/>
      <right style="double">
        <color rgb="FF000000"/>
      </right>
      <top style="double">
        <color rgb="FF000000"/>
      </top>
      <bottom/>
      <diagonal/>
    </border>
    <border>
      <left/>
      <right style="double">
        <color rgb="FF000000"/>
      </right>
      <top/>
      <bottom/>
      <diagonal/>
    </border>
    <border>
      <left style="double">
        <color rgb="FF000000"/>
      </left>
      <right style="thin">
        <color rgb="FF000000"/>
      </right>
      <top style="medium">
        <color rgb="FF000000"/>
      </top>
      <bottom/>
      <diagonal/>
    </border>
    <border>
      <left style="double">
        <color rgb="FF000000"/>
      </left>
      <right style="double">
        <color rgb="FF000000"/>
      </right>
      <top style="medium">
        <color rgb="FF000000"/>
      </top>
      <bottom/>
      <diagonal/>
    </border>
    <border>
      <left/>
      <right style="double">
        <color rgb="FF000000"/>
      </right>
      <top style="medium">
        <color rgb="FF000000"/>
      </top>
      <bottom/>
      <diagonal/>
    </border>
    <border>
      <left style="thin">
        <color rgb="FF000000"/>
      </left>
      <right/>
      <top/>
      <bottom style="medium">
        <color rgb="FF000000"/>
      </bottom>
      <diagonal/>
    </border>
    <border>
      <left style="double">
        <color rgb="FF000000"/>
      </left>
      <right style="double">
        <color rgb="FF000000"/>
      </right>
      <top/>
      <bottom style="medium">
        <color rgb="FF000000"/>
      </bottom>
      <diagonal/>
    </border>
    <border>
      <left/>
      <right style="double">
        <color rgb="FF000000"/>
      </right>
      <top/>
      <bottom style="medium">
        <color rgb="FF000000"/>
      </bottom>
      <diagonal/>
    </border>
    <border>
      <left style="double">
        <color rgb="FF000000"/>
      </left>
      <right style="double">
        <color rgb="FF000000"/>
      </right>
      <top style="thin">
        <color rgb="FF000000"/>
      </top>
      <bottom/>
      <diagonal/>
    </border>
    <border>
      <left style="double">
        <color rgb="FF000000"/>
      </left>
      <right/>
      <top style="medium">
        <color rgb="FF000000"/>
      </top>
      <bottom style="medium">
        <color rgb="FF000000"/>
      </bottom>
      <diagonal/>
    </border>
    <border>
      <left style="double">
        <color rgb="FF000000"/>
      </left>
      <right style="double">
        <color rgb="FF000000"/>
      </right>
      <top style="medium">
        <color rgb="FF000000"/>
      </top>
      <bottom style="medium">
        <color rgb="FF000000"/>
      </bottom>
      <diagonal/>
    </border>
    <border>
      <left style="thin">
        <color rgb="FF000000"/>
      </left>
      <right style="double">
        <color rgb="FF000000"/>
      </right>
      <top style="medium">
        <color rgb="FF000000"/>
      </top>
      <bottom/>
      <diagonal/>
    </border>
    <border>
      <left/>
      <right style="double">
        <color rgb="FF000000"/>
      </right>
      <top style="thin">
        <color rgb="FF000000"/>
      </top>
      <bottom style="double">
        <color rgb="FF000000"/>
      </bottom>
      <diagonal/>
    </border>
    <border>
      <left style="double">
        <color rgb="FF000000"/>
      </left>
      <right style="medium">
        <color rgb="FF000000"/>
      </right>
      <top style="medium">
        <color rgb="FF000000"/>
      </top>
      <bottom/>
      <diagonal/>
    </border>
    <border>
      <left style="double">
        <color rgb="FF000000"/>
      </left>
      <right style="medium">
        <color rgb="FF000000"/>
      </right>
      <top/>
      <bottom style="medium">
        <color rgb="FF000000"/>
      </bottom>
      <diagonal/>
    </border>
    <border>
      <left style="medium">
        <color rgb="FF000000"/>
      </left>
      <right style="double">
        <color rgb="FF000000"/>
      </right>
      <top/>
      <bottom style="medium">
        <color rgb="FF000000"/>
      </bottom>
      <diagonal/>
    </border>
    <border>
      <left style="double">
        <color rgb="FF000000"/>
      </left>
      <right style="double">
        <color rgb="FF000000"/>
      </right>
      <top style="medium">
        <color rgb="FF000000"/>
      </top>
      <bottom style="double">
        <color rgb="FF000000"/>
      </bottom>
      <diagonal/>
    </border>
    <border>
      <left/>
      <right style="double">
        <color rgb="FF000000"/>
      </right>
      <top style="medium">
        <color rgb="FF000000"/>
      </top>
      <bottom style="double">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top style="double">
        <color rgb="FF000000"/>
      </top>
      <bottom style="thin">
        <color rgb="FF000000"/>
      </bottom>
      <diagonal/>
    </border>
    <border>
      <left style="double">
        <color rgb="FF000000"/>
      </left>
      <right/>
      <top style="thin">
        <color rgb="FF000000"/>
      </top>
      <bottom style="medium">
        <color rgb="FF000000"/>
      </bottom>
      <diagonal/>
    </border>
    <border>
      <left style="double">
        <color rgb="FF000000"/>
      </left>
      <right/>
      <top/>
      <bottom style="thin">
        <color rgb="FF000000"/>
      </bottom>
      <diagonal/>
    </border>
    <border>
      <left style="double">
        <color rgb="FF000000"/>
      </left>
      <right/>
      <top style="thin">
        <color rgb="FF000000"/>
      </top>
      <bottom style="double">
        <color rgb="FF000000"/>
      </bottom>
      <diagonal/>
    </border>
    <border>
      <left/>
      <right/>
      <top style="thin">
        <color rgb="FF000000"/>
      </top>
      <bottom style="double">
        <color rgb="FF000000"/>
      </bottom>
      <diagonal/>
    </border>
    <border>
      <left/>
      <right style="double">
        <color rgb="FF000000"/>
      </right>
      <top style="medium">
        <color rgb="FF000000"/>
      </top>
      <bottom style="double">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rgb="FF000000"/>
      </right>
      <top style="double">
        <color rgb="FF000000"/>
      </top>
      <bottom/>
      <diagonal/>
    </border>
    <border>
      <left style="double">
        <color rgb="FF000000"/>
      </left>
      <right style="thin">
        <color rgb="FF000000"/>
      </right>
      <top/>
      <bottom/>
      <diagonal/>
    </border>
    <border>
      <left style="thin">
        <color rgb="FF000000"/>
      </left>
      <right style="double">
        <color rgb="FF000000"/>
      </right>
      <top/>
      <bottom/>
      <diagonal/>
    </border>
    <border>
      <left style="double">
        <color rgb="FF000000"/>
      </left>
      <right style="thin">
        <color rgb="FF000000"/>
      </right>
      <top/>
      <bottom style="medium">
        <color rgb="FF000000"/>
      </bottom>
      <diagonal/>
    </border>
    <border>
      <left style="thin">
        <color rgb="FF000000"/>
      </left>
      <right style="double">
        <color rgb="FF000000"/>
      </right>
      <top/>
      <bottom style="medium">
        <color rgb="FF000000"/>
      </bottom>
      <diagonal/>
    </border>
    <border>
      <left/>
      <right style="thin">
        <color rgb="FF000000"/>
      </right>
      <top style="medium">
        <color rgb="FF000000"/>
      </top>
      <bottom style="medium">
        <color rgb="FF000000"/>
      </bottom>
      <diagonal/>
    </border>
    <border>
      <left/>
      <right/>
      <top style="thin">
        <color rgb="FF000000"/>
      </top>
      <bottom style="thin">
        <color rgb="FF000000"/>
      </bottom>
      <diagonal/>
    </border>
    <border>
      <left/>
      <right style="double">
        <color rgb="FF000000"/>
      </right>
      <top/>
      <bottom style="double">
        <color rgb="FF000000"/>
      </bottom>
      <diagonal/>
    </border>
    <border>
      <left style="double">
        <color rgb="FF000000"/>
      </left>
      <right style="thin">
        <color rgb="FF000000"/>
      </right>
      <top style="thick">
        <color rgb="FF000000"/>
      </top>
      <bottom style="thin">
        <color rgb="FF000000"/>
      </bottom>
      <diagonal/>
    </border>
    <border>
      <left style="thin">
        <color rgb="FF000000"/>
      </left>
      <right style="double">
        <color rgb="FF000000"/>
      </right>
      <top style="thick">
        <color rgb="FF000000"/>
      </top>
      <bottom style="thin">
        <color rgb="FF000000"/>
      </bottom>
      <diagonal/>
    </border>
    <border>
      <left style="double">
        <color rgb="FF000000"/>
      </left>
      <right style="thin">
        <color rgb="FF000000"/>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style="thin">
        <color rgb="FF000000"/>
      </left>
      <right style="double">
        <color rgb="FF000000"/>
      </right>
      <top style="thick">
        <color rgb="FF000000"/>
      </top>
      <bottom style="thick">
        <color rgb="FF000000"/>
      </bottom>
      <diagonal/>
    </border>
    <border>
      <left style="double">
        <color rgb="FF000000"/>
      </left>
      <right style="thin">
        <color rgb="FF000000"/>
      </right>
      <top/>
      <bottom/>
      <diagonal/>
    </border>
    <border>
      <left style="double">
        <color rgb="FF000000"/>
      </left>
      <right style="thin">
        <color rgb="FF000000"/>
      </right>
      <top style="medium">
        <color rgb="FF000000"/>
      </top>
      <bottom style="medium">
        <color rgb="FF000000"/>
      </bottom>
      <diagonal/>
    </border>
    <border>
      <left style="double">
        <color rgb="FF000000"/>
      </left>
      <right/>
      <top/>
      <bottom style="thick">
        <color rgb="FF000000"/>
      </bottom>
      <diagonal/>
    </border>
    <border>
      <left/>
      <right style="double">
        <color rgb="FF000000"/>
      </right>
      <top/>
      <bottom style="thick">
        <color rgb="FF000000"/>
      </bottom>
      <diagonal/>
    </border>
    <border>
      <left style="double">
        <color rgb="FF000000"/>
      </left>
      <right style="thin">
        <color rgb="FF000000"/>
      </right>
      <top style="thin">
        <color rgb="FF000000"/>
      </top>
      <bottom/>
      <diagonal/>
    </border>
    <border>
      <left style="thin">
        <color rgb="FF000000"/>
      </left>
      <right style="double">
        <color rgb="FF000000"/>
      </right>
      <top style="thin">
        <color rgb="FF000000"/>
      </top>
      <bottom/>
      <diagonal/>
    </border>
    <border>
      <left style="thin">
        <color rgb="FF000000"/>
      </left>
      <right style="thin">
        <color rgb="FF000000"/>
      </right>
      <top/>
      <bottom style="thick">
        <color rgb="FF000000"/>
      </bottom>
      <diagonal/>
    </border>
    <border>
      <left style="double">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medium">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thin">
        <color rgb="FF000000"/>
      </right>
      <top style="thick">
        <color rgb="FF000000"/>
      </top>
      <bottom style="thin">
        <color rgb="FF000000"/>
      </bottom>
      <diagonal/>
    </border>
    <border>
      <left style="thin">
        <color rgb="FF000000"/>
      </left>
      <right/>
      <top style="thick">
        <color rgb="FF000000"/>
      </top>
      <bottom style="thin">
        <color rgb="FF000000"/>
      </bottom>
      <diagonal/>
    </border>
    <border>
      <left style="medium">
        <color rgb="FF000000"/>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right style="thin">
        <color rgb="FF000000"/>
      </right>
      <top style="thin">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right style="thin">
        <color rgb="FF000000"/>
      </right>
      <top/>
      <bottom style="double">
        <color rgb="FF000000"/>
      </bottom>
      <diagonal/>
    </border>
    <border>
      <left style="medium">
        <color rgb="FF000000"/>
      </left>
      <right/>
      <top/>
      <bottom style="thin">
        <color rgb="FF000000"/>
      </bottom>
      <diagonal/>
    </border>
    <border>
      <left style="thin">
        <color rgb="FF000000"/>
      </left>
      <right style="thin">
        <color rgb="FF000000"/>
      </right>
      <top/>
      <bottom/>
      <diagonal/>
    </border>
    <border>
      <left style="medium">
        <color rgb="FF000000"/>
      </left>
      <right/>
      <top style="medium">
        <color rgb="FF000000"/>
      </top>
      <bottom/>
      <diagonal/>
    </border>
    <border>
      <left/>
      <right/>
      <top style="medium">
        <color rgb="FF000000"/>
      </top>
      <bottom style="medium">
        <color rgb="FF000000"/>
      </bottom>
      <diagonal/>
    </border>
    <border>
      <left style="double">
        <color rgb="FF000000"/>
      </left>
      <right/>
      <top style="double">
        <color rgb="FF000000"/>
      </top>
      <bottom style="medium">
        <color rgb="FF000000"/>
      </bottom>
      <diagonal/>
    </border>
    <border>
      <left/>
      <right style="double">
        <color rgb="FF000000"/>
      </right>
      <top style="double">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top style="thick">
        <color rgb="FF000000"/>
      </top>
      <bottom style="thick">
        <color rgb="FF000000"/>
      </bottom>
      <diagonal/>
    </border>
    <border>
      <left style="thick">
        <color rgb="FF000000"/>
      </left>
      <right/>
      <top style="thick">
        <color rgb="FF000000"/>
      </top>
      <bottom style="thick">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right/>
      <top/>
      <bottom style="double">
        <color rgb="FF000000"/>
      </bottom>
      <diagonal/>
    </border>
    <border>
      <left/>
      <right/>
      <top/>
      <bottom style="double">
        <color rgb="FF000000"/>
      </bottom>
      <diagonal/>
    </border>
    <border>
      <left/>
      <right style="double">
        <color rgb="FF000000"/>
      </right>
      <top style="double">
        <color rgb="FF000000"/>
      </top>
      <bottom style="thin">
        <color rgb="FF000000"/>
      </bottom>
      <diagonal/>
    </border>
    <border>
      <left/>
      <right style="double">
        <color rgb="FF000000"/>
      </right>
      <top style="thin">
        <color rgb="FF000000"/>
      </top>
      <bottom style="double">
        <color rgb="FF000000"/>
      </bottom>
      <diagonal/>
    </border>
    <border>
      <left style="thin">
        <color rgb="FF000000"/>
      </left>
      <right style="medium">
        <color rgb="FF000000"/>
      </right>
      <top/>
      <bottom/>
      <diagonal/>
    </border>
    <border>
      <left style="thin">
        <color rgb="FF000000"/>
      </left>
      <right/>
      <top/>
      <bottom style="thin">
        <color rgb="FF000000"/>
      </bottom>
      <diagonal/>
    </border>
    <border>
      <left/>
      <right style="medium">
        <color rgb="FF000000"/>
      </right>
      <top/>
      <bottom/>
      <diagonal/>
    </border>
    <border>
      <left style="thin">
        <color rgb="FF000000"/>
      </left>
      <right/>
      <top style="medium">
        <color rgb="FF000000"/>
      </top>
      <bottom style="thin">
        <color rgb="FF000000"/>
      </bottom>
      <diagonal/>
    </border>
    <border>
      <left style="thin">
        <color rgb="FF000000"/>
      </left>
      <right style="medium">
        <color rgb="FF000000"/>
      </right>
      <top style="thick">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indexed="64"/>
      </right>
      <top style="medium">
        <color indexed="64"/>
      </top>
      <bottom style="thin">
        <color rgb="FF000000"/>
      </bottom>
      <diagonal/>
    </border>
    <border>
      <left style="medium">
        <color indexed="64"/>
      </left>
      <right/>
      <top style="medium">
        <color rgb="FF000000"/>
      </top>
      <bottom style="thin">
        <color rgb="FF000000"/>
      </bottom>
      <diagonal/>
    </border>
    <border>
      <left style="medium">
        <color rgb="FF000000"/>
      </left>
      <right style="medium">
        <color indexed="64"/>
      </right>
      <top style="thin">
        <color rgb="FF000000"/>
      </top>
      <bottom style="thin">
        <color rgb="FF000000"/>
      </bottom>
      <diagonal/>
    </border>
    <border>
      <left style="medium">
        <color indexed="64"/>
      </left>
      <right style="medium">
        <color rgb="FFC0C0C0"/>
      </right>
      <top/>
      <bottom style="thin">
        <color rgb="FF000000"/>
      </bottom>
      <diagonal/>
    </border>
    <border>
      <left style="medium">
        <color indexed="64"/>
      </left>
      <right/>
      <top style="thin">
        <color rgb="FF000000"/>
      </top>
      <bottom style="thin">
        <color rgb="FFC0C0C0"/>
      </bottom>
      <diagonal/>
    </border>
    <border>
      <left style="medium">
        <color indexed="64"/>
      </left>
      <right/>
      <top style="thin">
        <color rgb="FFC0C0C0"/>
      </top>
      <bottom style="thin">
        <color rgb="FFC0C0C0"/>
      </bottom>
      <diagonal/>
    </border>
    <border>
      <left style="medium">
        <color indexed="64"/>
      </left>
      <right/>
      <top style="thin">
        <color rgb="FFC0C0C0"/>
      </top>
      <bottom style="thin">
        <color rgb="FF000000"/>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medium">
        <color rgb="FF000000"/>
      </left>
      <right style="medium">
        <color indexed="64"/>
      </right>
      <top style="thin">
        <color rgb="FF000000"/>
      </top>
      <bottom style="medium">
        <color indexed="64"/>
      </bottom>
      <diagonal/>
    </border>
    <border>
      <left style="medium">
        <color indexed="64"/>
      </left>
      <right/>
      <top style="thin">
        <color rgb="FF000000"/>
      </top>
      <bottom style="medium">
        <color indexed="64"/>
      </bottom>
      <diagonal/>
    </border>
    <border>
      <left/>
      <right style="medium">
        <color rgb="FF000000"/>
      </right>
      <top style="thin">
        <color rgb="FF000000"/>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2953">
    <xf numFmtId="0" fontId="0" fillId="0" borderId="0" xfId="0"/>
    <xf numFmtId="0" fontId="1" fillId="0" borderId="0" xfId="0" applyFont="1"/>
    <xf numFmtId="0" fontId="2" fillId="0" borderId="0" xfId="0" applyFont="1"/>
    <xf numFmtId="0" fontId="5" fillId="0" borderId="0" xfId="0" applyFont="1"/>
    <xf numFmtId="0" fontId="6" fillId="0" borderId="1" xfId="0" applyFont="1" applyBorder="1"/>
    <xf numFmtId="0" fontId="7" fillId="0" borderId="4" xfId="0" applyFont="1" applyBorder="1" applyAlignment="1">
      <alignment horizontal="center"/>
    </xf>
    <xf numFmtId="0" fontId="6" fillId="0" borderId="0" xfId="0" applyFont="1"/>
    <xf numFmtId="0" fontId="7" fillId="0" borderId="5" xfId="0" applyFont="1" applyBorder="1" applyAlignment="1">
      <alignment horizontal="right"/>
    </xf>
    <xf numFmtId="165" fontId="1" fillId="0" borderId="0" xfId="0" applyNumberFormat="1" applyFont="1"/>
    <xf numFmtId="165" fontId="15" fillId="0" borderId="0" xfId="0" applyNumberFormat="1" applyFont="1"/>
    <xf numFmtId="0" fontId="11" fillId="0" borderId="17" xfId="0" applyFont="1" applyBorder="1"/>
    <xf numFmtId="0" fontId="5" fillId="0" borderId="2" xfId="0" applyFont="1" applyBorder="1"/>
    <xf numFmtId="0" fontId="5" fillId="0" borderId="20" xfId="0" applyFont="1" applyBorder="1"/>
    <xf numFmtId="0" fontId="11" fillId="0" borderId="12" xfId="0" applyFont="1" applyBorder="1"/>
    <xf numFmtId="0" fontId="5" fillId="0" borderId="22" xfId="0" applyFont="1" applyBorder="1"/>
    <xf numFmtId="164" fontId="6" fillId="0" borderId="0" xfId="0" applyNumberFormat="1" applyFont="1"/>
    <xf numFmtId="164" fontId="6" fillId="0" borderId="23" xfId="0" applyNumberFormat="1" applyFont="1" applyBorder="1"/>
    <xf numFmtId="0" fontId="5" fillId="0" borderId="25" xfId="0" applyFont="1" applyBorder="1"/>
    <xf numFmtId="0" fontId="1" fillId="0" borderId="25" xfId="0" applyFont="1" applyBorder="1"/>
    <xf numFmtId="164" fontId="1" fillId="0" borderId="0" xfId="0" applyNumberFormat="1" applyFont="1"/>
    <xf numFmtId="0" fontId="6" fillId="0" borderId="26" xfId="0" applyFont="1" applyBorder="1"/>
    <xf numFmtId="0" fontId="6" fillId="2" borderId="27" xfId="0" applyFont="1" applyFill="1" applyBorder="1"/>
    <xf numFmtId="164" fontId="6" fillId="2" borderId="27" xfId="0" applyNumberFormat="1" applyFont="1" applyFill="1" applyBorder="1"/>
    <xf numFmtId="3" fontId="6" fillId="2" borderId="27" xfId="0" applyNumberFormat="1" applyFont="1" applyFill="1" applyBorder="1"/>
    <xf numFmtId="0" fontId="11" fillId="6" borderId="0" xfId="0" applyFont="1" applyFill="1"/>
    <xf numFmtId="0" fontId="6" fillId="6" borderId="0" xfId="0" applyFont="1" applyFill="1"/>
    <xf numFmtId="0" fontId="18" fillId="0" borderId="0" xfId="0" applyFont="1"/>
    <xf numFmtId="0" fontId="19" fillId="7" borderId="27" xfId="0" applyFont="1" applyFill="1" applyBorder="1" applyAlignment="1">
      <alignment horizontal="center" wrapText="1"/>
    </xf>
    <xf numFmtId="0" fontId="7" fillId="0" borderId="27" xfId="0" applyFont="1" applyBorder="1" applyAlignment="1">
      <alignment horizontal="center" wrapText="1"/>
    </xf>
    <xf numFmtId="0" fontId="6" fillId="2" borderId="0" xfId="0" applyFont="1" applyFill="1"/>
    <xf numFmtId="0" fontId="19" fillId="0" borderId="27" xfId="0" applyFont="1" applyBorder="1"/>
    <xf numFmtId="0" fontId="19" fillId="0" borderId="26" xfId="0" applyFont="1" applyBorder="1"/>
    <xf numFmtId="0" fontId="19" fillId="8" borderId="27" xfId="0" applyFont="1" applyFill="1" applyBorder="1" applyAlignment="1">
      <alignment horizontal="center"/>
    </xf>
    <xf numFmtId="0" fontId="19" fillId="8" borderId="4" xfId="0" applyFont="1" applyFill="1" applyBorder="1" applyAlignment="1">
      <alignment horizontal="center"/>
    </xf>
    <xf numFmtId="0" fontId="7" fillId="0" borderId="27" xfId="0" applyFont="1" applyBorder="1"/>
    <xf numFmtId="0" fontId="7" fillId="0" borderId="26" xfId="0" applyFont="1" applyBorder="1"/>
    <xf numFmtId="0" fontId="7" fillId="0" borderId="27" xfId="0" applyFont="1" applyBorder="1" applyAlignment="1">
      <alignment horizontal="center"/>
    </xf>
    <xf numFmtId="0" fontId="19" fillId="9" borderId="4" xfId="0" applyFont="1" applyFill="1" applyBorder="1" applyAlignment="1">
      <alignment horizontal="right"/>
    </xf>
    <xf numFmtId="168" fontId="7" fillId="0" borderId="27" xfId="0" applyNumberFormat="1" applyFont="1" applyBorder="1" applyAlignment="1">
      <alignment horizontal="right"/>
    </xf>
    <xf numFmtId="0" fontId="18" fillId="0" borderId="26" xfId="0" applyFont="1" applyBorder="1"/>
    <xf numFmtId="0" fontId="21" fillId="10" borderId="27" xfId="0" applyFont="1" applyFill="1" applyBorder="1"/>
    <xf numFmtId="0" fontId="19" fillId="11" borderId="27" xfId="0" applyFont="1" applyFill="1" applyBorder="1" applyAlignment="1">
      <alignment horizontal="center"/>
    </xf>
    <xf numFmtId="0" fontId="19" fillId="11" borderId="4" xfId="0" applyFont="1" applyFill="1" applyBorder="1" applyAlignment="1">
      <alignment horizontal="center"/>
    </xf>
    <xf numFmtId="0" fontId="19" fillId="2" borderId="27" xfId="0" applyFont="1" applyFill="1" applyBorder="1"/>
    <xf numFmtId="169" fontId="22" fillId="2" borderId="27" xfId="0" applyNumberFormat="1" applyFont="1" applyFill="1" applyBorder="1" applyAlignment="1">
      <alignment horizontal="right"/>
    </xf>
    <xf numFmtId="169" fontId="22" fillId="2" borderId="4" xfId="0" applyNumberFormat="1" applyFont="1" applyFill="1" applyBorder="1" applyAlignment="1">
      <alignment horizontal="right"/>
    </xf>
    <xf numFmtId="0" fontId="23" fillId="0" borderId="27" xfId="0" applyFont="1" applyBorder="1"/>
    <xf numFmtId="169" fontId="24" fillId="0" borderId="27" xfId="0" applyNumberFormat="1" applyFont="1" applyBorder="1" applyAlignment="1">
      <alignment horizontal="right"/>
    </xf>
    <xf numFmtId="169" fontId="24" fillId="0" borderId="4" xfId="0" applyNumberFormat="1" applyFont="1" applyBorder="1" applyAlignment="1">
      <alignment horizontal="right"/>
    </xf>
    <xf numFmtId="0" fontId="6" fillId="0" borderId="27" xfId="0" applyFont="1" applyBorder="1"/>
    <xf numFmtId="0" fontId="25" fillId="8" borderId="27" xfId="0" applyFont="1" applyFill="1" applyBorder="1" applyAlignment="1">
      <alignment horizontal="right"/>
    </xf>
    <xf numFmtId="0" fontId="25" fillId="8" borderId="4" xfId="0" applyFont="1" applyFill="1" applyBorder="1" applyAlignment="1">
      <alignment horizontal="right"/>
    </xf>
    <xf numFmtId="0" fontId="25" fillId="0" borderId="27" xfId="0" applyFont="1" applyBorder="1"/>
    <xf numFmtId="0" fontId="26" fillId="2" borderId="27" xfId="0" applyFont="1" applyFill="1" applyBorder="1" applyAlignment="1">
      <alignment horizontal="right"/>
    </xf>
    <xf numFmtId="0" fontId="26" fillId="2" borderId="4" xfId="0" applyFont="1" applyFill="1" applyBorder="1" applyAlignment="1">
      <alignment horizontal="right"/>
    </xf>
    <xf numFmtId="3" fontId="7" fillId="0" borderId="27" xfId="0" applyNumberFormat="1" applyFont="1" applyBorder="1" applyAlignment="1">
      <alignment horizontal="center" wrapText="1"/>
    </xf>
    <xf numFmtId="9" fontId="7" fillId="0" borderId="27" xfId="0" applyNumberFormat="1" applyFont="1" applyBorder="1" applyAlignment="1">
      <alignment horizontal="center" wrapText="1"/>
    </xf>
    <xf numFmtId="170" fontId="7" fillId="0" borderId="27" xfId="0" applyNumberFormat="1" applyFont="1" applyBorder="1" applyAlignment="1">
      <alignment horizontal="center" wrapText="1"/>
    </xf>
    <xf numFmtId="0" fontId="17" fillId="9" borderId="27" xfId="0" applyFont="1" applyFill="1" applyBorder="1" applyAlignment="1">
      <alignment horizontal="center"/>
    </xf>
    <xf numFmtId="0" fontId="17" fillId="9" borderId="4" xfId="0" applyFont="1" applyFill="1" applyBorder="1" applyAlignment="1">
      <alignment horizontal="center"/>
    </xf>
    <xf numFmtId="0" fontId="17" fillId="0" borderId="27" xfId="0" applyFont="1" applyBorder="1" applyAlignment="1">
      <alignment horizontal="center"/>
    </xf>
    <xf numFmtId="0" fontId="6" fillId="0" borderId="27" xfId="0" applyFont="1" applyBorder="1" applyAlignment="1">
      <alignment horizontal="center"/>
    </xf>
    <xf numFmtId="0" fontId="6" fillId="0" borderId="4" xfId="0" applyFont="1" applyBorder="1" applyAlignment="1">
      <alignment horizontal="center"/>
    </xf>
    <xf numFmtId="0" fontId="17" fillId="0" borderId="27" xfId="0" applyFont="1" applyBorder="1" applyAlignment="1">
      <alignment horizontal="center" wrapText="1"/>
    </xf>
    <xf numFmtId="3" fontId="6" fillId="0" borderId="27" xfId="0" applyNumberFormat="1" applyFont="1" applyBorder="1" applyAlignment="1">
      <alignment horizontal="center"/>
    </xf>
    <xf numFmtId="3" fontId="6" fillId="0" borderId="4" xfId="0" applyNumberFormat="1" applyFont="1" applyBorder="1" applyAlignment="1">
      <alignment horizontal="center"/>
    </xf>
    <xf numFmtId="9" fontId="6" fillId="0" borderId="27" xfId="0" applyNumberFormat="1" applyFont="1" applyBorder="1" applyAlignment="1">
      <alignment horizontal="center"/>
    </xf>
    <xf numFmtId="9" fontId="6" fillId="0" borderId="4" xfId="0" applyNumberFormat="1" applyFont="1" applyBorder="1" applyAlignment="1">
      <alignment horizontal="center"/>
    </xf>
    <xf numFmtId="171" fontId="17" fillId="0" borderId="27" xfId="0" applyNumberFormat="1" applyFont="1" applyBorder="1" applyAlignment="1">
      <alignment horizontal="center"/>
    </xf>
    <xf numFmtId="171" fontId="17" fillId="0" borderId="4" xfId="0" applyNumberFormat="1" applyFont="1" applyBorder="1" applyAlignment="1">
      <alignment horizontal="center"/>
    </xf>
    <xf numFmtId="3" fontId="6" fillId="2" borderId="4" xfId="0" applyNumberFormat="1" applyFont="1" applyFill="1" applyBorder="1"/>
    <xf numFmtId="172" fontId="17" fillId="0" borderId="27" xfId="0" applyNumberFormat="1" applyFont="1" applyBorder="1" applyAlignment="1">
      <alignment horizontal="center"/>
    </xf>
    <xf numFmtId="172" fontId="17" fillId="0" borderId="4" xfId="0" applyNumberFormat="1" applyFont="1" applyBorder="1" applyAlignment="1">
      <alignment horizontal="center"/>
    </xf>
    <xf numFmtId="172" fontId="6" fillId="0" borderId="27" xfId="0" applyNumberFormat="1" applyFont="1" applyBorder="1" applyAlignment="1">
      <alignment horizontal="center"/>
    </xf>
    <xf numFmtId="172" fontId="6" fillId="0" borderId="4" xfId="0" applyNumberFormat="1" applyFont="1" applyBorder="1" applyAlignment="1">
      <alignment horizontal="center"/>
    </xf>
    <xf numFmtId="171" fontId="17" fillId="2" borderId="27" xfId="0" applyNumberFormat="1" applyFont="1" applyFill="1" applyBorder="1" applyAlignment="1">
      <alignment horizontal="center"/>
    </xf>
    <xf numFmtId="171" fontId="17" fillId="2" borderId="4" xfId="0" applyNumberFormat="1" applyFont="1" applyFill="1" applyBorder="1" applyAlignment="1">
      <alignment horizontal="center"/>
    </xf>
    <xf numFmtId="171" fontId="6" fillId="0" borderId="27" xfId="0" applyNumberFormat="1" applyFont="1" applyBorder="1" applyAlignment="1">
      <alignment horizontal="center"/>
    </xf>
    <xf numFmtId="171" fontId="6" fillId="0" borderId="4" xfId="0" applyNumberFormat="1" applyFont="1" applyBorder="1" applyAlignment="1">
      <alignment horizontal="center"/>
    </xf>
    <xf numFmtId="0" fontId="25" fillId="11" borderId="27" xfId="0" applyFont="1" applyFill="1" applyBorder="1" applyAlignment="1">
      <alignment horizontal="center"/>
    </xf>
    <xf numFmtId="0" fontId="25" fillId="11" borderId="4" xfId="0" applyFont="1" applyFill="1" applyBorder="1" applyAlignment="1">
      <alignment horizontal="center"/>
    </xf>
    <xf numFmtId="0" fontId="25" fillId="0" borderId="27" xfId="0" applyFont="1" applyBorder="1" applyAlignment="1">
      <alignment horizontal="center"/>
    </xf>
    <xf numFmtId="0" fontId="25" fillId="2" borderId="27" xfId="0" applyFont="1" applyFill="1" applyBorder="1" applyAlignment="1">
      <alignment horizontal="center"/>
    </xf>
    <xf numFmtId="0" fontId="25" fillId="2" borderId="4" xfId="0" applyFont="1" applyFill="1" applyBorder="1" applyAlignment="1">
      <alignment horizontal="center"/>
    </xf>
    <xf numFmtId="0" fontId="19" fillId="14" borderId="27" xfId="0" applyFont="1" applyFill="1" applyBorder="1"/>
    <xf numFmtId="0" fontId="19" fillId="9" borderId="27" xfId="0" applyFont="1" applyFill="1" applyBorder="1" applyAlignment="1">
      <alignment horizontal="center"/>
    </xf>
    <xf numFmtId="3" fontId="7" fillId="0" borderId="0" xfId="0" applyNumberFormat="1" applyFont="1" applyAlignment="1">
      <alignment horizontal="right"/>
    </xf>
    <xf numFmtId="3" fontId="7" fillId="0" borderId="3" xfId="0" applyNumberFormat="1" applyFont="1" applyBorder="1" applyAlignment="1">
      <alignment horizontal="right"/>
    </xf>
    <xf numFmtId="3" fontId="7" fillId="0" borderId="29" xfId="0" applyNumberFormat="1" applyFont="1" applyBorder="1" applyAlignment="1">
      <alignment horizontal="right"/>
    </xf>
    <xf numFmtId="3" fontId="7" fillId="0" borderId="27" xfId="0" applyNumberFormat="1" applyFont="1" applyBorder="1" applyAlignment="1">
      <alignment horizontal="right"/>
    </xf>
    <xf numFmtId="3" fontId="7" fillId="0" borderId="30" xfId="0" applyNumberFormat="1" applyFont="1" applyBorder="1" applyAlignment="1">
      <alignment horizontal="right"/>
    </xf>
    <xf numFmtId="3" fontId="7" fillId="0" borderId="5" xfId="0" applyNumberFormat="1" applyFont="1" applyBorder="1" applyAlignment="1">
      <alignment horizontal="right"/>
    </xf>
    <xf numFmtId="0" fontId="19" fillId="0" borderId="27" xfId="0" applyFont="1" applyBorder="1" applyAlignment="1">
      <alignment horizontal="center"/>
    </xf>
    <xf numFmtId="4" fontId="7" fillId="0" borderId="27" xfId="0" applyNumberFormat="1" applyFont="1" applyBorder="1" applyAlignment="1">
      <alignment horizontal="right"/>
    </xf>
    <xf numFmtId="0" fontId="7" fillId="0" borderId="5" xfId="0" applyFont="1" applyBorder="1"/>
    <xf numFmtId="4" fontId="7" fillId="0" borderId="5" xfId="0" applyNumberFormat="1" applyFont="1" applyBorder="1" applyAlignment="1">
      <alignment horizontal="right"/>
    </xf>
    <xf numFmtId="170" fontId="7" fillId="0" borderId="27" xfId="0" applyNumberFormat="1" applyFont="1" applyBorder="1" applyAlignment="1">
      <alignment horizontal="right"/>
    </xf>
    <xf numFmtId="170" fontId="7" fillId="0" borderId="5" xfId="0" applyNumberFormat="1" applyFont="1" applyBorder="1" applyAlignment="1">
      <alignment horizontal="right"/>
    </xf>
    <xf numFmtId="0" fontId="7" fillId="14" borderId="27" xfId="0" applyFont="1" applyFill="1" applyBorder="1"/>
    <xf numFmtId="0" fontId="19" fillId="0" borderId="27" xfId="0" applyFont="1" applyBorder="1" applyAlignment="1">
      <alignment wrapText="1"/>
    </xf>
    <xf numFmtId="3" fontId="19" fillId="0" borderId="0" xfId="0" applyNumberFormat="1" applyFont="1" applyAlignment="1">
      <alignment horizontal="right" wrapText="1"/>
    </xf>
    <xf numFmtId="3" fontId="19" fillId="0" borderId="3" xfId="0" applyNumberFormat="1" applyFont="1" applyBorder="1" applyAlignment="1">
      <alignment horizontal="right" wrapText="1"/>
    </xf>
    <xf numFmtId="3" fontId="7" fillId="0" borderId="29" xfId="0" applyNumberFormat="1" applyFont="1" applyBorder="1" applyAlignment="1">
      <alignment horizontal="right" wrapText="1"/>
    </xf>
    <xf numFmtId="3" fontId="7" fillId="0" borderId="27" xfId="0" applyNumberFormat="1" applyFont="1" applyBorder="1" applyAlignment="1">
      <alignment horizontal="right" wrapText="1"/>
    </xf>
    <xf numFmtId="173" fontId="19" fillId="0" borderId="29" xfId="0" applyNumberFormat="1" applyFont="1" applyBorder="1" applyAlignment="1">
      <alignment horizontal="right" wrapText="1"/>
    </xf>
    <xf numFmtId="173" fontId="19" fillId="0" borderId="27" xfId="0" applyNumberFormat="1" applyFont="1" applyBorder="1" applyAlignment="1">
      <alignment horizontal="right" wrapText="1"/>
    </xf>
    <xf numFmtId="173" fontId="7" fillId="0" borderId="29" xfId="0" applyNumberFormat="1" applyFont="1" applyBorder="1" applyAlignment="1">
      <alignment horizontal="right" wrapText="1"/>
    </xf>
    <xf numFmtId="173" fontId="7" fillId="0" borderId="27" xfId="0" applyNumberFormat="1" applyFont="1" applyBorder="1" applyAlignment="1">
      <alignment horizontal="right" wrapText="1"/>
    </xf>
    <xf numFmtId="0" fontId="6" fillId="0" borderId="23" xfId="0" applyFont="1" applyBorder="1"/>
    <xf numFmtId="0" fontId="6" fillId="0" borderId="16" xfId="0" applyFont="1" applyBorder="1"/>
    <xf numFmtId="0" fontId="19" fillId="0" borderId="16" xfId="0" applyFont="1" applyBorder="1"/>
    <xf numFmtId="0" fontId="19" fillId="0" borderId="16" xfId="0" applyFont="1" applyBorder="1" applyAlignment="1">
      <alignment horizontal="center"/>
    </xf>
    <xf numFmtId="0" fontId="19" fillId="0" borderId="26" xfId="0" applyFont="1" applyBorder="1" applyAlignment="1">
      <alignment horizontal="center"/>
    </xf>
    <xf numFmtId="0" fontId="7" fillId="0" borderId="16" xfId="0" applyFont="1" applyBorder="1" applyAlignment="1">
      <alignment horizontal="right"/>
    </xf>
    <xf numFmtId="0" fontId="7" fillId="0" borderId="27" xfId="0" applyFont="1" applyBorder="1" applyAlignment="1">
      <alignment horizontal="right"/>
    </xf>
    <xf numFmtId="2" fontId="6" fillId="0" borderId="16" xfId="0" applyNumberFormat="1" applyFont="1" applyBorder="1"/>
    <xf numFmtId="3" fontId="7" fillId="0" borderId="26" xfId="0" applyNumberFormat="1" applyFont="1" applyBorder="1" applyAlignment="1">
      <alignment horizontal="right"/>
    </xf>
    <xf numFmtId="3" fontId="6" fillId="0" borderId="0" xfId="0" applyNumberFormat="1" applyFont="1"/>
    <xf numFmtId="9" fontId="7" fillId="0" borderId="27" xfId="0" applyNumberFormat="1" applyFont="1" applyBorder="1" applyAlignment="1">
      <alignment horizontal="right"/>
    </xf>
    <xf numFmtId="0" fontId="6" fillId="0" borderId="5" xfId="0" applyFont="1" applyBorder="1"/>
    <xf numFmtId="2" fontId="6" fillId="0" borderId="32" xfId="0" applyNumberFormat="1" applyFont="1" applyBorder="1"/>
    <xf numFmtId="3" fontId="7" fillId="0" borderId="23" xfId="0" applyNumberFormat="1" applyFont="1" applyBorder="1" applyAlignment="1">
      <alignment horizontal="right"/>
    </xf>
    <xf numFmtId="174" fontId="19" fillId="0" borderId="27" xfId="0" applyNumberFormat="1" applyFont="1" applyBorder="1" applyAlignment="1">
      <alignment horizontal="center"/>
    </xf>
    <xf numFmtId="49" fontId="7" fillId="0" borderId="27" xfId="0" applyNumberFormat="1" applyFont="1" applyBorder="1"/>
    <xf numFmtId="174" fontId="7" fillId="0" borderId="27" xfId="0" applyNumberFormat="1" applyFont="1" applyBorder="1" applyAlignment="1">
      <alignment horizontal="center"/>
    </xf>
    <xf numFmtId="0" fontId="11" fillId="20" borderId="27" xfId="0" applyFont="1" applyFill="1" applyBorder="1" applyAlignment="1">
      <alignment horizontal="center"/>
    </xf>
    <xf numFmtId="0" fontId="11" fillId="11" borderId="27" xfId="0" applyFont="1" applyFill="1" applyBorder="1"/>
    <xf numFmtId="171" fontId="11" fillId="11" borderId="27" xfId="0" applyNumberFormat="1" applyFont="1" applyFill="1" applyBorder="1" applyAlignment="1">
      <alignment horizontal="center"/>
    </xf>
    <xf numFmtId="0" fontId="11" fillId="0" borderId="27" xfId="0" applyFont="1" applyBorder="1"/>
    <xf numFmtId="171" fontId="11" fillId="0" borderId="27" xfId="0" applyNumberFormat="1" applyFont="1" applyBorder="1" applyAlignment="1">
      <alignment horizontal="center"/>
    </xf>
    <xf numFmtId="49" fontId="5" fillId="0" borderId="27" xfId="0" applyNumberFormat="1" applyFont="1" applyBorder="1"/>
    <xf numFmtId="171" fontId="5" fillId="0" borderId="27" xfId="0" applyNumberFormat="1" applyFont="1" applyBorder="1" applyAlignment="1">
      <alignment horizontal="center"/>
    </xf>
    <xf numFmtId="49" fontId="6" fillId="0" borderId="0" xfId="0" applyNumberFormat="1" applyFont="1"/>
    <xf numFmtId="0" fontId="14" fillId="0" borderId="0" xfId="0" applyFont="1"/>
    <xf numFmtId="0" fontId="27" fillId="0" borderId="0" xfId="0" applyFont="1"/>
    <xf numFmtId="0" fontId="27" fillId="0" borderId="0" xfId="0" applyFont="1" applyAlignment="1">
      <alignment vertical="top"/>
    </xf>
    <xf numFmtId="0" fontId="15" fillId="0" borderId="0" xfId="0" applyFont="1"/>
    <xf numFmtId="0" fontId="28" fillId="0" borderId="0" xfId="0" applyFont="1"/>
    <xf numFmtId="0" fontId="29" fillId="21" borderId="33" xfId="0" applyFont="1" applyFill="1" applyBorder="1"/>
    <xf numFmtId="0" fontId="1" fillId="21" borderId="33" xfId="0" applyFont="1" applyFill="1" applyBorder="1"/>
    <xf numFmtId="0" fontId="1" fillId="22" borderId="33" xfId="0" applyFont="1" applyFill="1" applyBorder="1"/>
    <xf numFmtId="0" fontId="30" fillId="0" borderId="0" xfId="0" applyFont="1"/>
    <xf numFmtId="0" fontId="31" fillId="0" borderId="0" xfId="0" applyFont="1"/>
    <xf numFmtId="0" fontId="32" fillId="22" borderId="33" xfId="0" applyFont="1" applyFill="1" applyBorder="1"/>
    <xf numFmtId="0" fontId="33" fillId="0" borderId="0" xfId="0" applyFont="1"/>
    <xf numFmtId="0" fontId="33" fillId="23" borderId="34" xfId="0" applyFont="1" applyFill="1" applyBorder="1" applyAlignment="1">
      <alignment horizontal="center"/>
    </xf>
    <xf numFmtId="0" fontId="34" fillId="23" borderId="35" xfId="0" applyFont="1" applyFill="1" applyBorder="1" applyAlignment="1">
      <alignment horizontal="center"/>
    </xf>
    <xf numFmtId="175" fontId="34" fillId="23" borderId="35" xfId="0" applyNumberFormat="1" applyFont="1" applyFill="1" applyBorder="1" applyAlignment="1">
      <alignment horizontal="center"/>
    </xf>
    <xf numFmtId="0" fontId="33" fillId="23" borderId="36" xfId="0" applyFont="1" applyFill="1" applyBorder="1" applyAlignment="1">
      <alignment horizontal="center"/>
    </xf>
    <xf numFmtId="0" fontId="34" fillId="23" borderId="11" xfId="0" applyFont="1" applyFill="1" applyBorder="1" applyAlignment="1">
      <alignment horizontal="center"/>
    </xf>
    <xf numFmtId="0" fontId="33" fillId="0" borderId="37" xfId="0" applyFont="1" applyBorder="1"/>
    <xf numFmtId="0" fontId="33" fillId="0" borderId="15" xfId="0" applyFont="1" applyBorder="1"/>
    <xf numFmtId="176" fontId="31" fillId="0" borderId="15" xfId="0" applyNumberFormat="1" applyFont="1" applyBorder="1"/>
    <xf numFmtId="0" fontId="33" fillId="0" borderId="38" xfId="0" applyFont="1" applyBorder="1"/>
    <xf numFmtId="0" fontId="34" fillId="0" borderId="39" xfId="0" applyFont="1" applyBorder="1"/>
    <xf numFmtId="0" fontId="33" fillId="0" borderId="39" xfId="0" applyFont="1" applyBorder="1"/>
    <xf numFmtId="176" fontId="33" fillId="0" borderId="39" xfId="0" applyNumberFormat="1" applyFont="1" applyBorder="1"/>
    <xf numFmtId="0" fontId="33" fillId="0" borderId="40" xfId="0" applyFont="1" applyBorder="1"/>
    <xf numFmtId="176" fontId="33" fillId="0" borderId="15" xfId="0" applyNumberFormat="1" applyFont="1" applyBorder="1"/>
    <xf numFmtId="177" fontId="33" fillId="0" borderId="0" xfId="0" applyNumberFormat="1" applyFont="1"/>
    <xf numFmtId="177" fontId="33" fillId="0" borderId="15" xfId="0" applyNumberFormat="1" applyFont="1" applyBorder="1"/>
    <xf numFmtId="0" fontId="33" fillId="0" borderId="41" xfId="0" applyFont="1" applyBorder="1"/>
    <xf numFmtId="0" fontId="33" fillId="0" borderId="24" xfId="0" applyFont="1" applyBorder="1"/>
    <xf numFmtId="176" fontId="31" fillId="0" borderId="24" xfId="0" applyNumberFormat="1" applyFont="1" applyBorder="1"/>
    <xf numFmtId="176" fontId="33" fillId="0" borderId="24" xfId="0" applyNumberFormat="1" applyFont="1" applyBorder="1"/>
    <xf numFmtId="3" fontId="34" fillId="0" borderId="22" xfId="0" applyNumberFormat="1" applyFont="1" applyBorder="1"/>
    <xf numFmtId="39" fontId="33" fillId="0" borderId="24" xfId="0" applyNumberFormat="1" applyFont="1" applyBorder="1"/>
    <xf numFmtId="43" fontId="33" fillId="0" borderId="15" xfId="0" applyNumberFormat="1" applyFont="1" applyBorder="1"/>
    <xf numFmtId="0" fontId="34" fillId="0" borderId="0" xfId="0" applyFont="1"/>
    <xf numFmtId="0" fontId="33" fillId="0" borderId="15" xfId="0" applyFont="1" applyBorder="1" applyAlignment="1">
      <alignment horizontal="center"/>
    </xf>
    <xf numFmtId="177" fontId="34" fillId="0" borderId="15" xfId="0" applyNumberFormat="1" applyFont="1" applyBorder="1"/>
    <xf numFmtId="39" fontId="31" fillId="0" borderId="15" xfId="0" applyNumberFormat="1" applyFont="1" applyBorder="1"/>
    <xf numFmtId="0" fontId="31" fillId="0" borderId="15" xfId="0" applyFont="1" applyBorder="1"/>
    <xf numFmtId="176" fontId="34" fillId="0" borderId="15" xfId="0" applyNumberFormat="1" applyFont="1" applyBorder="1"/>
    <xf numFmtId="43" fontId="31" fillId="0" borderId="15" xfId="0" applyNumberFormat="1" applyFont="1" applyBorder="1"/>
    <xf numFmtId="0" fontId="33" fillId="0" borderId="39" xfId="0" applyFont="1" applyBorder="1" applyAlignment="1">
      <alignment horizontal="center"/>
    </xf>
    <xf numFmtId="43" fontId="33" fillId="0" borderId="39" xfId="0" applyNumberFormat="1" applyFont="1" applyBorder="1"/>
    <xf numFmtId="0" fontId="34" fillId="0" borderId="15" xfId="0" applyFont="1" applyBorder="1"/>
    <xf numFmtId="2" fontId="33" fillId="0" borderId="15" xfId="0" applyNumberFormat="1" applyFont="1" applyBorder="1" applyAlignment="1">
      <alignment horizontal="center"/>
    </xf>
    <xf numFmtId="176" fontId="35" fillId="0" borderId="15" xfId="0" applyNumberFormat="1" applyFont="1" applyBorder="1"/>
    <xf numFmtId="43" fontId="35" fillId="0" borderId="15" xfId="0" applyNumberFormat="1" applyFont="1" applyBorder="1"/>
    <xf numFmtId="37" fontId="31" fillId="0" borderId="15" xfId="0" applyNumberFormat="1" applyFont="1" applyBorder="1"/>
    <xf numFmtId="176" fontId="31" fillId="0" borderId="39" xfId="0" applyNumberFormat="1" applyFont="1" applyBorder="1"/>
    <xf numFmtId="43" fontId="34" fillId="0" borderId="15" xfId="0" applyNumberFormat="1" applyFont="1" applyBorder="1"/>
    <xf numFmtId="2" fontId="31" fillId="0" borderId="15" xfId="0" applyNumberFormat="1" applyFont="1" applyBorder="1"/>
    <xf numFmtId="11" fontId="33" fillId="0" borderId="15" xfId="0" applyNumberFormat="1" applyFont="1" applyBorder="1"/>
    <xf numFmtId="3" fontId="33" fillId="0" borderId="15" xfId="0" applyNumberFormat="1" applyFont="1" applyBorder="1"/>
    <xf numFmtId="3" fontId="31" fillId="0" borderId="15" xfId="0" applyNumberFormat="1" applyFont="1" applyBorder="1"/>
    <xf numFmtId="2" fontId="33" fillId="0" borderId="15" xfId="0" applyNumberFormat="1" applyFont="1" applyBorder="1"/>
    <xf numFmtId="0" fontId="33" fillId="0" borderId="42" xfId="0" applyFont="1" applyBorder="1"/>
    <xf numFmtId="0" fontId="33" fillId="0" borderId="43" xfId="0" applyFont="1" applyBorder="1"/>
    <xf numFmtId="176" fontId="34" fillId="24" borderId="44" xfId="0" applyNumberFormat="1" applyFont="1" applyFill="1" applyBorder="1"/>
    <xf numFmtId="177" fontId="34" fillId="24" borderId="44" xfId="0" applyNumberFormat="1" applyFont="1" applyFill="1" applyBorder="1"/>
    <xf numFmtId="0" fontId="29" fillId="25" borderId="33" xfId="0" applyFont="1" applyFill="1" applyBorder="1"/>
    <xf numFmtId="0" fontId="1" fillId="25" borderId="33" xfId="0" applyFont="1" applyFill="1" applyBorder="1"/>
    <xf numFmtId="0" fontId="33" fillId="25" borderId="33" xfId="0" applyFont="1" applyFill="1" applyBorder="1"/>
    <xf numFmtId="0" fontId="33" fillId="0" borderId="20" xfId="0" applyFont="1" applyBorder="1"/>
    <xf numFmtId="178" fontId="33" fillId="0" borderId="15" xfId="0" applyNumberFormat="1" applyFont="1" applyBorder="1"/>
    <xf numFmtId="179" fontId="33" fillId="0" borderId="15" xfId="0" applyNumberFormat="1" applyFont="1" applyBorder="1"/>
    <xf numFmtId="2" fontId="35" fillId="0" borderId="15" xfId="0" applyNumberFormat="1" applyFont="1" applyBorder="1"/>
    <xf numFmtId="0" fontId="34" fillId="0" borderId="15" xfId="0" applyFont="1" applyBorder="1" applyAlignment="1">
      <alignment horizontal="center"/>
    </xf>
    <xf numFmtId="178" fontId="35" fillId="0" borderId="15" xfId="0" applyNumberFormat="1" applyFont="1" applyBorder="1"/>
    <xf numFmtId="2" fontId="35" fillId="0" borderId="15" xfId="0" applyNumberFormat="1" applyFont="1" applyBorder="1" applyAlignment="1">
      <alignment horizontal="center"/>
    </xf>
    <xf numFmtId="2" fontId="31" fillId="0" borderId="15" xfId="0" applyNumberFormat="1" applyFont="1" applyBorder="1" applyAlignment="1">
      <alignment horizontal="center"/>
    </xf>
    <xf numFmtId="179" fontId="31" fillId="0" borderId="15" xfId="0" applyNumberFormat="1" applyFont="1" applyBorder="1"/>
    <xf numFmtId="180" fontId="35" fillId="0" borderId="15" xfId="0" applyNumberFormat="1" applyFont="1" applyBorder="1"/>
    <xf numFmtId="179" fontId="31" fillId="0" borderId="39" xfId="0" applyNumberFormat="1" applyFont="1" applyBorder="1"/>
    <xf numFmtId="176" fontId="34" fillId="0" borderId="39" xfId="0" applyNumberFormat="1" applyFont="1" applyBorder="1"/>
    <xf numFmtId="176" fontId="35" fillId="0" borderId="39" xfId="0" applyNumberFormat="1" applyFont="1" applyBorder="1"/>
    <xf numFmtId="180" fontId="35" fillId="0" borderId="39" xfId="0" applyNumberFormat="1" applyFont="1" applyBorder="1"/>
    <xf numFmtId="39" fontId="35" fillId="0" borderId="15" xfId="0" applyNumberFormat="1" applyFont="1" applyBorder="1"/>
    <xf numFmtId="37" fontId="34" fillId="0" borderId="15" xfId="0" applyNumberFormat="1" applyFont="1" applyBorder="1"/>
    <xf numFmtId="37" fontId="35" fillId="0" borderId="15" xfId="0" applyNumberFormat="1" applyFont="1" applyBorder="1"/>
    <xf numFmtId="43" fontId="34" fillId="0" borderId="39" xfId="0" applyNumberFormat="1" applyFont="1" applyBorder="1"/>
    <xf numFmtId="175" fontId="35" fillId="0" borderId="15" xfId="0" applyNumberFormat="1" applyFont="1" applyBorder="1"/>
    <xf numFmtId="38" fontId="33" fillId="0" borderId="15" xfId="0" applyNumberFormat="1" applyFont="1" applyBorder="1"/>
    <xf numFmtId="38" fontId="33" fillId="0" borderId="39" xfId="0" applyNumberFormat="1" applyFont="1" applyBorder="1"/>
    <xf numFmtId="1" fontId="33" fillId="0" borderId="15" xfId="0" applyNumberFormat="1" applyFont="1" applyBorder="1"/>
    <xf numFmtId="0" fontId="35" fillId="0" borderId="15" xfId="0" applyFont="1" applyBorder="1"/>
    <xf numFmtId="3" fontId="35" fillId="0" borderId="15" xfId="0" applyNumberFormat="1" applyFont="1" applyBorder="1"/>
    <xf numFmtId="177" fontId="31" fillId="0" borderId="15" xfId="0" applyNumberFormat="1" applyFont="1" applyBorder="1"/>
    <xf numFmtId="181" fontId="31" fillId="0" borderId="15" xfId="0" applyNumberFormat="1" applyFont="1" applyBorder="1"/>
    <xf numFmtId="182" fontId="31" fillId="0" borderId="15" xfId="0" applyNumberFormat="1" applyFont="1" applyBorder="1"/>
    <xf numFmtId="168" fontId="31" fillId="0" borderId="15" xfId="0" applyNumberFormat="1" applyFont="1" applyBorder="1"/>
    <xf numFmtId="178" fontId="34" fillId="24" borderId="44" xfId="0" applyNumberFormat="1" applyFont="1" applyFill="1" applyBorder="1"/>
    <xf numFmtId="4" fontId="34" fillId="0" borderId="15" xfId="0" applyNumberFormat="1" applyFont="1" applyBorder="1"/>
    <xf numFmtId="176" fontId="34" fillId="24" borderId="33" xfId="0" applyNumberFormat="1" applyFont="1" applyFill="1" applyBorder="1"/>
    <xf numFmtId="43" fontId="35" fillId="0" borderId="0" xfId="0" applyNumberFormat="1" applyFont="1"/>
    <xf numFmtId="168" fontId="33" fillId="0" borderId="15" xfId="0" applyNumberFormat="1" applyFont="1" applyBorder="1"/>
    <xf numFmtId="37" fontId="33" fillId="0" borderId="15" xfId="0" applyNumberFormat="1" applyFont="1" applyBorder="1"/>
    <xf numFmtId="0" fontId="36" fillId="24" borderId="33" xfId="0" applyFont="1" applyFill="1" applyBorder="1"/>
    <xf numFmtId="0" fontId="37" fillId="24" borderId="33" xfId="0" applyFont="1" applyFill="1" applyBorder="1"/>
    <xf numFmtId="0" fontId="29" fillId="0" borderId="0" xfId="0" applyFont="1"/>
    <xf numFmtId="0" fontId="38" fillId="0" borderId="0" xfId="0" applyFont="1"/>
    <xf numFmtId="0" fontId="11" fillId="0" borderId="45" xfId="0" applyFont="1" applyBorder="1"/>
    <xf numFmtId="0" fontId="11" fillId="0" borderId="46" xfId="0" applyFont="1" applyBorder="1" applyAlignment="1">
      <alignment horizontal="center"/>
    </xf>
    <xf numFmtId="0" fontId="11" fillId="0" borderId="47" xfId="0" applyFont="1" applyBorder="1" applyAlignment="1">
      <alignment horizontal="center"/>
    </xf>
    <xf numFmtId="0" fontId="11" fillId="0" borderId="48" xfId="0" applyFont="1" applyBorder="1"/>
    <xf numFmtId="0" fontId="11" fillId="0" borderId="49" xfId="0" applyFont="1" applyBorder="1" applyAlignment="1">
      <alignment horizontal="center"/>
    </xf>
    <xf numFmtId="0" fontId="11" fillId="0" borderId="50" xfId="0" applyFont="1" applyBorder="1" applyAlignment="1">
      <alignment horizontal="center"/>
    </xf>
    <xf numFmtId="0" fontId="9" fillId="2" borderId="21" xfId="0" applyFont="1" applyFill="1" applyBorder="1" applyAlignment="1">
      <alignment horizontal="left"/>
    </xf>
    <xf numFmtId="0" fontId="9" fillId="2" borderId="51" xfId="0" applyFont="1" applyFill="1" applyBorder="1" applyAlignment="1">
      <alignment horizontal="left"/>
    </xf>
    <xf numFmtId="0" fontId="39" fillId="0" borderId="45" xfId="0" applyFont="1" applyBorder="1"/>
    <xf numFmtId="176" fontId="5" fillId="0" borderId="46" xfId="0" applyNumberFormat="1" applyFont="1" applyBorder="1" applyAlignment="1">
      <alignment horizontal="left"/>
    </xf>
    <xf numFmtId="176" fontId="5" fillId="0" borderId="46" xfId="0" applyNumberFormat="1" applyFont="1" applyBorder="1"/>
    <xf numFmtId="43" fontId="39" fillId="0" borderId="46" xfId="0" applyNumberFormat="1" applyFont="1" applyBorder="1"/>
    <xf numFmtId="168" fontId="39" fillId="0" borderId="47" xfId="0" applyNumberFormat="1" applyFont="1" applyBorder="1" applyAlignment="1">
      <alignment horizontal="center"/>
    </xf>
    <xf numFmtId="3" fontId="9" fillId="2" borderId="51" xfId="0" applyNumberFormat="1" applyFont="1" applyFill="1" applyBorder="1" applyAlignment="1">
      <alignment horizontal="right"/>
    </xf>
    <xf numFmtId="0" fontId="39" fillId="0" borderId="52" xfId="0" applyFont="1" applyBorder="1"/>
    <xf numFmtId="176" fontId="5" fillId="0" borderId="29" xfId="0" applyNumberFormat="1" applyFont="1" applyBorder="1" applyAlignment="1">
      <alignment horizontal="left"/>
    </xf>
    <xf numFmtId="176" fontId="5" fillId="0" borderId="4" xfId="0" applyNumberFormat="1" applyFont="1" applyBorder="1"/>
    <xf numFmtId="43" fontId="39" fillId="0" borderId="4" xfId="0" applyNumberFormat="1" applyFont="1" applyBorder="1"/>
    <xf numFmtId="168" fontId="39" fillId="0" borderId="53" xfId="0" applyNumberFormat="1" applyFont="1" applyBorder="1" applyAlignment="1">
      <alignment horizontal="center"/>
    </xf>
    <xf numFmtId="0" fontId="11" fillId="24" borderId="54" xfId="0" applyFont="1" applyFill="1" applyBorder="1"/>
    <xf numFmtId="0" fontId="39" fillId="24" borderId="55" xfId="0" applyFont="1" applyFill="1" applyBorder="1"/>
    <xf numFmtId="176" fontId="11" fillId="24" borderId="55" xfId="0" applyNumberFormat="1" applyFont="1" applyFill="1" applyBorder="1" applyAlignment="1">
      <alignment horizontal="left"/>
    </xf>
    <xf numFmtId="176" fontId="39" fillId="24" borderId="55" xfId="0" applyNumberFormat="1" applyFont="1" applyFill="1" applyBorder="1"/>
    <xf numFmtId="2" fontId="11" fillId="24" borderId="55" xfId="0" applyNumberFormat="1" applyFont="1" applyFill="1" applyBorder="1"/>
    <xf numFmtId="168" fontId="39" fillId="24" borderId="56" xfId="0" applyNumberFormat="1" applyFont="1" applyFill="1" applyBorder="1" applyAlignment="1">
      <alignment horizontal="center"/>
    </xf>
    <xf numFmtId="0" fontId="9" fillId="2" borderId="57" xfId="0" applyFont="1" applyFill="1" applyBorder="1" applyAlignment="1">
      <alignment horizontal="left"/>
    </xf>
    <xf numFmtId="3" fontId="9" fillId="2" borderId="58" xfId="0" applyNumberFormat="1" applyFont="1" applyFill="1" applyBorder="1" applyAlignment="1">
      <alignment horizontal="right"/>
    </xf>
    <xf numFmtId="0" fontId="40" fillId="0" borderId="0" xfId="0" applyFont="1"/>
    <xf numFmtId="0" fontId="39" fillId="0" borderId="59" xfId="0" applyFont="1" applyBorder="1"/>
    <xf numFmtId="0" fontId="41" fillId="0" borderId="60" xfId="0" applyFont="1" applyBorder="1" applyAlignment="1">
      <alignment horizontal="center"/>
    </xf>
    <xf numFmtId="0" fontId="39" fillId="0" borderId="60" xfId="0" applyFont="1" applyBorder="1" applyAlignment="1">
      <alignment horizontal="center"/>
    </xf>
    <xf numFmtId="0" fontId="41" fillId="0" borderId="61" xfId="0" applyFont="1" applyBorder="1"/>
    <xf numFmtId="0" fontId="39" fillId="0" borderId="62" xfId="0" applyFont="1" applyBorder="1"/>
    <xf numFmtId="0" fontId="42" fillId="0" borderId="63" xfId="0" applyFont="1" applyBorder="1" applyAlignment="1">
      <alignment horizontal="center"/>
    </xf>
    <xf numFmtId="0" fontId="39" fillId="0" borderId="63" xfId="0" applyFont="1" applyBorder="1" applyAlignment="1">
      <alignment horizontal="center"/>
    </xf>
    <xf numFmtId="0" fontId="39" fillId="0" borderId="63" xfId="0" applyFont="1" applyBorder="1"/>
    <xf numFmtId="0" fontId="39" fillId="0" borderId="64" xfId="0" applyFont="1" applyBorder="1"/>
    <xf numFmtId="0" fontId="39" fillId="0" borderId="65" xfId="0" applyFont="1" applyBorder="1"/>
    <xf numFmtId="39" fontId="39" fillId="0" borderId="29" xfId="0" applyNumberFormat="1" applyFont="1" applyBorder="1"/>
    <xf numFmtId="177" fontId="39" fillId="0" borderId="29" xfId="0" applyNumberFormat="1" applyFont="1" applyBorder="1"/>
    <xf numFmtId="0" fontId="39" fillId="0" borderId="29" xfId="0" applyFont="1" applyBorder="1"/>
    <xf numFmtId="3" fontId="39" fillId="0" borderId="29" xfId="0" applyNumberFormat="1" applyFont="1" applyBorder="1" applyAlignment="1">
      <alignment horizontal="center"/>
    </xf>
    <xf numFmtId="0" fontId="39" fillId="0" borderId="66" xfId="0" applyFont="1" applyBorder="1"/>
    <xf numFmtId="39" fontId="39" fillId="0" borderId="4" xfId="0" applyNumberFormat="1" applyFont="1" applyBorder="1"/>
    <xf numFmtId="176" fontId="39" fillId="0" borderId="4" xfId="0" applyNumberFormat="1" applyFont="1" applyBorder="1"/>
    <xf numFmtId="0" fontId="39" fillId="0" borderId="4" xfId="0" applyFont="1" applyBorder="1"/>
    <xf numFmtId="0" fontId="39" fillId="0" borderId="53" xfId="0" applyFont="1" applyBorder="1"/>
    <xf numFmtId="0" fontId="41" fillId="24" borderId="54" xfId="0" applyFont="1" applyFill="1" applyBorder="1"/>
    <xf numFmtId="43" fontId="41" fillId="24" borderId="55" xfId="0" applyNumberFormat="1" applyFont="1" applyFill="1" applyBorder="1"/>
    <xf numFmtId="0" fontId="41" fillId="24" borderId="56" xfId="0" applyFont="1" applyFill="1" applyBorder="1"/>
    <xf numFmtId="0" fontId="43" fillId="24" borderId="33" xfId="0" applyFont="1" applyFill="1" applyBorder="1"/>
    <xf numFmtId="0" fontId="44" fillId="24" borderId="33" xfId="0" applyFont="1" applyFill="1" applyBorder="1"/>
    <xf numFmtId="0" fontId="45" fillId="0" borderId="0" xfId="0" applyFont="1"/>
    <xf numFmtId="0" fontId="39" fillId="0" borderId="46" xfId="0" applyFont="1" applyBorder="1" applyAlignment="1">
      <alignment horizontal="center"/>
    </xf>
    <xf numFmtId="0" fontId="46" fillId="0" borderId="46" xfId="0" applyFont="1" applyBorder="1" applyAlignment="1">
      <alignment horizontal="center"/>
    </xf>
    <xf numFmtId="0" fontId="46" fillId="0" borderId="47" xfId="0" applyFont="1" applyBorder="1"/>
    <xf numFmtId="0" fontId="47" fillId="0" borderId="63" xfId="0" applyFont="1" applyBorder="1" applyAlignment="1">
      <alignment horizontal="center"/>
    </xf>
    <xf numFmtId="43" fontId="39" fillId="0" borderId="29" xfId="0" applyNumberFormat="1" applyFont="1" applyBorder="1" applyAlignment="1">
      <alignment horizontal="center" vertical="top"/>
    </xf>
    <xf numFmtId="43" fontId="39" fillId="0" borderId="29" xfId="0" applyNumberFormat="1" applyFont="1" applyBorder="1"/>
    <xf numFmtId="43" fontId="39" fillId="0" borderId="29" xfId="0" applyNumberFormat="1" applyFont="1" applyBorder="1" applyAlignment="1">
      <alignment horizontal="center"/>
    </xf>
    <xf numFmtId="43" fontId="39" fillId="0" borderId="4" xfId="0" applyNumberFormat="1" applyFont="1" applyBorder="1" applyAlignment="1">
      <alignment horizontal="center" vertical="top"/>
    </xf>
    <xf numFmtId="43" fontId="39" fillId="0" borderId="4" xfId="0" applyNumberFormat="1" applyFont="1" applyBorder="1" applyAlignment="1">
      <alignment horizontal="center"/>
    </xf>
    <xf numFmtId="43" fontId="11" fillId="24" borderId="55" xfId="0" applyNumberFormat="1" applyFont="1" applyFill="1" applyBorder="1"/>
    <xf numFmtId="0" fontId="11" fillId="24" borderId="56" xfId="0" applyFont="1" applyFill="1" applyBorder="1"/>
    <xf numFmtId="0" fontId="48" fillId="0" borderId="0" xfId="0" applyFont="1" applyAlignment="1">
      <alignment horizontal="center"/>
    </xf>
    <xf numFmtId="182" fontId="49" fillId="0" borderId="0" xfId="0" applyNumberFormat="1" applyFont="1"/>
    <xf numFmtId="0" fontId="39" fillId="0" borderId="46" xfId="0" applyFont="1" applyBorder="1"/>
    <xf numFmtId="0" fontId="41" fillId="0" borderId="46" xfId="0" applyFont="1" applyBorder="1" applyAlignment="1">
      <alignment horizontal="center"/>
    </xf>
    <xf numFmtId="0" fontId="41" fillId="0" borderId="47" xfId="0" applyFont="1" applyBorder="1" applyAlignment="1">
      <alignment horizontal="center"/>
    </xf>
    <xf numFmtId="0" fontId="42" fillId="0" borderId="4" xfId="0" applyFont="1" applyBorder="1" applyAlignment="1">
      <alignment horizontal="center"/>
    </xf>
    <xf numFmtId="0" fontId="41" fillId="0" borderId="4" xfId="0" applyFont="1" applyBorder="1" applyAlignment="1">
      <alignment horizontal="center"/>
    </xf>
    <xf numFmtId="0" fontId="41" fillId="0" borderId="53" xfId="0" applyFont="1" applyBorder="1" applyAlignment="1">
      <alignment horizontal="center"/>
    </xf>
    <xf numFmtId="0" fontId="41" fillId="0" borderId="62" xfId="0" applyFont="1" applyBorder="1"/>
    <xf numFmtId="0" fontId="41" fillId="0" borderId="63" xfId="0" applyFont="1" applyBorder="1" applyAlignment="1">
      <alignment horizontal="center"/>
    </xf>
    <xf numFmtId="0" fontId="41" fillId="0" borderId="64" xfId="0" applyFont="1" applyBorder="1" applyAlignment="1">
      <alignment horizontal="center"/>
    </xf>
    <xf numFmtId="43" fontId="39" fillId="0" borderId="66" xfId="0" applyNumberFormat="1" applyFont="1" applyBorder="1"/>
    <xf numFmtId="43" fontId="39" fillId="0" borderId="53" xfId="0" applyNumberFormat="1" applyFont="1" applyBorder="1"/>
    <xf numFmtId="0" fontId="41" fillId="23" borderId="54" xfId="0" applyFont="1" applyFill="1" applyBorder="1"/>
    <xf numFmtId="0" fontId="39" fillId="23" borderId="55" xfId="0" applyFont="1" applyFill="1" applyBorder="1"/>
    <xf numFmtId="182" fontId="41" fillId="23" borderId="55" xfId="0" applyNumberFormat="1" applyFont="1" applyFill="1" applyBorder="1" applyAlignment="1">
      <alignment horizontal="center"/>
    </xf>
    <xf numFmtId="182" fontId="41" fillId="23" borderId="56" xfId="0" applyNumberFormat="1" applyFont="1" applyFill="1" applyBorder="1"/>
    <xf numFmtId="0" fontId="34" fillId="26" borderId="33" xfId="0" applyFont="1" applyFill="1" applyBorder="1" applyAlignment="1">
      <alignment horizontal="center"/>
    </xf>
    <xf numFmtId="0" fontId="34" fillId="0" borderId="0" xfId="0" applyFont="1" applyAlignment="1">
      <alignment horizontal="center"/>
    </xf>
    <xf numFmtId="0" fontId="1" fillId="0" borderId="40" xfId="0" applyFont="1" applyBorder="1"/>
    <xf numFmtId="0" fontId="1" fillId="0" borderId="67" xfId="0" applyFont="1" applyBorder="1"/>
    <xf numFmtId="0" fontId="1" fillId="0" borderId="8" xfId="0" applyFont="1" applyBorder="1"/>
    <xf numFmtId="0" fontId="32" fillId="0" borderId="8" xfId="0" applyFont="1" applyBorder="1"/>
    <xf numFmtId="0" fontId="1" fillId="0" borderId="20" xfId="0" applyFont="1" applyBorder="1"/>
    <xf numFmtId="0" fontId="1" fillId="0" borderId="19" xfId="0" applyFont="1" applyBorder="1"/>
    <xf numFmtId="0" fontId="34" fillId="22" borderId="69" xfId="0" applyFont="1" applyFill="1" applyBorder="1" applyAlignment="1">
      <alignment horizontal="center"/>
    </xf>
    <xf numFmtId="0" fontId="34" fillId="0" borderId="8" xfId="0" applyFont="1" applyBorder="1"/>
    <xf numFmtId="0" fontId="1" fillId="0" borderId="8" xfId="0" applyFont="1" applyBorder="1" applyAlignment="1">
      <alignment horizontal="center"/>
    </xf>
    <xf numFmtId="0" fontId="34" fillId="0" borderId="12" xfId="0" applyFont="1" applyBorder="1"/>
    <xf numFmtId="0" fontId="1" fillId="0" borderId="12" xfId="0" applyFont="1" applyBorder="1" applyAlignment="1">
      <alignment horizontal="right"/>
    </xf>
    <xf numFmtId="176" fontId="1" fillId="0" borderId="12" xfId="0" applyNumberFormat="1" applyFont="1" applyBorder="1"/>
    <xf numFmtId="0" fontId="1" fillId="0" borderId="12" xfId="0" applyFont="1" applyBorder="1"/>
    <xf numFmtId="0" fontId="34" fillId="10" borderId="8" xfId="0" applyFont="1" applyFill="1" applyBorder="1"/>
    <xf numFmtId="0" fontId="34" fillId="26" borderId="12" xfId="0" applyFont="1" applyFill="1" applyBorder="1" applyAlignment="1">
      <alignment horizontal="right"/>
    </xf>
    <xf numFmtId="176" fontId="50" fillId="26" borderId="12" xfId="0" applyNumberFormat="1" applyFont="1" applyFill="1" applyBorder="1"/>
    <xf numFmtId="176" fontId="51" fillId="26" borderId="12" xfId="0" applyNumberFormat="1" applyFont="1" applyFill="1" applyBorder="1"/>
    <xf numFmtId="176" fontId="52" fillId="26" borderId="12" xfId="0" applyNumberFormat="1" applyFont="1" applyFill="1" applyBorder="1" applyAlignment="1">
      <alignment horizontal="center"/>
    </xf>
    <xf numFmtId="0" fontId="1" fillId="26" borderId="12" xfId="0" applyFont="1" applyFill="1" applyBorder="1"/>
    <xf numFmtId="0" fontId="34" fillId="27" borderId="12" xfId="0" applyFont="1" applyFill="1" applyBorder="1"/>
    <xf numFmtId="177" fontId="1" fillId="27" borderId="12" xfId="0" applyNumberFormat="1" applyFont="1" applyFill="1" applyBorder="1"/>
    <xf numFmtId="176" fontId="1" fillId="27" borderId="12" xfId="0" applyNumberFormat="1" applyFont="1" applyFill="1" applyBorder="1"/>
    <xf numFmtId="43" fontId="1" fillId="27" borderId="12" xfId="0" applyNumberFormat="1" applyFont="1" applyFill="1" applyBorder="1"/>
    <xf numFmtId="43" fontId="1" fillId="0" borderId="0" xfId="0" applyNumberFormat="1" applyFont="1"/>
    <xf numFmtId="177" fontId="1" fillId="0" borderId="12" xfId="0" applyNumberFormat="1" applyFont="1" applyBorder="1"/>
    <xf numFmtId="43" fontId="1" fillId="0" borderId="12" xfId="0" applyNumberFormat="1" applyFont="1" applyBorder="1"/>
    <xf numFmtId="0" fontId="1" fillId="0" borderId="70" xfId="0" applyFont="1" applyBorder="1"/>
    <xf numFmtId="0" fontId="34" fillId="0" borderId="70" xfId="0" applyFont="1" applyBorder="1"/>
    <xf numFmtId="177" fontId="1" fillId="0" borderId="70" xfId="0" applyNumberFormat="1" applyFont="1" applyBorder="1"/>
    <xf numFmtId="43" fontId="1" fillId="0" borderId="70" xfId="0" applyNumberFormat="1" applyFont="1" applyBorder="1"/>
    <xf numFmtId="179" fontId="1" fillId="0" borderId="70" xfId="0" applyNumberFormat="1" applyFont="1" applyBorder="1"/>
    <xf numFmtId="0" fontId="1" fillId="10" borderId="8" xfId="0" applyFont="1" applyFill="1" applyBorder="1"/>
    <xf numFmtId="176" fontId="1" fillId="10" borderId="8" xfId="0" applyNumberFormat="1" applyFont="1" applyFill="1" applyBorder="1"/>
    <xf numFmtId="0" fontId="34" fillId="22" borderId="12" xfId="0" applyFont="1" applyFill="1" applyBorder="1" applyAlignment="1">
      <alignment horizontal="center"/>
    </xf>
    <xf numFmtId="0" fontId="1" fillId="22" borderId="12" xfId="0" applyFont="1" applyFill="1" applyBorder="1"/>
    <xf numFmtId="0" fontId="1" fillId="0" borderId="12" xfId="0" applyFont="1" applyBorder="1" applyAlignment="1">
      <alignment horizontal="center"/>
    </xf>
    <xf numFmtId="0" fontId="34" fillId="10" borderId="12" xfId="0" applyFont="1" applyFill="1" applyBorder="1"/>
    <xf numFmtId="176" fontId="52" fillId="26" borderId="12" xfId="0" applyNumberFormat="1" applyFont="1" applyFill="1" applyBorder="1"/>
    <xf numFmtId="0" fontId="34" fillId="0" borderId="12" xfId="0" applyFont="1" applyBorder="1" applyAlignment="1">
      <alignment horizontal="right"/>
    </xf>
    <xf numFmtId="176" fontId="53" fillId="0" borderId="12" xfId="0" applyNumberFormat="1" applyFont="1" applyBorder="1"/>
    <xf numFmtId="176" fontId="52" fillId="0" borderId="12" xfId="0" applyNumberFormat="1" applyFont="1" applyBorder="1"/>
    <xf numFmtId="0" fontId="1" fillId="10" borderId="11" xfId="0" applyFont="1" applyFill="1" applyBorder="1"/>
    <xf numFmtId="176" fontId="1" fillId="10" borderId="71" xfId="0" applyNumberFormat="1" applyFont="1" applyFill="1" applyBorder="1"/>
    <xf numFmtId="0" fontId="1" fillId="10" borderId="71" xfId="0" applyFont="1" applyFill="1" applyBorder="1"/>
    <xf numFmtId="0" fontId="1" fillId="0" borderId="15" xfId="0" applyFont="1" applyBorder="1"/>
    <xf numFmtId="0" fontId="1" fillId="0" borderId="15" xfId="0" applyFont="1" applyBorder="1" applyAlignment="1">
      <alignment horizontal="right"/>
    </xf>
    <xf numFmtId="0" fontId="34" fillId="10" borderId="11" xfId="0" applyFont="1" applyFill="1" applyBorder="1"/>
    <xf numFmtId="0" fontId="34" fillId="26" borderId="11" xfId="0" applyFont="1" applyFill="1" applyBorder="1" applyAlignment="1">
      <alignment horizontal="right"/>
    </xf>
    <xf numFmtId="0" fontId="34" fillId="0" borderId="15" xfId="0" applyFont="1" applyBorder="1" applyAlignment="1">
      <alignment horizontal="right"/>
    </xf>
    <xf numFmtId="0" fontId="34" fillId="27" borderId="11" xfId="0" applyFont="1" applyFill="1" applyBorder="1"/>
    <xf numFmtId="183" fontId="1" fillId="27" borderId="12" xfId="0" applyNumberFormat="1" applyFont="1" applyFill="1" applyBorder="1"/>
    <xf numFmtId="179" fontId="1" fillId="0" borderId="12" xfId="0" applyNumberFormat="1" applyFont="1" applyBorder="1"/>
    <xf numFmtId="0" fontId="1" fillId="10" borderId="72" xfId="0" applyFont="1" applyFill="1" applyBorder="1"/>
    <xf numFmtId="176" fontId="1" fillId="10" borderId="70" xfId="0" applyNumberFormat="1" applyFont="1" applyFill="1" applyBorder="1"/>
    <xf numFmtId="0" fontId="1" fillId="10" borderId="70" xfId="0" applyFont="1" applyFill="1" applyBorder="1"/>
    <xf numFmtId="176" fontId="1" fillId="0" borderId="0" xfId="0" applyNumberFormat="1" applyFont="1"/>
    <xf numFmtId="0" fontId="1" fillId="0" borderId="73" xfId="0" applyFont="1" applyBorder="1"/>
    <xf numFmtId="0" fontId="1" fillId="0" borderId="74" xfId="0" applyFont="1" applyBorder="1"/>
    <xf numFmtId="0" fontId="34" fillId="22" borderId="74" xfId="0" applyFont="1" applyFill="1" applyBorder="1" applyAlignment="1">
      <alignment horizontal="center"/>
    </xf>
    <xf numFmtId="0" fontId="1" fillId="22" borderId="74" xfId="0" applyFont="1" applyFill="1" applyBorder="1"/>
    <xf numFmtId="0" fontId="1" fillId="22" borderId="75" xfId="0" applyFont="1" applyFill="1" applyBorder="1"/>
    <xf numFmtId="0" fontId="1" fillId="0" borderId="21" xfId="0" applyFont="1" applyBorder="1"/>
    <xf numFmtId="0" fontId="32" fillId="0" borderId="4" xfId="0" applyFont="1" applyBorder="1"/>
    <xf numFmtId="0" fontId="1" fillId="0" borderId="4" xfId="0" applyFont="1" applyBorder="1" applyAlignment="1">
      <alignment horizontal="center"/>
    </xf>
    <xf numFmtId="0" fontId="1" fillId="0" borderId="4" xfId="0" applyFont="1" applyBorder="1"/>
    <xf numFmtId="0" fontId="1" fillId="0" borderId="51" xfId="0" applyFont="1" applyBorder="1"/>
    <xf numFmtId="0" fontId="1" fillId="0" borderId="57" xfId="0" applyFont="1" applyBorder="1"/>
    <xf numFmtId="0" fontId="1" fillId="0" borderId="76" xfId="0" applyFont="1" applyBorder="1"/>
    <xf numFmtId="176" fontId="1" fillId="0" borderId="76" xfId="0" applyNumberFormat="1" applyFont="1" applyBorder="1"/>
    <xf numFmtId="0" fontId="1" fillId="0" borderId="58" xfId="0" applyFont="1" applyBorder="1"/>
    <xf numFmtId="0" fontId="34" fillId="10" borderId="77" xfId="0" applyFont="1" applyFill="1" applyBorder="1"/>
    <xf numFmtId="0" fontId="34" fillId="10" borderId="78" xfId="0" applyFont="1" applyFill="1" applyBorder="1"/>
    <xf numFmtId="0" fontId="34" fillId="10" borderId="79" xfId="0" applyFont="1" applyFill="1" applyBorder="1"/>
    <xf numFmtId="0" fontId="34" fillId="0" borderId="80" xfId="0" applyFont="1" applyBorder="1"/>
    <xf numFmtId="0" fontId="34" fillId="10" borderId="81" xfId="0" applyFont="1" applyFill="1" applyBorder="1"/>
    <xf numFmtId="0" fontId="34" fillId="10" borderId="72" xfId="0" applyFont="1" applyFill="1" applyBorder="1"/>
    <xf numFmtId="0" fontId="34" fillId="10" borderId="82" xfId="0" applyFont="1" applyFill="1" applyBorder="1"/>
    <xf numFmtId="0" fontId="34" fillId="0" borderId="83" xfId="0" applyFont="1" applyBorder="1"/>
    <xf numFmtId="0" fontId="34" fillId="0" borderId="84" xfId="0" applyFont="1" applyBorder="1"/>
    <xf numFmtId="0" fontId="33" fillId="0" borderId="85" xfId="0" applyFont="1" applyBorder="1"/>
    <xf numFmtId="176" fontId="33" fillId="0" borderId="12" xfId="0" applyNumberFormat="1" applyFont="1" applyBorder="1"/>
    <xf numFmtId="182" fontId="33" fillId="0" borderId="86" xfId="0" applyNumberFormat="1" applyFont="1" applyBorder="1"/>
    <xf numFmtId="2" fontId="33" fillId="0" borderId="80" xfId="0" applyNumberFormat="1" applyFont="1" applyBorder="1"/>
    <xf numFmtId="0" fontId="33" fillId="0" borderId="12" xfId="0" applyFont="1" applyBorder="1"/>
    <xf numFmtId="0" fontId="1" fillId="0" borderId="87" xfId="0" applyFont="1" applyBorder="1"/>
    <xf numFmtId="0" fontId="34" fillId="0" borderId="88" xfId="0" applyFont="1" applyBorder="1"/>
    <xf numFmtId="176" fontId="34" fillId="0" borderId="88" xfId="0" applyNumberFormat="1" applyFont="1" applyBorder="1"/>
    <xf numFmtId="182" fontId="34" fillId="0" borderId="89" xfId="0" applyNumberFormat="1" applyFont="1" applyBorder="1"/>
    <xf numFmtId="2" fontId="34" fillId="0" borderId="80" xfId="0" applyNumberFormat="1" applyFont="1" applyBorder="1"/>
    <xf numFmtId="0" fontId="34" fillId="10" borderId="90" xfId="0" applyFont="1" applyFill="1" applyBorder="1"/>
    <xf numFmtId="176" fontId="34" fillId="10" borderId="25" xfId="0" applyNumberFormat="1" applyFont="1" applyFill="1" applyBorder="1"/>
    <xf numFmtId="176" fontId="34" fillId="10" borderId="91" xfId="0" applyNumberFormat="1" applyFont="1" applyFill="1" applyBorder="1"/>
    <xf numFmtId="182" fontId="34" fillId="10" borderId="92" xfId="0" applyNumberFormat="1" applyFont="1" applyFill="1" applyBorder="1"/>
    <xf numFmtId="174" fontId="34" fillId="0" borderId="80" xfId="0" applyNumberFormat="1" applyFont="1" applyBorder="1"/>
    <xf numFmtId="0" fontId="1" fillId="0" borderId="93" xfId="0" applyFont="1" applyBorder="1"/>
    <xf numFmtId="0" fontId="1" fillId="0" borderId="94" xfId="0" applyFont="1" applyBorder="1"/>
    <xf numFmtId="0" fontId="1" fillId="0" borderId="95" xfId="0" applyFont="1" applyBorder="1"/>
    <xf numFmtId="0" fontId="1" fillId="0" borderId="80" xfId="0" applyFont="1" applyBorder="1"/>
    <xf numFmtId="0" fontId="34" fillId="10" borderId="96" xfId="0" applyFont="1" applyFill="1" applyBorder="1"/>
    <xf numFmtId="0" fontId="34" fillId="10" borderId="97" xfId="0" applyFont="1" applyFill="1" applyBorder="1"/>
    <xf numFmtId="0" fontId="34" fillId="10" borderId="98" xfId="0" applyFont="1" applyFill="1" applyBorder="1"/>
    <xf numFmtId="43" fontId="33" fillId="0" borderId="12" xfId="0" applyNumberFormat="1" applyFont="1" applyBorder="1"/>
    <xf numFmtId="179" fontId="33" fillId="0" borderId="12" xfId="0" applyNumberFormat="1" applyFont="1" applyBorder="1"/>
    <xf numFmtId="0" fontId="34" fillId="28" borderId="90" xfId="0" applyFont="1" applyFill="1" applyBorder="1"/>
    <xf numFmtId="176" fontId="34" fillId="28" borderId="25" xfId="0" applyNumberFormat="1" applyFont="1" applyFill="1" applyBorder="1"/>
    <xf numFmtId="178" fontId="34" fillId="28" borderId="25" xfId="0" applyNumberFormat="1" applyFont="1" applyFill="1" applyBorder="1"/>
    <xf numFmtId="179" fontId="34" fillId="28" borderId="25" xfId="0" applyNumberFormat="1" applyFont="1" applyFill="1" applyBorder="1"/>
    <xf numFmtId="182" fontId="34" fillId="28" borderId="99" xfId="0" applyNumberFormat="1" applyFont="1" applyFill="1" applyBorder="1"/>
    <xf numFmtId="0" fontId="1" fillId="0" borderId="100" xfId="0" applyFont="1" applyBorder="1"/>
    <xf numFmtId="0" fontId="1" fillId="0" borderId="101" xfId="0" applyFont="1" applyBorder="1"/>
    <xf numFmtId="0" fontId="1" fillId="0" borderId="102" xfId="0" applyFont="1" applyBorder="1"/>
    <xf numFmtId="178" fontId="33" fillId="0" borderId="12" xfId="0" applyNumberFormat="1" applyFont="1" applyBorder="1"/>
    <xf numFmtId="0" fontId="34" fillId="29" borderId="90" xfId="0" applyFont="1" applyFill="1" applyBorder="1"/>
    <xf numFmtId="176" fontId="34" fillId="29" borderId="25" xfId="0" applyNumberFormat="1" applyFont="1" applyFill="1" applyBorder="1"/>
    <xf numFmtId="178" fontId="34" fillId="29" borderId="25" xfId="0" applyNumberFormat="1" applyFont="1" applyFill="1" applyBorder="1"/>
    <xf numFmtId="174" fontId="34" fillId="29" borderId="99" xfId="0" applyNumberFormat="1" applyFont="1" applyFill="1" applyBorder="1"/>
    <xf numFmtId="0" fontId="11" fillId="0" borderId="0" xfId="0" applyFont="1" applyAlignment="1">
      <alignment horizontal="center"/>
    </xf>
    <xf numFmtId="0" fontId="11" fillId="0" borderId="0" xfId="0" applyFont="1"/>
    <xf numFmtId="0" fontId="11" fillId="21" borderId="33" xfId="0" applyFont="1" applyFill="1" applyBorder="1" applyAlignment="1">
      <alignment horizontal="center"/>
    </xf>
    <xf numFmtId="0" fontId="11" fillId="0" borderId="73" xfId="0" applyFont="1" applyBorder="1"/>
    <xf numFmtId="0" fontId="5" fillId="0" borderId="74" xfId="0" applyFont="1" applyBorder="1" applyAlignment="1">
      <alignment horizontal="center"/>
    </xf>
    <xf numFmtId="174" fontId="5" fillId="0" borderId="75" xfId="0" applyNumberFormat="1" applyFont="1" applyBorder="1"/>
    <xf numFmtId="0" fontId="11" fillId="0" borderId="21" xfId="0" applyFont="1" applyBorder="1"/>
    <xf numFmtId="0" fontId="5" fillId="0" borderId="4" xfId="0" applyFont="1" applyBorder="1" applyAlignment="1">
      <alignment horizontal="center"/>
    </xf>
    <xf numFmtId="168" fontId="5" fillId="0" borderId="51" xfId="0" applyNumberFormat="1" applyFont="1" applyBorder="1"/>
    <xf numFmtId="184" fontId="5" fillId="0" borderId="51" xfId="0" applyNumberFormat="1" applyFont="1" applyBorder="1"/>
    <xf numFmtId="0" fontId="5" fillId="0" borderId="57" xfId="0" applyFont="1" applyBorder="1"/>
    <xf numFmtId="0" fontId="11" fillId="0" borderId="76" xfId="0" applyFont="1" applyBorder="1" applyAlignment="1">
      <alignment horizontal="center"/>
    </xf>
    <xf numFmtId="0" fontId="11" fillId="0" borderId="58" xfId="0" applyFont="1" applyBorder="1" applyAlignment="1">
      <alignment horizontal="center"/>
    </xf>
    <xf numFmtId="0" fontId="5" fillId="0" borderId="40" xfId="0" applyFont="1" applyBorder="1"/>
    <xf numFmtId="0" fontId="5" fillId="0" borderId="67" xfId="0" applyFont="1" applyBorder="1"/>
    <xf numFmtId="0" fontId="11" fillId="0" borderId="8" xfId="0" applyFont="1" applyBorder="1" applyAlignment="1">
      <alignment horizontal="center"/>
    </xf>
    <xf numFmtId="0" fontId="11" fillId="0" borderId="8" xfId="0" applyFont="1" applyBorder="1"/>
    <xf numFmtId="0" fontId="11" fillId="0" borderId="10" xfId="0" applyFont="1" applyBorder="1" applyAlignment="1">
      <alignment horizontal="center"/>
    </xf>
    <xf numFmtId="0" fontId="5" fillId="0" borderId="19" xfId="0" applyFont="1" applyBorder="1"/>
    <xf numFmtId="0" fontId="11" fillId="22" borderId="12" xfId="0" applyFont="1" applyFill="1" applyBorder="1" applyAlignment="1">
      <alignment horizontal="center"/>
    </xf>
    <xf numFmtId="0" fontId="11" fillId="22" borderId="103" xfId="0" applyFont="1" applyFill="1" applyBorder="1" applyAlignment="1">
      <alignment horizontal="center"/>
    </xf>
    <xf numFmtId="0" fontId="5" fillId="0" borderId="12" xfId="0" quotePrefix="1" applyFont="1" applyBorder="1" applyAlignment="1">
      <alignment horizontal="center"/>
    </xf>
    <xf numFmtId="0" fontId="5" fillId="0" borderId="12" xfId="0" applyFont="1" applyBorder="1"/>
    <xf numFmtId="0" fontId="5" fillId="0" borderId="18" xfId="0" applyFont="1" applyBorder="1"/>
    <xf numFmtId="0" fontId="5" fillId="0" borderId="88" xfId="0" applyFont="1" applyBorder="1" applyAlignment="1">
      <alignment horizontal="center"/>
    </xf>
    <xf numFmtId="0" fontId="5" fillId="0" borderId="104" xfId="0" applyFont="1" applyBorder="1" applyAlignment="1">
      <alignment horizontal="center"/>
    </xf>
    <xf numFmtId="0" fontId="11" fillId="10" borderId="105" xfId="0" applyFont="1" applyFill="1" applyBorder="1"/>
    <xf numFmtId="0" fontId="11" fillId="23" borderId="106" xfId="0" applyFont="1" applyFill="1" applyBorder="1" applyAlignment="1">
      <alignment horizontal="right"/>
    </xf>
    <xf numFmtId="176" fontId="11" fillId="23" borderId="8" xfId="0" applyNumberFormat="1" applyFont="1" applyFill="1" applyBorder="1"/>
    <xf numFmtId="175" fontId="5" fillId="23" borderId="107" xfId="0" applyNumberFormat="1" applyFont="1" applyFill="1" applyBorder="1" applyAlignment="1">
      <alignment horizontal="center"/>
    </xf>
    <xf numFmtId="176" fontId="5" fillId="23" borderId="8" xfId="0" applyNumberFormat="1" applyFont="1" applyFill="1" applyBorder="1"/>
    <xf numFmtId="176" fontId="5" fillId="23" borderId="106" xfId="0" applyNumberFormat="1" applyFont="1" applyFill="1" applyBorder="1"/>
    <xf numFmtId="0" fontId="5" fillId="10" borderId="105" xfId="0" applyFont="1" applyFill="1" applyBorder="1"/>
    <xf numFmtId="0" fontId="11" fillId="10" borderId="103" xfId="0" applyFont="1" applyFill="1" applyBorder="1" applyAlignment="1">
      <alignment horizontal="right"/>
    </xf>
    <xf numFmtId="176" fontId="11" fillId="10" borderId="12" xfId="0" applyNumberFormat="1" applyFont="1" applyFill="1" applyBorder="1"/>
    <xf numFmtId="176" fontId="11" fillId="10" borderId="103" xfId="0" applyNumberFormat="1" applyFont="1" applyFill="1" applyBorder="1"/>
    <xf numFmtId="176" fontId="5" fillId="10" borderId="12" xfId="0" applyNumberFormat="1" applyFont="1" applyFill="1" applyBorder="1"/>
    <xf numFmtId="176" fontId="5" fillId="10" borderId="103" xfId="0" applyNumberFormat="1" applyFont="1" applyFill="1" applyBorder="1"/>
    <xf numFmtId="0" fontId="5" fillId="30" borderId="108" xfId="0" applyFont="1" applyFill="1" applyBorder="1"/>
    <xf numFmtId="0" fontId="11" fillId="30" borderId="33" xfId="0" applyFont="1" applyFill="1" applyBorder="1" applyAlignment="1">
      <alignment horizontal="right"/>
    </xf>
    <xf numFmtId="176" fontId="54" fillId="30" borderId="69" xfId="0" applyNumberFormat="1" applyFont="1" applyFill="1" applyBorder="1"/>
    <xf numFmtId="39" fontId="55" fillId="30" borderId="69" xfId="0" applyNumberFormat="1" applyFont="1" applyFill="1" applyBorder="1"/>
    <xf numFmtId="37" fontId="55" fillId="30" borderId="69" xfId="0" applyNumberFormat="1" applyFont="1" applyFill="1" applyBorder="1"/>
    <xf numFmtId="39" fontId="54" fillId="30" borderId="69" xfId="0" applyNumberFormat="1" applyFont="1" applyFill="1" applyBorder="1"/>
    <xf numFmtId="176" fontId="55" fillId="30" borderId="69" xfId="0" applyNumberFormat="1" applyFont="1" applyFill="1" applyBorder="1"/>
    <xf numFmtId="176" fontId="5" fillId="30" borderId="69" xfId="0" applyNumberFormat="1" applyFont="1" applyFill="1" applyBorder="1"/>
    <xf numFmtId="176" fontId="54" fillId="30" borderId="109" xfId="0" applyNumberFormat="1" applyFont="1" applyFill="1" applyBorder="1"/>
    <xf numFmtId="43" fontId="5" fillId="0" borderId="0" xfId="0" applyNumberFormat="1" applyFont="1"/>
    <xf numFmtId="0" fontId="11" fillId="0" borderId="25" xfId="0" applyFont="1" applyBorder="1" applyAlignment="1">
      <alignment horizontal="right"/>
    </xf>
    <xf numFmtId="176" fontId="5" fillId="0" borderId="25" xfId="0" applyNumberFormat="1" applyFont="1" applyBorder="1"/>
    <xf numFmtId="176" fontId="54" fillId="0" borderId="25" xfId="0" applyNumberFormat="1" applyFont="1" applyBorder="1"/>
    <xf numFmtId="176" fontId="5" fillId="0" borderId="39" xfId="0" applyNumberFormat="1" applyFont="1" applyBorder="1"/>
    <xf numFmtId="0" fontId="5" fillId="0" borderId="110" xfId="0" applyFont="1" applyBorder="1"/>
    <xf numFmtId="176" fontId="5" fillId="0" borderId="67" xfId="0" applyNumberFormat="1" applyFont="1" applyBorder="1"/>
    <xf numFmtId="10" fontId="5" fillId="0" borderId="0" xfId="0" applyNumberFormat="1" applyFont="1"/>
    <xf numFmtId="10" fontId="1" fillId="0" borderId="0" xfId="0" applyNumberFormat="1" applyFont="1"/>
    <xf numFmtId="0" fontId="11" fillId="31" borderId="12" xfId="0" applyFont="1" applyFill="1" applyBorder="1"/>
    <xf numFmtId="43" fontId="5" fillId="31" borderId="105" xfId="0" applyNumberFormat="1" applyFont="1" applyFill="1" applyBorder="1" applyAlignment="1">
      <alignment horizontal="left"/>
    </xf>
    <xf numFmtId="39" fontId="5" fillId="31" borderId="12" xfId="0" applyNumberFormat="1" applyFont="1" applyFill="1" applyBorder="1" applyAlignment="1">
      <alignment horizontal="center"/>
    </xf>
    <xf numFmtId="39" fontId="5" fillId="31" borderId="12" xfId="0" applyNumberFormat="1" applyFont="1" applyFill="1" applyBorder="1" applyAlignment="1">
      <alignment horizontal="left"/>
    </xf>
    <xf numFmtId="43" fontId="5" fillId="31" borderId="12" xfId="0" applyNumberFormat="1" applyFont="1" applyFill="1" applyBorder="1" applyAlignment="1">
      <alignment horizontal="left"/>
    </xf>
    <xf numFmtId="43" fontId="5" fillId="31" borderId="103" xfId="0" applyNumberFormat="1" applyFont="1" applyFill="1" applyBorder="1" applyAlignment="1">
      <alignment horizontal="left"/>
    </xf>
    <xf numFmtId="0" fontId="11" fillId="23" borderId="108" xfId="0" applyFont="1" applyFill="1" applyBorder="1"/>
    <xf numFmtId="43" fontId="5" fillId="0" borderId="17" xfId="0" applyNumberFormat="1" applyFont="1" applyBorder="1" applyAlignment="1">
      <alignment horizontal="left"/>
    </xf>
    <xf numFmtId="39" fontId="5" fillId="0" borderId="12" xfId="0" applyNumberFormat="1" applyFont="1" applyBorder="1" applyAlignment="1">
      <alignment horizontal="center"/>
    </xf>
    <xf numFmtId="39" fontId="5" fillId="0" borderId="12" xfId="0" applyNumberFormat="1" applyFont="1" applyBorder="1" applyAlignment="1">
      <alignment horizontal="left"/>
    </xf>
    <xf numFmtId="43" fontId="5" fillId="0" borderId="12" xfId="0" applyNumberFormat="1" applyFont="1" applyBorder="1" applyAlignment="1">
      <alignment horizontal="left"/>
    </xf>
    <xf numFmtId="43" fontId="5" fillId="0" borderId="18" xfId="0" applyNumberFormat="1" applyFont="1" applyBorder="1" applyAlignment="1">
      <alignment horizontal="left"/>
    </xf>
    <xf numFmtId="0" fontId="11" fillId="0" borderId="111" xfId="0" applyFont="1" applyBorder="1"/>
    <xf numFmtId="43" fontId="5" fillId="0" borderId="111" xfId="0" applyNumberFormat="1" applyFont="1" applyBorder="1" applyAlignment="1">
      <alignment horizontal="left"/>
    </xf>
    <xf numFmtId="39" fontId="5" fillId="0" borderId="70" xfId="0" applyNumberFormat="1" applyFont="1" applyBorder="1" applyAlignment="1">
      <alignment horizontal="center"/>
    </xf>
    <xf numFmtId="39" fontId="5" fillId="0" borderId="70" xfId="0" applyNumberFormat="1" applyFont="1" applyBorder="1" applyAlignment="1">
      <alignment horizontal="left"/>
    </xf>
    <xf numFmtId="43" fontId="5" fillId="0" borderId="70" xfId="0" applyNumberFormat="1" applyFont="1" applyBorder="1" applyAlignment="1">
      <alignment horizontal="left"/>
    </xf>
    <xf numFmtId="43" fontId="5" fillId="0" borderId="112" xfId="0" applyNumberFormat="1" applyFont="1" applyBorder="1" applyAlignment="1">
      <alignment horizontal="left"/>
    </xf>
    <xf numFmtId="0" fontId="5" fillId="0" borderId="8" xfId="0" applyFont="1" applyBorder="1"/>
    <xf numFmtId="43" fontId="5" fillId="0" borderId="8" xfId="0" applyNumberFormat="1" applyFont="1" applyBorder="1" applyAlignment="1">
      <alignment horizontal="left"/>
    </xf>
    <xf numFmtId="39" fontId="5" fillId="0" borderId="8" xfId="0" applyNumberFormat="1" applyFont="1" applyBorder="1" applyAlignment="1">
      <alignment horizontal="center"/>
    </xf>
    <xf numFmtId="39" fontId="5" fillId="0" borderId="8" xfId="0" applyNumberFormat="1" applyFont="1" applyBorder="1" applyAlignment="1">
      <alignment horizontal="left"/>
    </xf>
    <xf numFmtId="0" fontId="5" fillId="0" borderId="113" xfId="0" applyFont="1" applyBorder="1"/>
    <xf numFmtId="0" fontId="11" fillId="0" borderId="70" xfId="0" applyFont="1" applyBorder="1"/>
    <xf numFmtId="43" fontId="5" fillId="0" borderId="20" xfId="0" applyNumberFormat="1" applyFont="1" applyBorder="1" applyAlignment="1">
      <alignment horizontal="left"/>
    </xf>
    <xf numFmtId="39" fontId="5" fillId="0" borderId="15" xfId="0" applyNumberFormat="1" applyFont="1" applyBorder="1" applyAlignment="1">
      <alignment horizontal="center"/>
    </xf>
    <xf numFmtId="39" fontId="5" fillId="0" borderId="15" xfId="0" applyNumberFormat="1" applyFont="1" applyBorder="1" applyAlignment="1">
      <alignment horizontal="left"/>
    </xf>
    <xf numFmtId="43" fontId="5" fillId="0" borderId="15" xfId="0" applyNumberFormat="1" applyFont="1" applyBorder="1" applyAlignment="1">
      <alignment horizontal="left"/>
    </xf>
    <xf numFmtId="43" fontId="5" fillId="0" borderId="19" xfId="0" applyNumberFormat="1" applyFont="1" applyBorder="1" applyAlignment="1">
      <alignment horizontal="left"/>
    </xf>
    <xf numFmtId="0" fontId="11" fillId="31" borderId="8" xfId="0" applyFont="1" applyFill="1" applyBorder="1"/>
    <xf numFmtId="43" fontId="5" fillId="31" borderId="8" xfId="0" applyNumberFormat="1" applyFont="1" applyFill="1" applyBorder="1" applyAlignment="1">
      <alignment horizontal="left"/>
    </xf>
    <xf numFmtId="39" fontId="5" fillId="31" borderId="8" xfId="0" applyNumberFormat="1" applyFont="1" applyFill="1" applyBorder="1" applyAlignment="1">
      <alignment horizontal="center"/>
    </xf>
    <xf numFmtId="39" fontId="5" fillId="31" borderId="8" xfId="0" applyNumberFormat="1" applyFont="1" applyFill="1" applyBorder="1" applyAlignment="1">
      <alignment horizontal="left"/>
    </xf>
    <xf numFmtId="168" fontId="5" fillId="31" borderId="8" xfId="0" applyNumberFormat="1" applyFont="1" applyFill="1" applyBorder="1" applyAlignment="1">
      <alignment horizontal="center"/>
    </xf>
    <xf numFmtId="176" fontId="5" fillId="0" borderId="0" xfId="0" applyNumberFormat="1" applyFont="1"/>
    <xf numFmtId="168" fontId="5" fillId="0" borderId="12" xfId="0" applyNumberFormat="1" applyFont="1" applyBorder="1" applyAlignment="1">
      <alignment horizontal="center"/>
    </xf>
    <xf numFmtId="168" fontId="5" fillId="0" borderId="70" xfId="0" applyNumberFormat="1" applyFont="1" applyBorder="1" applyAlignment="1">
      <alignment horizontal="center"/>
    </xf>
    <xf numFmtId="0" fontId="5" fillId="0" borderId="6" xfId="0" applyFont="1" applyBorder="1"/>
    <xf numFmtId="0" fontId="5" fillId="0" borderId="114" xfId="0" applyFont="1" applyBorder="1"/>
    <xf numFmtId="176" fontId="5" fillId="0" borderId="114" xfId="0" applyNumberFormat="1" applyFont="1" applyBorder="1"/>
    <xf numFmtId="176" fontId="5" fillId="0" borderId="7" xfId="0" applyNumberFormat="1" applyFont="1" applyBorder="1"/>
    <xf numFmtId="0" fontId="11" fillId="10" borderId="77" xfId="0" applyFont="1" applyFill="1" applyBorder="1"/>
    <xf numFmtId="0" fontId="11" fillId="10" borderId="78" xfId="0" applyFont="1" applyFill="1" applyBorder="1"/>
    <xf numFmtId="0" fontId="11" fillId="10" borderId="96" xfId="0" applyFont="1" applyFill="1" applyBorder="1"/>
    <xf numFmtId="0" fontId="11" fillId="0" borderId="80" xfId="0" applyFont="1" applyBorder="1"/>
    <xf numFmtId="0" fontId="11" fillId="10" borderId="97" xfId="0" applyFont="1" applyFill="1" applyBorder="1"/>
    <xf numFmtId="0" fontId="11" fillId="10" borderId="72" xfId="0" applyFont="1" applyFill="1" applyBorder="1"/>
    <xf numFmtId="0" fontId="11" fillId="10" borderId="98" xfId="0" applyFont="1" applyFill="1" applyBorder="1"/>
    <xf numFmtId="0" fontId="1" fillId="0" borderId="115" xfId="0" applyFont="1" applyBorder="1"/>
    <xf numFmtId="0" fontId="1" fillId="0" borderId="116" xfId="0" applyFont="1" applyBorder="1"/>
    <xf numFmtId="0" fontId="5" fillId="0" borderId="85" xfId="0" applyFont="1" applyBorder="1"/>
    <xf numFmtId="176" fontId="5" fillId="0" borderId="12" xfId="0" applyNumberFormat="1" applyFont="1" applyBorder="1"/>
    <xf numFmtId="182" fontId="5" fillId="0" borderId="28" xfId="0" applyNumberFormat="1" applyFont="1" applyBorder="1"/>
    <xf numFmtId="182" fontId="5" fillId="0" borderId="80" xfId="0" applyNumberFormat="1" applyFont="1" applyBorder="1"/>
    <xf numFmtId="39" fontId="5" fillId="0" borderId="12" xfId="0" applyNumberFormat="1" applyFont="1" applyBorder="1"/>
    <xf numFmtId="0" fontId="5" fillId="0" borderId="87" xfId="0" applyFont="1" applyBorder="1"/>
    <xf numFmtId="0" fontId="11" fillId="0" borderId="88" xfId="0" applyFont="1" applyBorder="1"/>
    <xf numFmtId="176" fontId="11" fillId="0" borderId="88" xfId="0" applyNumberFormat="1" applyFont="1" applyBorder="1"/>
    <xf numFmtId="182" fontId="11" fillId="0" borderId="117" xfId="0" applyNumberFormat="1" applyFont="1" applyBorder="1"/>
    <xf numFmtId="2" fontId="11" fillId="0" borderId="80" xfId="0" applyNumberFormat="1" applyFont="1" applyBorder="1"/>
    <xf numFmtId="0" fontId="11" fillId="10" borderId="90" xfId="0" applyFont="1" applyFill="1" applyBorder="1"/>
    <xf numFmtId="176" fontId="11" fillId="10" borderId="25" xfId="0" applyNumberFormat="1" applyFont="1" applyFill="1" applyBorder="1"/>
    <xf numFmtId="182" fontId="11" fillId="10" borderId="118" xfId="0" applyNumberFormat="1" applyFont="1" applyFill="1" applyBorder="1"/>
    <xf numFmtId="182" fontId="11" fillId="0" borderId="80" xfId="0" applyNumberFormat="1" applyFont="1" applyBorder="1"/>
    <xf numFmtId="0" fontId="5" fillId="0" borderId="93" xfId="0" applyFont="1" applyBorder="1"/>
    <xf numFmtId="0" fontId="5" fillId="0" borderId="94" xfId="0" applyFont="1" applyBorder="1"/>
    <xf numFmtId="0" fontId="5" fillId="0" borderId="119" xfId="0" applyFont="1" applyBorder="1"/>
    <xf numFmtId="0" fontId="5" fillId="0" borderId="80" xfId="0" applyFont="1" applyBorder="1"/>
    <xf numFmtId="0" fontId="5" fillId="0" borderId="120" xfId="0" applyFont="1" applyBorder="1"/>
    <xf numFmtId="0" fontId="5" fillId="0" borderId="121" xfId="0" applyFont="1" applyBorder="1"/>
    <xf numFmtId="43" fontId="5" fillId="0" borderId="12" xfId="0" applyNumberFormat="1" applyFont="1" applyBorder="1" applyAlignment="1">
      <alignment horizontal="right"/>
    </xf>
    <xf numFmtId="2" fontId="5" fillId="0" borderId="12" xfId="0" applyNumberFormat="1" applyFont="1" applyBorder="1" applyAlignment="1">
      <alignment horizontal="center"/>
    </xf>
    <xf numFmtId="174" fontId="5" fillId="0" borderId="122" xfId="0" applyNumberFormat="1" applyFont="1" applyBorder="1" applyAlignment="1">
      <alignment horizontal="center"/>
    </xf>
    <xf numFmtId="2" fontId="5" fillId="0" borderId="80" xfId="0" applyNumberFormat="1" applyFont="1" applyBorder="1"/>
    <xf numFmtId="0" fontId="5" fillId="0" borderId="12" xfId="0" applyFont="1" applyBorder="1" applyAlignment="1">
      <alignment horizontal="right"/>
    </xf>
    <xf numFmtId="2" fontId="5" fillId="0" borderId="12" xfId="0" applyNumberFormat="1" applyFont="1" applyBorder="1"/>
    <xf numFmtId="2" fontId="5" fillId="0" borderId="12" xfId="0" applyNumberFormat="1" applyFont="1" applyBorder="1" applyAlignment="1">
      <alignment horizontal="right"/>
    </xf>
    <xf numFmtId="0" fontId="5" fillId="0" borderId="88" xfId="0" applyFont="1" applyBorder="1"/>
    <xf numFmtId="0" fontId="5" fillId="0" borderId="88" xfId="0" applyFont="1" applyBorder="1" applyAlignment="1">
      <alignment horizontal="right"/>
    </xf>
    <xf numFmtId="2" fontId="5" fillId="0" borderId="88" xfId="0" applyNumberFormat="1" applyFont="1" applyBorder="1" applyAlignment="1">
      <alignment horizontal="center"/>
    </xf>
    <xf numFmtId="174" fontId="5" fillId="0" borderId="123" xfId="0" applyNumberFormat="1" applyFont="1" applyBorder="1" applyAlignment="1">
      <alignment horizontal="center"/>
    </xf>
    <xf numFmtId="0" fontId="11" fillId="5" borderId="90" xfId="0" applyFont="1" applyFill="1" applyBorder="1"/>
    <xf numFmtId="176" fontId="11" fillId="5" borderId="25" xfId="0" applyNumberFormat="1" applyFont="1" applyFill="1" applyBorder="1"/>
    <xf numFmtId="43" fontId="11" fillId="5" borderId="25" xfId="0" applyNumberFormat="1" applyFont="1" applyFill="1" applyBorder="1" applyAlignment="1">
      <alignment horizontal="right"/>
    </xf>
    <xf numFmtId="2" fontId="11" fillId="5" borderId="25" xfId="0" applyNumberFormat="1" applyFont="1" applyFill="1" applyBorder="1" applyAlignment="1">
      <alignment horizontal="center"/>
    </xf>
    <xf numFmtId="174" fontId="5" fillId="5" borderId="124" xfId="0" applyNumberFormat="1" applyFont="1" applyFill="1" applyBorder="1" applyAlignment="1">
      <alignment horizontal="center"/>
    </xf>
    <xf numFmtId="37" fontId="5" fillId="0" borderId="12" xfId="0" applyNumberFormat="1" applyFont="1" applyBorder="1" applyAlignment="1">
      <alignment horizontal="center"/>
    </xf>
    <xf numFmtId="182" fontId="5" fillId="0" borderId="122" xfId="0" applyNumberFormat="1" applyFont="1" applyBorder="1" applyAlignment="1">
      <alignment horizontal="center"/>
    </xf>
    <xf numFmtId="181" fontId="5" fillId="0" borderId="12" xfId="0" applyNumberFormat="1" applyFont="1" applyBorder="1" applyAlignment="1">
      <alignment horizontal="center"/>
    </xf>
    <xf numFmtId="0" fontId="11" fillId="5" borderId="125" xfId="0" applyFont="1" applyFill="1" applyBorder="1"/>
    <xf numFmtId="37" fontId="11" fillId="5" borderId="12" xfId="0" applyNumberFormat="1" applyFont="1" applyFill="1" applyBorder="1" applyAlignment="1">
      <alignment horizontal="center"/>
    </xf>
    <xf numFmtId="2" fontId="11" fillId="5" borderId="12" xfId="0" applyNumberFormat="1" applyFont="1" applyFill="1" applyBorder="1" applyAlignment="1">
      <alignment horizontal="center"/>
    </xf>
    <xf numFmtId="182" fontId="11" fillId="5" borderId="126" xfId="0" applyNumberFormat="1" applyFont="1" applyFill="1" applyBorder="1" applyAlignment="1">
      <alignment horizontal="center"/>
    </xf>
    <xf numFmtId="0" fontId="1" fillId="0" borderId="54" xfId="0" applyFont="1" applyBorder="1"/>
    <xf numFmtId="0" fontId="1" fillId="0" borderId="55" xfId="0" applyFont="1" applyBorder="1"/>
    <xf numFmtId="0" fontId="1" fillId="0" borderId="56" xfId="0" applyFont="1" applyBorder="1"/>
    <xf numFmtId="0" fontId="34" fillId="23" borderId="127" xfId="0" applyFont="1" applyFill="1" applyBorder="1" applyAlignment="1">
      <alignment horizontal="center"/>
    </xf>
    <xf numFmtId="0" fontId="34" fillId="23" borderId="128" xfId="0" applyFont="1" applyFill="1" applyBorder="1" applyAlignment="1">
      <alignment horizontal="center"/>
    </xf>
    <xf numFmtId="0" fontId="33" fillId="0" borderId="129" xfId="0" applyFont="1" applyBorder="1"/>
    <xf numFmtId="0" fontId="33" fillId="0" borderId="130" xfId="0" applyFont="1" applyBorder="1"/>
    <xf numFmtId="177" fontId="33" fillId="0" borderId="129" xfId="0" applyNumberFormat="1" applyFont="1" applyBorder="1"/>
    <xf numFmtId="3" fontId="34" fillId="0" borderId="20" xfId="0" applyNumberFormat="1" applyFont="1" applyBorder="1"/>
    <xf numFmtId="2" fontId="33" fillId="0" borderId="129" xfId="0" applyNumberFormat="1" applyFont="1" applyBorder="1" applyAlignment="1">
      <alignment horizontal="center"/>
    </xf>
    <xf numFmtId="2" fontId="33" fillId="0" borderId="129" xfId="0" applyNumberFormat="1" applyFont="1" applyBorder="1"/>
    <xf numFmtId="0" fontId="33" fillId="0" borderId="131" xfId="0" applyFont="1" applyBorder="1"/>
    <xf numFmtId="0" fontId="31" fillId="0" borderId="129" xfId="0" applyFont="1" applyBorder="1"/>
    <xf numFmtId="0" fontId="33" fillId="0" borderId="4" xfId="0" applyFont="1" applyBorder="1"/>
    <xf numFmtId="0" fontId="35" fillId="0" borderId="129" xfId="0" applyFont="1" applyBorder="1"/>
    <xf numFmtId="11" fontId="33" fillId="0" borderId="4" xfId="0" applyNumberFormat="1" applyFont="1" applyBorder="1"/>
    <xf numFmtId="2" fontId="35" fillId="0" borderId="129" xfId="0" applyNumberFormat="1" applyFont="1" applyBorder="1"/>
    <xf numFmtId="43" fontId="31" fillId="0" borderId="129" xfId="0" applyNumberFormat="1" applyFont="1" applyBorder="1"/>
    <xf numFmtId="43" fontId="35" fillId="0" borderId="129" xfId="0" applyNumberFormat="1" applyFont="1" applyBorder="1"/>
    <xf numFmtId="43" fontId="33" fillId="0" borderId="129" xfId="0" applyNumberFormat="1" applyFont="1" applyBorder="1"/>
    <xf numFmtId="2" fontId="35" fillId="0" borderId="129" xfId="0" applyNumberFormat="1" applyFont="1" applyBorder="1" applyAlignment="1">
      <alignment horizontal="center"/>
    </xf>
    <xf numFmtId="0" fontId="33" fillId="0" borderId="73" xfId="0" applyFont="1" applyBorder="1"/>
    <xf numFmtId="0" fontId="34" fillId="0" borderId="74" xfId="0" applyFont="1" applyBorder="1"/>
    <xf numFmtId="0" fontId="34" fillId="0" borderId="75" xfId="0" applyFont="1" applyBorder="1"/>
    <xf numFmtId="0" fontId="33" fillId="0" borderId="57" xfId="0" applyFont="1" applyBorder="1"/>
    <xf numFmtId="0" fontId="34" fillId="0" borderId="76" xfId="0" applyFont="1" applyBorder="1" applyAlignment="1">
      <alignment horizontal="center"/>
    </xf>
    <xf numFmtId="0" fontId="34" fillId="0" borderId="58" xfId="0" applyFont="1" applyBorder="1" applyAlignment="1">
      <alignment horizontal="center"/>
    </xf>
    <xf numFmtId="0" fontId="33" fillId="0" borderId="132" xfId="0" applyFont="1" applyBorder="1"/>
    <xf numFmtId="0" fontId="33" fillId="0" borderId="29" xfId="0" applyFont="1" applyBorder="1"/>
    <xf numFmtId="11" fontId="33" fillId="0" borderId="29" xfId="0" applyNumberFormat="1" applyFont="1" applyBorder="1"/>
    <xf numFmtId="11" fontId="33" fillId="0" borderId="133" xfId="0" applyNumberFormat="1" applyFont="1" applyBorder="1"/>
    <xf numFmtId="0" fontId="33" fillId="0" borderId="21" xfId="0" applyFont="1" applyBorder="1"/>
    <xf numFmtId="11" fontId="33" fillId="0" borderId="51" xfId="0" applyNumberFormat="1" applyFont="1" applyBorder="1"/>
    <xf numFmtId="2" fontId="33" fillId="0" borderId="76" xfId="0" applyNumberFormat="1" applyFont="1" applyBorder="1"/>
    <xf numFmtId="11" fontId="33" fillId="0" borderId="76" xfId="0" applyNumberFormat="1" applyFont="1" applyBorder="1"/>
    <xf numFmtId="11" fontId="33" fillId="0" borderId="58" xfId="0" applyNumberFormat="1" applyFont="1" applyBorder="1"/>
    <xf numFmtId="2" fontId="31" fillId="0" borderId="129" xfId="0" applyNumberFormat="1" applyFont="1" applyBorder="1" applyAlignment="1">
      <alignment horizontal="center"/>
    </xf>
    <xf numFmtId="2" fontId="31" fillId="0" borderId="129" xfId="0" applyNumberFormat="1" applyFont="1" applyBorder="1"/>
    <xf numFmtId="39" fontId="35" fillId="0" borderId="129" xfId="0" applyNumberFormat="1" applyFont="1" applyBorder="1"/>
    <xf numFmtId="175" fontId="35" fillId="0" borderId="129" xfId="0" applyNumberFormat="1" applyFont="1" applyBorder="1"/>
    <xf numFmtId="3" fontId="34" fillId="0" borderId="15" xfId="0" applyNumberFormat="1" applyFont="1" applyBorder="1"/>
    <xf numFmtId="3" fontId="33" fillId="0" borderId="0" xfId="0" applyNumberFormat="1" applyFont="1"/>
    <xf numFmtId="43" fontId="33" fillId="0" borderId="0" xfId="0" applyNumberFormat="1" applyFont="1"/>
    <xf numFmtId="176" fontId="33" fillId="0" borderId="0" xfId="0" applyNumberFormat="1" applyFont="1"/>
    <xf numFmtId="181" fontId="31" fillId="0" borderId="129" xfId="0" applyNumberFormat="1" applyFont="1" applyBorder="1"/>
    <xf numFmtId="177" fontId="31" fillId="0" borderId="129" xfId="0" applyNumberFormat="1" applyFont="1" applyBorder="1"/>
    <xf numFmtId="182" fontId="31" fillId="0" borderId="129" xfId="0" applyNumberFormat="1" applyFont="1" applyBorder="1"/>
    <xf numFmtId="168" fontId="31" fillId="0" borderId="129" xfId="0" applyNumberFormat="1" applyFont="1" applyBorder="1"/>
    <xf numFmtId="0" fontId="33" fillId="0" borderId="58" xfId="0" applyFont="1" applyBorder="1"/>
    <xf numFmtId="0" fontId="33" fillId="0" borderId="134" xfId="0" applyFont="1" applyBorder="1"/>
    <xf numFmtId="175" fontId="33" fillId="0" borderId="134" xfId="0" applyNumberFormat="1" applyFont="1" applyBorder="1"/>
    <xf numFmtId="176" fontId="33" fillId="0" borderId="129" xfId="0" applyNumberFormat="1" applyFont="1" applyBorder="1"/>
    <xf numFmtId="176" fontId="33" fillId="0" borderId="130" xfId="0" applyNumberFormat="1" applyFont="1" applyBorder="1"/>
    <xf numFmtId="43" fontId="33" fillId="0" borderId="134" xfId="0" applyNumberFormat="1" applyFont="1" applyBorder="1"/>
    <xf numFmtId="39" fontId="31" fillId="0" borderId="129" xfId="0" applyNumberFormat="1" applyFont="1" applyBorder="1"/>
    <xf numFmtId="0" fontId="33" fillId="0" borderId="135" xfId="0" applyFont="1" applyBorder="1"/>
    <xf numFmtId="0" fontId="56" fillId="0" borderId="0" xfId="0" applyFont="1" applyAlignment="1">
      <alignment horizontal="left" vertical="top" wrapText="1"/>
    </xf>
    <xf numFmtId="0" fontId="33" fillId="0" borderId="0" xfId="0" applyFont="1" applyAlignment="1">
      <alignment wrapText="1"/>
    </xf>
    <xf numFmtId="0" fontId="57" fillId="32" borderId="136" xfId="0" applyFont="1" applyFill="1" applyBorder="1"/>
    <xf numFmtId="0" fontId="1" fillId="32" borderId="118" xfId="0" applyFont="1" applyFill="1" applyBorder="1"/>
    <xf numFmtId="0" fontId="1" fillId="32" borderId="137" xfId="0" applyFont="1" applyFill="1" applyBorder="1"/>
    <xf numFmtId="0" fontId="57" fillId="0" borderId="0" xfId="0" applyFont="1"/>
    <xf numFmtId="0" fontId="57" fillId="0" borderId="68" xfId="0" applyFont="1" applyBorder="1"/>
    <xf numFmtId="0" fontId="32" fillId="0" borderId="74" xfId="0" applyFont="1" applyBorder="1"/>
    <xf numFmtId="0" fontId="32" fillId="0" borderId="138" xfId="0" applyFont="1" applyBorder="1"/>
    <xf numFmtId="0" fontId="32" fillId="0" borderId="68" xfId="0" applyFont="1" applyBorder="1"/>
    <xf numFmtId="0" fontId="32" fillId="0" borderId="75" xfId="0" applyFont="1" applyBorder="1"/>
    <xf numFmtId="0" fontId="1" fillId="0" borderId="28" xfId="0" applyFont="1" applyBorder="1"/>
    <xf numFmtId="0" fontId="1" fillId="0" borderId="2" xfId="0" applyFont="1" applyBorder="1"/>
    <xf numFmtId="0" fontId="33" fillId="0" borderId="21" xfId="0" quotePrefix="1" applyFont="1" applyBorder="1" applyAlignment="1">
      <alignment horizontal="right"/>
    </xf>
    <xf numFmtId="3" fontId="33" fillId="0" borderId="28" xfId="0" applyNumberFormat="1" applyFont="1" applyBorder="1"/>
    <xf numFmtId="177" fontId="33" fillId="0" borderId="4" xfId="0" applyNumberFormat="1" applyFont="1" applyBorder="1"/>
    <xf numFmtId="177" fontId="33" fillId="0" borderId="2" xfId="0" applyNumberFormat="1" applyFont="1" applyBorder="1"/>
    <xf numFmtId="177" fontId="33" fillId="0" borderId="28" xfId="0" applyNumberFormat="1" applyFont="1" applyBorder="1"/>
    <xf numFmtId="176" fontId="33" fillId="0" borderId="2" xfId="0" applyNumberFormat="1" applyFont="1" applyBorder="1"/>
    <xf numFmtId="176" fontId="33" fillId="0" borderId="51" xfId="0" applyNumberFormat="1" applyFont="1" applyBorder="1"/>
    <xf numFmtId="0" fontId="33" fillId="0" borderId="57" xfId="0" quotePrefix="1" applyFont="1" applyBorder="1" applyAlignment="1">
      <alignment horizontal="right"/>
    </xf>
    <xf numFmtId="3" fontId="33" fillId="0" borderId="139" xfId="0" applyNumberFormat="1" applyFont="1" applyBorder="1"/>
    <xf numFmtId="177" fontId="33" fillId="0" borderId="76" xfId="0" applyNumberFormat="1" applyFont="1" applyBorder="1"/>
    <xf numFmtId="177" fontId="33" fillId="0" borderId="140" xfId="0" applyNumberFormat="1" applyFont="1" applyBorder="1"/>
    <xf numFmtId="0" fontId="33" fillId="0" borderId="139" xfId="0" applyFont="1" applyBorder="1"/>
    <xf numFmtId="0" fontId="33" fillId="0" borderId="140" xfId="0" applyFont="1" applyBorder="1"/>
    <xf numFmtId="0" fontId="58" fillId="0" borderId="6" xfId="0" applyFont="1" applyBorder="1"/>
    <xf numFmtId="0" fontId="59" fillId="0" borderId="114" xfId="0" applyFont="1" applyBorder="1"/>
    <xf numFmtId="0" fontId="59" fillId="0" borderId="7" xfId="0" applyFont="1" applyBorder="1"/>
    <xf numFmtId="0" fontId="59" fillId="0" borderId="0" xfId="0" applyFont="1"/>
    <xf numFmtId="0" fontId="57" fillId="0" borderId="74" xfId="0" applyFont="1" applyBorder="1"/>
    <xf numFmtId="0" fontId="57" fillId="0" borderId="138" xfId="0" applyFont="1" applyBorder="1"/>
    <xf numFmtId="0" fontId="57" fillId="0" borderId="75" xfId="0" applyFont="1" applyBorder="1"/>
    <xf numFmtId="0" fontId="57" fillId="0" borderId="9" xfId="0" applyFont="1" applyBorder="1"/>
    <xf numFmtId="3" fontId="33" fillId="0" borderId="4" xfId="0" applyNumberFormat="1" applyFont="1" applyBorder="1"/>
    <xf numFmtId="3" fontId="33" fillId="0" borderId="2" xfId="0" applyNumberFormat="1" applyFont="1" applyBorder="1"/>
    <xf numFmtId="176" fontId="33" fillId="0" borderId="4" xfId="0" applyNumberFormat="1" applyFont="1" applyBorder="1"/>
    <xf numFmtId="176" fontId="33" fillId="0" borderId="17" xfId="0" applyNumberFormat="1" applyFont="1" applyBorder="1"/>
    <xf numFmtId="2" fontId="33" fillId="0" borderId="4" xfId="0" applyNumberFormat="1" applyFont="1" applyBorder="1"/>
    <xf numFmtId="2" fontId="33" fillId="0" borderId="51" xfId="0" applyNumberFormat="1" applyFont="1" applyBorder="1"/>
    <xf numFmtId="2" fontId="33" fillId="0" borderId="17" xfId="0" applyNumberFormat="1" applyFont="1" applyBorder="1"/>
    <xf numFmtId="0" fontId="1" fillId="0" borderId="141" xfId="0" applyFont="1" applyBorder="1"/>
    <xf numFmtId="3" fontId="33" fillId="0" borderId="49" xfId="0" applyNumberFormat="1" applyFont="1" applyBorder="1"/>
    <xf numFmtId="3" fontId="33" fillId="0" borderId="142" xfId="0" applyNumberFormat="1" applyFont="1" applyBorder="1"/>
    <xf numFmtId="176" fontId="33" fillId="0" borderId="76" xfId="0" applyNumberFormat="1" applyFont="1" applyBorder="1"/>
    <xf numFmtId="176" fontId="33" fillId="0" borderId="140" xfId="0" applyNumberFormat="1" applyFont="1" applyBorder="1"/>
    <xf numFmtId="176" fontId="33" fillId="0" borderId="143" xfId="0" applyNumberFormat="1" applyFont="1" applyBorder="1"/>
    <xf numFmtId="0" fontId="1" fillId="10" borderId="144" xfId="0" applyFont="1" applyFill="1" applyBorder="1"/>
    <xf numFmtId="3" fontId="33" fillId="10" borderId="91" xfId="0" applyNumberFormat="1" applyFont="1" applyFill="1" applyBorder="1"/>
    <xf numFmtId="3" fontId="33" fillId="10" borderId="145" xfId="0" applyNumberFormat="1" applyFont="1" applyFill="1" applyBorder="1"/>
    <xf numFmtId="176" fontId="33" fillId="10" borderId="91" xfId="0" applyNumberFormat="1" applyFont="1" applyFill="1" applyBorder="1"/>
    <xf numFmtId="176" fontId="33" fillId="10" borderId="145" xfId="0" applyNumberFormat="1" applyFont="1" applyFill="1" applyBorder="1"/>
    <xf numFmtId="176" fontId="33" fillId="10" borderId="146" xfId="0" applyNumberFormat="1" applyFont="1" applyFill="1" applyBorder="1"/>
    <xf numFmtId="176" fontId="1" fillId="5" borderId="146" xfId="0" applyNumberFormat="1" applyFont="1" applyFill="1" applyBorder="1"/>
    <xf numFmtId="0" fontId="60" fillId="0" borderId="6" xfId="0" applyFont="1" applyBorder="1"/>
    <xf numFmtId="0" fontId="61" fillId="0" borderId="114" xfId="0" applyFont="1" applyBorder="1"/>
    <xf numFmtId="0" fontId="61" fillId="0" borderId="7" xfId="0" applyFont="1" applyBorder="1"/>
    <xf numFmtId="0" fontId="61" fillId="0" borderId="0" xfId="0" applyFont="1"/>
    <xf numFmtId="0" fontId="1" fillId="0" borderId="9" xfId="0" applyFont="1" applyBorder="1"/>
    <xf numFmtId="0" fontId="57" fillId="0" borderId="8" xfId="0" applyFont="1" applyBorder="1"/>
    <xf numFmtId="0" fontId="57" fillId="33" borderId="57" xfId="0" applyFont="1" applyFill="1" applyBorder="1"/>
    <xf numFmtId="176" fontId="33" fillId="33" borderId="76" xfId="0" applyNumberFormat="1" applyFont="1" applyFill="1" applyBorder="1"/>
    <xf numFmtId="176" fontId="33" fillId="33" borderId="147" xfId="0" applyNumberFormat="1" applyFont="1" applyFill="1" applyBorder="1"/>
    <xf numFmtId="43" fontId="33" fillId="33" borderId="76" xfId="0" applyNumberFormat="1" applyFont="1" applyFill="1" applyBorder="1"/>
    <xf numFmtId="176" fontId="33" fillId="33" borderId="58" xfId="0" applyNumberFormat="1" applyFont="1" applyFill="1" applyBorder="1"/>
    <xf numFmtId="0" fontId="57" fillId="0" borderId="6" xfId="0" applyFont="1" applyBorder="1"/>
    <xf numFmtId="0" fontId="1" fillId="0" borderId="114" xfId="0" applyFont="1" applyBorder="1"/>
    <xf numFmtId="0" fontId="1" fillId="0" borderId="114" xfId="0" applyFont="1" applyBorder="1" applyAlignment="1">
      <alignment shrinkToFit="1"/>
    </xf>
    <xf numFmtId="0" fontId="1" fillId="0" borderId="7" xfId="0" applyFont="1" applyBorder="1" applyAlignment="1">
      <alignment shrinkToFit="1"/>
    </xf>
    <xf numFmtId="0" fontId="1" fillId="0" borderId="0" xfId="0" applyFont="1" applyAlignment="1">
      <alignment shrinkToFit="1"/>
    </xf>
    <xf numFmtId="0" fontId="57" fillId="0" borderId="10" xfId="0" applyFont="1" applyBorder="1"/>
    <xf numFmtId="0" fontId="57" fillId="34" borderId="57" xfId="0" applyFont="1" applyFill="1" applyBorder="1"/>
    <xf numFmtId="176" fontId="39" fillId="34" borderId="76" xfId="0" applyNumberFormat="1" applyFont="1" applyFill="1" applyBorder="1"/>
    <xf numFmtId="176" fontId="39" fillId="34" borderId="147" xfId="0" applyNumberFormat="1" applyFont="1" applyFill="1" applyBorder="1"/>
    <xf numFmtId="176" fontId="39" fillId="34" borderId="58" xfId="0" applyNumberFormat="1" applyFont="1" applyFill="1" applyBorder="1"/>
    <xf numFmtId="0" fontId="62" fillId="0" borderId="6" xfId="0" applyFont="1" applyBorder="1"/>
    <xf numFmtId="0" fontId="63" fillId="0" borderId="114" xfId="0" applyFont="1" applyBorder="1"/>
    <xf numFmtId="0" fontId="63" fillId="0" borderId="7" xfId="0" applyFont="1" applyBorder="1"/>
    <xf numFmtId="0" fontId="57" fillId="0" borderId="148" xfId="0" applyFont="1" applyBorder="1"/>
    <xf numFmtId="0" fontId="34" fillId="0" borderId="149" xfId="0" applyFont="1" applyBorder="1"/>
    <xf numFmtId="0" fontId="34" fillId="0" borderId="138" xfId="0" applyFont="1" applyBorder="1"/>
    <xf numFmtId="0" fontId="34" fillId="0" borderId="150" xfId="0" applyFont="1" applyBorder="1"/>
    <xf numFmtId="176" fontId="33" fillId="0" borderId="3" xfId="0" applyNumberFormat="1" applyFont="1" applyBorder="1"/>
    <xf numFmtId="176" fontId="33" fillId="0" borderId="49" xfId="0" applyNumberFormat="1" applyFont="1" applyBorder="1"/>
    <xf numFmtId="2" fontId="33" fillId="0" borderId="49" xfId="0" applyNumberFormat="1" applyFont="1" applyBorder="1"/>
    <xf numFmtId="2" fontId="33" fillId="0" borderId="3" xfId="0" applyNumberFormat="1" applyFont="1" applyBorder="1"/>
    <xf numFmtId="2" fontId="33" fillId="0" borderId="2" xfId="0" applyNumberFormat="1" applyFont="1" applyBorder="1"/>
    <xf numFmtId="175" fontId="33" fillId="0" borderId="2" xfId="0" applyNumberFormat="1" applyFont="1" applyBorder="1"/>
    <xf numFmtId="175" fontId="33" fillId="0" borderId="51" xfId="0" applyNumberFormat="1" applyFont="1" applyBorder="1"/>
    <xf numFmtId="0" fontId="57" fillId="35" borderId="144" xfId="0" applyFont="1" applyFill="1" applyBorder="1"/>
    <xf numFmtId="176" fontId="33" fillId="35" borderId="91" xfId="0" applyNumberFormat="1" applyFont="1" applyFill="1" applyBorder="1"/>
    <xf numFmtId="3" fontId="33" fillId="35" borderId="91" xfId="0" applyNumberFormat="1" applyFont="1" applyFill="1" applyBorder="1"/>
    <xf numFmtId="176" fontId="33" fillId="35" borderId="151" xfId="0" applyNumberFormat="1" applyFont="1" applyFill="1" applyBorder="1"/>
    <xf numFmtId="176" fontId="33" fillId="35" borderId="152" xfId="0" applyNumberFormat="1" applyFont="1" applyFill="1" applyBorder="1"/>
    <xf numFmtId="176" fontId="33" fillId="35" borderId="153" xfId="0" applyNumberFormat="1" applyFont="1" applyFill="1" applyBorder="1"/>
    <xf numFmtId="176" fontId="33" fillId="35" borderId="154" xfId="0" applyNumberFormat="1" applyFont="1" applyFill="1" applyBorder="1"/>
    <xf numFmtId="176" fontId="33" fillId="35" borderId="155" xfId="0" applyNumberFormat="1" applyFont="1" applyFill="1" applyBorder="1"/>
    <xf numFmtId="176" fontId="33" fillId="35" borderId="51" xfId="0" applyNumberFormat="1" applyFont="1" applyFill="1" applyBorder="1"/>
    <xf numFmtId="176" fontId="33" fillId="35" borderId="76" xfId="0" applyNumberFormat="1" applyFont="1" applyFill="1" applyBorder="1"/>
    <xf numFmtId="176" fontId="33" fillId="35" borderId="147" xfId="0" applyNumberFormat="1" applyFont="1" applyFill="1" applyBorder="1"/>
    <xf numFmtId="176" fontId="33" fillId="35" borderId="58" xfId="0" applyNumberFormat="1" applyFont="1" applyFill="1" applyBorder="1"/>
    <xf numFmtId="0" fontId="57" fillId="36" borderId="57" xfId="0" applyFont="1" applyFill="1" applyBorder="1"/>
    <xf numFmtId="176" fontId="33" fillId="36" borderId="76" xfId="0" applyNumberFormat="1" applyFont="1" applyFill="1" applyBorder="1"/>
    <xf numFmtId="176" fontId="33" fillId="36" borderId="156" xfId="0" applyNumberFormat="1" applyFont="1" applyFill="1" applyBorder="1"/>
    <xf numFmtId="176" fontId="33" fillId="36" borderId="147" xfId="0" applyNumberFormat="1" applyFont="1" applyFill="1" applyBorder="1"/>
    <xf numFmtId="176" fontId="33" fillId="36" borderId="58" xfId="0" applyNumberFormat="1" applyFont="1" applyFill="1" applyBorder="1"/>
    <xf numFmtId="0" fontId="57" fillId="37" borderId="136" xfId="0" applyFont="1" applyFill="1" applyBorder="1"/>
    <xf numFmtId="0" fontId="1" fillId="37" borderId="118" xfId="0" applyFont="1" applyFill="1" applyBorder="1"/>
    <xf numFmtId="0" fontId="1" fillId="37" borderId="137" xfId="0" applyFont="1" applyFill="1" applyBorder="1"/>
    <xf numFmtId="4" fontId="1" fillId="0" borderId="0" xfId="0" applyNumberFormat="1" applyFont="1"/>
    <xf numFmtId="3" fontId="1" fillId="0" borderId="0" xfId="0" applyNumberFormat="1" applyFont="1" applyAlignment="1">
      <alignment horizontal="center"/>
    </xf>
    <xf numFmtId="0" fontId="1" fillId="0" borderId="0" xfId="0" applyFont="1" applyAlignment="1">
      <alignment horizontal="center"/>
    </xf>
    <xf numFmtId="0" fontId="34" fillId="10" borderId="73" xfId="0" applyFont="1" applyFill="1" applyBorder="1"/>
    <xf numFmtId="0" fontId="57" fillId="10" borderId="74" xfId="0" applyFont="1" applyFill="1" applyBorder="1"/>
    <xf numFmtId="0" fontId="57" fillId="10" borderId="75" xfId="0" applyFont="1" applyFill="1" applyBorder="1"/>
    <xf numFmtId="0" fontId="33" fillId="0" borderId="51" xfId="0" applyFont="1" applyBorder="1" applyAlignment="1">
      <alignment horizontal="center"/>
    </xf>
    <xf numFmtId="0" fontId="57" fillId="13" borderId="21" xfId="0" applyFont="1" applyFill="1" applyBorder="1" applyAlignment="1">
      <alignment wrapText="1"/>
    </xf>
    <xf numFmtId="175" fontId="34" fillId="0" borderId="4" xfId="0" applyNumberFormat="1" applyFont="1" applyBorder="1" applyAlignment="1">
      <alignment horizontal="right"/>
    </xf>
    <xf numFmtId="175" fontId="34" fillId="0" borderId="4" xfId="0" applyNumberFormat="1" applyFont="1" applyBorder="1"/>
    <xf numFmtId="0" fontId="34" fillId="0" borderId="4" xfId="0" applyFont="1" applyBorder="1"/>
    <xf numFmtId="1" fontId="34" fillId="0" borderId="51" xfId="0" applyNumberFormat="1" applyFont="1" applyBorder="1" applyAlignment="1">
      <alignment horizontal="center"/>
    </xf>
    <xf numFmtId="176" fontId="33" fillId="0" borderId="51" xfId="0" applyNumberFormat="1" applyFont="1" applyBorder="1" applyAlignment="1">
      <alignment horizontal="center"/>
    </xf>
    <xf numFmtId="2" fontId="34" fillId="0" borderId="4" xfId="0" applyNumberFormat="1" applyFont="1" applyBorder="1"/>
    <xf numFmtId="0" fontId="33" fillId="31" borderId="4" xfId="0" applyFont="1" applyFill="1" applyBorder="1"/>
    <xf numFmtId="43" fontId="34" fillId="0" borderId="4" xfId="0" applyNumberFormat="1" applyFont="1" applyBorder="1"/>
    <xf numFmtId="176" fontId="34" fillId="0" borderId="51" xfId="0" applyNumberFormat="1" applyFont="1" applyBorder="1" applyAlignment="1">
      <alignment horizontal="center"/>
    </xf>
    <xf numFmtId="43" fontId="33" fillId="0" borderId="4" xfId="0" applyNumberFormat="1" applyFont="1" applyBorder="1"/>
    <xf numFmtId="185" fontId="33" fillId="0" borderId="51" xfId="0" applyNumberFormat="1" applyFont="1" applyBorder="1" applyAlignment="1">
      <alignment horizontal="center"/>
    </xf>
    <xf numFmtId="0" fontId="33" fillId="0" borderId="76" xfId="0" applyFont="1" applyBorder="1"/>
    <xf numFmtId="182" fontId="33" fillId="0" borderId="76" xfId="0" applyNumberFormat="1" applyFont="1" applyBorder="1"/>
    <xf numFmtId="182" fontId="33" fillId="0" borderId="140" xfId="0" applyNumberFormat="1" applyFont="1" applyBorder="1"/>
    <xf numFmtId="182" fontId="33" fillId="0" borderId="58" xfId="0" applyNumberFormat="1" applyFont="1" applyBorder="1"/>
    <xf numFmtId="185" fontId="1" fillId="0" borderId="0" xfId="0" applyNumberFormat="1" applyFont="1"/>
    <xf numFmtId="0" fontId="3" fillId="0" borderId="0" xfId="0" applyFont="1"/>
    <xf numFmtId="0" fontId="64" fillId="0" borderId="0" xfId="0" applyFont="1"/>
    <xf numFmtId="0" fontId="65" fillId="0" borderId="0" xfId="0" applyFont="1"/>
    <xf numFmtId="0" fontId="3" fillId="0" borderId="73" xfId="0" applyFont="1" applyBorder="1"/>
    <xf numFmtId="0" fontId="3" fillId="0" borderId="74" xfId="0" applyFont="1" applyBorder="1"/>
    <xf numFmtId="0" fontId="3" fillId="0" borderId="75" xfId="0" applyFont="1" applyBorder="1"/>
    <xf numFmtId="0" fontId="3" fillId="0" borderId="21" xfId="0" applyFont="1" applyBorder="1"/>
    <xf numFmtId="0" fontId="3" fillId="0" borderId="4" xfId="0" applyFont="1" applyBorder="1" applyAlignment="1">
      <alignment horizontal="center"/>
    </xf>
    <xf numFmtId="0" fontId="3" fillId="0" borderId="51" xfId="0" applyFont="1" applyBorder="1" applyAlignment="1">
      <alignment horizontal="center"/>
    </xf>
    <xf numFmtId="0" fontId="2" fillId="0" borderId="4" xfId="0" applyFont="1" applyBorder="1" applyAlignment="1">
      <alignment horizontal="center"/>
    </xf>
    <xf numFmtId="0" fontId="2" fillId="0" borderId="51" xfId="0" applyFont="1" applyBorder="1" applyAlignment="1">
      <alignment horizontal="center"/>
    </xf>
    <xf numFmtId="43" fontId="3" fillId="0" borderId="4" xfId="0" applyNumberFormat="1" applyFont="1" applyBorder="1" applyAlignment="1">
      <alignment horizontal="center"/>
    </xf>
    <xf numFmtId="178" fontId="3" fillId="0" borderId="4" xfId="0" applyNumberFormat="1" applyFont="1" applyBorder="1" applyAlignment="1">
      <alignment horizontal="right"/>
    </xf>
    <xf numFmtId="178" fontId="3" fillId="0" borderId="51" xfId="0" applyNumberFormat="1" applyFont="1" applyBorder="1" applyAlignment="1">
      <alignment horizontal="center"/>
    </xf>
    <xf numFmtId="0" fontId="3" fillId="0" borderId="57" xfId="0" applyFont="1" applyBorder="1"/>
    <xf numFmtId="43" fontId="67" fillId="0" borderId="76" xfId="0" applyNumberFormat="1" applyFont="1" applyBorder="1" applyAlignment="1">
      <alignment horizontal="center"/>
    </xf>
    <xf numFmtId="178" fontId="67" fillId="0" borderId="76" xfId="0" applyNumberFormat="1" applyFont="1" applyBorder="1" applyAlignment="1">
      <alignment horizontal="right"/>
    </xf>
    <xf numFmtId="178" fontId="67" fillId="0" borderId="58" xfId="0" applyNumberFormat="1" applyFont="1" applyBorder="1" applyAlignment="1">
      <alignment horizontal="center"/>
    </xf>
    <xf numFmtId="0" fontId="64" fillId="10" borderId="4" xfId="0" applyFont="1" applyFill="1" applyBorder="1" applyAlignment="1">
      <alignment horizontal="center"/>
    </xf>
    <xf numFmtId="0" fontId="64" fillId="10" borderId="154" xfId="0" applyFont="1" applyFill="1" applyBorder="1" applyAlignment="1">
      <alignment horizontal="center"/>
    </xf>
    <xf numFmtId="0" fontId="64" fillId="0" borderId="157" xfId="0" applyFont="1" applyBorder="1"/>
    <xf numFmtId="0" fontId="64" fillId="0" borderId="158" xfId="0" applyFont="1" applyBorder="1"/>
    <xf numFmtId="0" fontId="64" fillId="0" borderId="4" xfId="0" applyFont="1" applyBorder="1"/>
    <xf numFmtId="0" fontId="64" fillId="0" borderId="4" xfId="0" applyFont="1" applyBorder="1" applyAlignment="1">
      <alignment horizontal="right"/>
    </xf>
    <xf numFmtId="0" fontId="64" fillId="0" borderId="159" xfId="0" applyFont="1" applyBorder="1"/>
    <xf numFmtId="0" fontId="64" fillId="0" borderId="160" xfId="0" applyFont="1" applyBorder="1"/>
    <xf numFmtId="0" fontId="68" fillId="0" borderId="0" xfId="0" applyFont="1"/>
    <xf numFmtId="0" fontId="3" fillId="0" borderId="4" xfId="0" applyFont="1" applyBorder="1"/>
    <xf numFmtId="0" fontId="1" fillId="2" borderId="33" xfId="0" applyFont="1" applyFill="1" applyBorder="1"/>
    <xf numFmtId="176" fontId="69" fillId="2" borderId="33" xfId="0" applyNumberFormat="1" applyFont="1" applyFill="1" applyBorder="1"/>
    <xf numFmtId="0" fontId="69" fillId="2" borderId="33" xfId="0" applyFont="1" applyFill="1" applyBorder="1" applyAlignment="1">
      <alignment horizontal="center"/>
    </xf>
    <xf numFmtId="0" fontId="71" fillId="0" borderId="21" xfId="0" applyFont="1" applyBorder="1" applyAlignment="1">
      <alignment horizontal="center"/>
    </xf>
    <xf numFmtId="0" fontId="1" fillId="0" borderId="51" xfId="0" applyFont="1" applyBorder="1" applyAlignment="1">
      <alignment horizontal="center"/>
    </xf>
    <xf numFmtId="0" fontId="72" fillId="32" borderId="51" xfId="0" applyFont="1" applyFill="1" applyBorder="1" applyAlignment="1">
      <alignment horizontal="center"/>
    </xf>
    <xf numFmtId="0" fontId="1" fillId="0" borderId="17" xfId="0" applyFont="1" applyBorder="1"/>
    <xf numFmtId="0" fontId="1" fillId="0" borderId="18" xfId="0" applyFont="1" applyBorder="1"/>
    <xf numFmtId="0" fontId="1" fillId="0" borderId="21" xfId="0" applyFont="1" applyBorder="1" applyAlignment="1">
      <alignment horizontal="center"/>
    </xf>
    <xf numFmtId="0" fontId="72" fillId="0" borderId="51" xfId="0" applyFont="1" applyBorder="1" applyAlignment="1">
      <alignment horizontal="center"/>
    </xf>
    <xf numFmtId="0" fontId="69" fillId="0" borderId="4" xfId="0" applyFont="1" applyBorder="1" applyAlignment="1">
      <alignment horizontal="center"/>
    </xf>
    <xf numFmtId="0" fontId="73" fillId="0" borderId="4" xfId="0" applyFont="1" applyBorder="1" applyAlignment="1">
      <alignment horizontal="center"/>
    </xf>
    <xf numFmtId="186" fontId="1" fillId="0" borderId="4" xfId="0" applyNumberFormat="1" applyFont="1" applyBorder="1"/>
    <xf numFmtId="2" fontId="1" fillId="0" borderId="51" xfId="0" applyNumberFormat="1" applyFont="1" applyBorder="1" applyAlignment="1">
      <alignment horizontal="center"/>
    </xf>
    <xf numFmtId="176" fontId="1" fillId="0" borderId="4" xfId="0" applyNumberFormat="1" applyFont="1" applyBorder="1"/>
    <xf numFmtId="0" fontId="1" fillId="24" borderId="21" xfId="0" applyFont="1" applyFill="1" applyBorder="1"/>
    <xf numFmtId="186" fontId="1" fillId="24" borderId="4" xfId="0" applyNumberFormat="1" applyFont="1" applyFill="1" applyBorder="1"/>
    <xf numFmtId="2" fontId="72" fillId="24" borderId="51" xfId="0" applyNumberFormat="1" applyFont="1" applyFill="1" applyBorder="1" applyAlignment="1">
      <alignment horizontal="center"/>
    </xf>
    <xf numFmtId="0" fontId="1" fillId="24" borderId="21" xfId="0" applyFont="1" applyFill="1" applyBorder="1" applyAlignment="1">
      <alignment horizontal="center"/>
    </xf>
    <xf numFmtId="176" fontId="1" fillId="24" borderId="4" xfId="0" applyNumberFormat="1" applyFont="1" applyFill="1" applyBorder="1"/>
    <xf numFmtId="0" fontId="1" fillId="0" borderId="21" xfId="0" applyFont="1" applyBorder="1" applyAlignment="1">
      <alignment wrapText="1"/>
    </xf>
    <xf numFmtId="176" fontId="1" fillId="0" borderId="4" xfId="0" applyNumberFormat="1" applyFont="1" applyBorder="1" applyAlignment="1">
      <alignment wrapText="1"/>
    </xf>
    <xf numFmtId="176" fontId="73" fillId="0" borderId="4" xfId="0" applyNumberFormat="1" applyFont="1" applyBorder="1" applyAlignment="1">
      <alignment wrapText="1"/>
    </xf>
    <xf numFmtId="0" fontId="74" fillId="0" borderId="21" xfId="0" applyFont="1" applyBorder="1"/>
    <xf numFmtId="11" fontId="74" fillId="0" borderId="4" xfId="0" applyNumberFormat="1" applyFont="1" applyBorder="1"/>
    <xf numFmtId="2" fontId="74" fillId="0" borderId="51" xfId="0" applyNumberFormat="1" applyFont="1" applyBorder="1"/>
    <xf numFmtId="176" fontId="1" fillId="10" borderId="4" xfId="0" applyNumberFormat="1" applyFont="1" applyFill="1" applyBorder="1"/>
    <xf numFmtId="0" fontId="1" fillId="10" borderId="51" xfId="0" applyFont="1" applyFill="1" applyBorder="1" applyAlignment="1">
      <alignment horizontal="center"/>
    </xf>
    <xf numFmtId="0" fontId="1" fillId="0" borderId="57" xfId="0" applyFont="1" applyBorder="1" applyAlignment="1">
      <alignment horizontal="center"/>
    </xf>
    <xf numFmtId="43" fontId="1" fillId="0" borderId="76" xfId="0" applyNumberFormat="1" applyFont="1" applyBorder="1"/>
    <xf numFmtId="0" fontId="1" fillId="0" borderId="58" xfId="0" applyFont="1" applyBorder="1" applyAlignment="1">
      <alignment horizontal="center"/>
    </xf>
    <xf numFmtId="0" fontId="5" fillId="10" borderId="161" xfId="0" applyFont="1" applyFill="1" applyBorder="1"/>
    <xf numFmtId="0" fontId="5" fillId="0" borderId="4" xfId="0" applyFont="1" applyBorder="1" applyAlignment="1">
      <alignment horizontal="left"/>
    </xf>
    <xf numFmtId="3" fontId="5" fillId="0" borderId="4" xfId="0" applyNumberFormat="1" applyFont="1" applyBorder="1" applyAlignment="1">
      <alignment horizontal="center"/>
    </xf>
    <xf numFmtId="0" fontId="5" fillId="0" borderId="4" xfId="0" applyFont="1" applyBorder="1"/>
    <xf numFmtId="0" fontId="27" fillId="0" borderId="162" xfId="0" applyFont="1" applyBorder="1"/>
    <xf numFmtId="176" fontId="75" fillId="2" borderId="163" xfId="0" applyNumberFormat="1" applyFont="1" applyFill="1" applyBorder="1"/>
    <xf numFmtId="0" fontId="76" fillId="0" borderId="163" xfId="0" applyFont="1" applyBorder="1" applyAlignment="1">
      <alignment horizontal="center"/>
    </xf>
    <xf numFmtId="0" fontId="77" fillId="0" borderId="163" xfId="0" applyFont="1" applyBorder="1"/>
    <xf numFmtId="187" fontId="77" fillId="0" borderId="163" xfId="0" applyNumberFormat="1" applyFont="1" applyBorder="1"/>
    <xf numFmtId="0" fontId="15" fillId="0" borderId="163" xfId="0" applyFont="1" applyBorder="1" applyAlignment="1">
      <alignment horizontal="center"/>
    </xf>
    <xf numFmtId="176" fontId="77" fillId="0" borderId="163" xfId="0" applyNumberFormat="1" applyFont="1" applyBorder="1"/>
    <xf numFmtId="168" fontId="9" fillId="0" borderId="163" xfId="0" applyNumberFormat="1" applyFont="1" applyBorder="1"/>
    <xf numFmtId="0" fontId="76" fillId="0" borderId="163" xfId="0" applyFont="1" applyBorder="1"/>
    <xf numFmtId="0" fontId="1" fillId="0" borderId="163" xfId="0" applyFont="1" applyBorder="1"/>
    <xf numFmtId="0" fontId="1" fillId="0" borderId="164" xfId="0" applyFont="1" applyBorder="1"/>
    <xf numFmtId="0" fontId="1" fillId="0" borderId="165" xfId="0" applyFont="1" applyBorder="1"/>
    <xf numFmtId="0" fontId="1" fillId="0" borderId="166" xfId="0" applyFont="1" applyBorder="1"/>
    <xf numFmtId="0" fontId="64" fillId="33" borderId="165" xfId="0" applyFont="1" applyFill="1" applyBorder="1"/>
    <xf numFmtId="0" fontId="15" fillId="33" borderId="4" xfId="0" applyFont="1" applyFill="1" applyBorder="1"/>
    <xf numFmtId="0" fontId="38" fillId="33" borderId="4" xfId="0" applyFont="1" applyFill="1" applyBorder="1"/>
    <xf numFmtId="0" fontId="13" fillId="33" borderId="4" xfId="0" applyFont="1" applyFill="1" applyBorder="1"/>
    <xf numFmtId="0" fontId="13" fillId="33" borderId="166" xfId="0" applyFont="1" applyFill="1" applyBorder="1"/>
    <xf numFmtId="0" fontId="40" fillId="0" borderId="167" xfId="0" applyFont="1" applyBorder="1"/>
    <xf numFmtId="0" fontId="1" fillId="0" borderId="49" xfId="0" applyFont="1" applyBorder="1"/>
    <xf numFmtId="0" fontId="15" fillId="0" borderId="49" xfId="0" applyFont="1" applyBorder="1"/>
    <xf numFmtId="0" fontId="40" fillId="0" borderId="49" xfId="0" applyFont="1" applyBorder="1"/>
    <xf numFmtId="0" fontId="15" fillId="0" borderId="4" xfId="0" applyFont="1" applyBorder="1"/>
    <xf numFmtId="0" fontId="49" fillId="0" borderId="49" xfId="0" applyFont="1" applyBorder="1" applyAlignment="1">
      <alignment horizontal="center"/>
    </xf>
    <xf numFmtId="0" fontId="1" fillId="0" borderId="168" xfId="0" applyFont="1" applyBorder="1"/>
    <xf numFmtId="0" fontId="32" fillId="0" borderId="0" xfId="0" applyFont="1" applyAlignment="1">
      <alignment horizontal="center"/>
    </xf>
    <xf numFmtId="0" fontId="78" fillId="0" borderId="169" xfId="0" applyFont="1" applyBorder="1"/>
    <xf numFmtId="0" fontId="79" fillId="0" borderId="74" xfId="0" applyFont="1" applyBorder="1" applyAlignment="1">
      <alignment horizontal="center"/>
    </xf>
    <xf numFmtId="0" fontId="1" fillId="0" borderId="3" xfId="0" applyFont="1" applyBorder="1"/>
    <xf numFmtId="0" fontId="13" fillId="0" borderId="0" xfId="0" applyFont="1"/>
    <xf numFmtId="0" fontId="79" fillId="0" borderId="171" xfId="0" applyFont="1" applyBorder="1"/>
    <xf numFmtId="0" fontId="79" fillId="0" borderId="76" xfId="0" applyFont="1" applyBorder="1" applyAlignment="1">
      <alignment horizontal="center"/>
    </xf>
    <xf numFmtId="0" fontId="78" fillId="0" borderId="76" xfId="0" applyFont="1" applyBorder="1"/>
    <xf numFmtId="0" fontId="32" fillId="0" borderId="76" xfId="0" applyFont="1" applyBorder="1" applyAlignment="1">
      <alignment horizontal="center" wrapText="1"/>
    </xf>
    <xf numFmtId="0" fontId="13" fillId="0" borderId="76" xfId="0" applyFont="1" applyBorder="1"/>
    <xf numFmtId="0" fontId="32" fillId="0" borderId="58" xfId="0" applyFont="1" applyBorder="1" applyAlignment="1">
      <alignment horizontal="center" wrapText="1"/>
    </xf>
    <xf numFmtId="0" fontId="13" fillId="0" borderId="3" xfId="0" applyFont="1" applyBorder="1"/>
    <xf numFmtId="0" fontId="32" fillId="0" borderId="172" xfId="0" applyFont="1" applyBorder="1" applyAlignment="1">
      <alignment horizontal="center" wrapText="1"/>
    </xf>
    <xf numFmtId="0" fontId="32" fillId="0" borderId="0" xfId="0" applyFont="1" applyAlignment="1">
      <alignment horizontal="center" wrapText="1"/>
    </xf>
    <xf numFmtId="0" fontId="13" fillId="0" borderId="173" xfId="0" applyFont="1" applyBorder="1"/>
    <xf numFmtId="176" fontId="80" fillId="0" borderId="29" xfId="0" applyNumberFormat="1" applyFont="1" applyBorder="1"/>
    <xf numFmtId="0" fontId="32" fillId="0" borderId="29" xfId="0" applyFont="1" applyBorder="1" applyAlignment="1">
      <alignment horizontal="center" wrapText="1"/>
    </xf>
    <xf numFmtId="188" fontId="1" fillId="4" borderId="152" xfId="0" applyNumberFormat="1" applyFont="1" applyFill="1" applyBorder="1"/>
    <xf numFmtId="189" fontId="1" fillId="4" borderId="152" xfId="0" applyNumberFormat="1" applyFont="1" applyFill="1" applyBorder="1"/>
    <xf numFmtId="190" fontId="13" fillId="0" borderId="29" xfId="0" applyNumberFormat="1" applyFont="1" applyBorder="1"/>
    <xf numFmtId="0" fontId="78" fillId="0" borderId="29" xfId="0" quotePrefix="1" applyFont="1" applyBorder="1" applyAlignment="1">
      <alignment horizontal="center"/>
    </xf>
    <xf numFmtId="168" fontId="1" fillId="0" borderId="29" xfId="0" applyNumberFormat="1" applyFont="1" applyBorder="1"/>
    <xf numFmtId="169" fontId="1" fillId="0" borderId="133" xfId="0" applyNumberFormat="1" applyFont="1" applyBorder="1"/>
    <xf numFmtId="0" fontId="32" fillId="0" borderId="3" xfId="0" applyFont="1" applyBorder="1" applyAlignment="1">
      <alignment horizontal="center" wrapText="1"/>
    </xf>
    <xf numFmtId="191" fontId="1" fillId="4" borderId="152" xfId="0" applyNumberFormat="1" applyFont="1" applyFill="1" applyBorder="1"/>
    <xf numFmtId="192" fontId="13" fillId="0" borderId="29" xfId="0" applyNumberFormat="1" applyFont="1" applyBorder="1"/>
    <xf numFmtId="192" fontId="78" fillId="0" borderId="29" xfId="0" quotePrefix="1" applyNumberFormat="1" applyFont="1" applyBorder="1" applyAlignment="1">
      <alignment horizontal="center"/>
    </xf>
    <xf numFmtId="43" fontId="1" fillId="0" borderId="29" xfId="0" applyNumberFormat="1" applyFont="1" applyBorder="1"/>
    <xf numFmtId="169" fontId="1" fillId="0" borderId="174" xfId="0" applyNumberFormat="1" applyFont="1" applyBorder="1"/>
    <xf numFmtId="39" fontId="1" fillId="0" borderId="0" xfId="0" applyNumberFormat="1" applyFont="1"/>
    <xf numFmtId="0" fontId="78" fillId="0" borderId="165" xfId="0" applyFont="1" applyBorder="1"/>
    <xf numFmtId="41" fontId="80" fillId="0" borderId="4" xfId="0" applyNumberFormat="1" applyFont="1" applyBorder="1"/>
    <xf numFmtId="0" fontId="13" fillId="0" borderId="4" xfId="0" applyFont="1" applyBorder="1"/>
    <xf numFmtId="191" fontId="1" fillId="4" borderId="4" xfId="0" applyNumberFormat="1" applyFont="1" applyFill="1" applyBorder="1"/>
    <xf numFmtId="189" fontId="1" fillId="4" borderId="4" xfId="0" applyNumberFormat="1" applyFont="1" applyFill="1" applyBorder="1"/>
    <xf numFmtId="190" fontId="13" fillId="0" borderId="4" xfId="0" applyNumberFormat="1" applyFont="1" applyBorder="1"/>
    <xf numFmtId="0" fontId="78" fillId="0" borderId="4" xfId="0" quotePrefix="1" applyFont="1" applyBorder="1" applyAlignment="1">
      <alignment horizontal="center"/>
    </xf>
    <xf numFmtId="168" fontId="1" fillId="0" borderId="4" xfId="0" applyNumberFormat="1" applyFont="1" applyBorder="1"/>
    <xf numFmtId="169" fontId="1" fillId="0" borderId="51" xfId="0" applyNumberFormat="1" applyFont="1" applyBorder="1"/>
    <xf numFmtId="0" fontId="13" fillId="0" borderId="175" xfId="0" applyFont="1" applyBorder="1"/>
    <xf numFmtId="191" fontId="1" fillId="4" borderId="161" xfId="0" applyNumberFormat="1" applyFont="1" applyFill="1" applyBorder="1"/>
    <xf numFmtId="192" fontId="13" fillId="0" borderId="49" xfId="0" applyNumberFormat="1" applyFont="1" applyBorder="1"/>
    <xf numFmtId="192" fontId="78" fillId="0" borderId="49" xfId="0" quotePrefix="1" applyNumberFormat="1" applyFont="1" applyBorder="1" applyAlignment="1">
      <alignment horizontal="center"/>
    </xf>
    <xf numFmtId="43" fontId="1" fillId="0" borderId="49" xfId="0" applyNumberFormat="1" applyFont="1" applyBorder="1"/>
    <xf numFmtId="169" fontId="1" fillId="0" borderId="168" xfId="0" applyNumberFormat="1" applyFont="1" applyBorder="1"/>
    <xf numFmtId="0" fontId="78" fillId="0" borderId="171" xfId="0" applyFont="1" applyBorder="1"/>
    <xf numFmtId="41" fontId="13" fillId="0" borderId="76" xfId="0" applyNumberFormat="1" applyFont="1" applyBorder="1"/>
    <xf numFmtId="191" fontId="1" fillId="0" borderId="76" xfId="0" applyNumberFormat="1" applyFont="1" applyBorder="1"/>
    <xf numFmtId="0" fontId="32" fillId="24" borderId="76" xfId="0" applyFont="1" applyFill="1" applyBorder="1" applyAlignment="1">
      <alignment horizontal="center" wrapText="1"/>
    </xf>
    <xf numFmtId="0" fontId="78" fillId="24" borderId="76" xfId="0" applyFont="1" applyFill="1" applyBorder="1" applyAlignment="1">
      <alignment horizontal="center"/>
    </xf>
    <xf numFmtId="168" fontId="1" fillId="24" borderId="76" xfId="0" applyNumberFormat="1" applyFont="1" applyFill="1" applyBorder="1"/>
    <xf numFmtId="174" fontId="74" fillId="24" borderId="58" xfId="0" applyNumberFormat="1" applyFont="1" applyFill="1" applyBorder="1"/>
    <xf numFmtId="0" fontId="13" fillId="0" borderId="176" xfId="0" applyFont="1" applyBorder="1"/>
    <xf numFmtId="191" fontId="1" fillId="0" borderId="91" xfId="0" applyNumberFormat="1" applyFont="1" applyBorder="1"/>
    <xf numFmtId="0" fontId="32" fillId="0" borderId="91" xfId="0" applyFont="1" applyBorder="1" applyAlignment="1">
      <alignment horizontal="center" wrapText="1"/>
    </xf>
    <xf numFmtId="0" fontId="78" fillId="0" borderId="91" xfId="0" applyFont="1" applyBorder="1" applyAlignment="1">
      <alignment horizontal="center"/>
    </xf>
    <xf numFmtId="166" fontId="1" fillId="0" borderId="91" xfId="0" applyNumberFormat="1" applyFont="1" applyBorder="1"/>
    <xf numFmtId="166" fontId="74" fillId="24" borderId="177" xfId="0" applyNumberFormat="1" applyFont="1" applyFill="1" applyBorder="1"/>
    <xf numFmtId="0" fontId="1" fillId="0" borderId="178" xfId="0" applyFont="1" applyBorder="1"/>
    <xf numFmtId="0" fontId="1" fillId="0" borderId="63" xfId="0" applyFont="1" applyBorder="1"/>
    <xf numFmtId="0" fontId="1" fillId="0" borderId="179" xfId="0" applyFont="1" applyBorder="1"/>
    <xf numFmtId="0" fontId="27" fillId="0" borderId="40" xfId="0" applyFont="1" applyBorder="1"/>
    <xf numFmtId="0" fontId="1" fillId="0" borderId="110" xfId="0" applyFont="1" applyBorder="1"/>
    <xf numFmtId="0" fontId="2" fillId="31" borderId="21" xfId="0" applyFont="1" applyFill="1" applyBorder="1"/>
    <xf numFmtId="0" fontId="2" fillId="31" borderId="4" xfId="0" applyFont="1" applyFill="1" applyBorder="1" applyAlignment="1">
      <alignment horizontal="center"/>
    </xf>
    <xf numFmtId="176" fontId="2" fillId="31" borderId="51" xfId="0" applyNumberFormat="1" applyFont="1" applyFill="1" applyBorder="1" applyAlignment="1">
      <alignment horizontal="center"/>
    </xf>
    <xf numFmtId="176" fontId="1" fillId="0" borderId="51" xfId="0" applyNumberFormat="1" applyFont="1" applyBorder="1"/>
    <xf numFmtId="176" fontId="30" fillId="0" borderId="4" xfId="0" applyNumberFormat="1" applyFont="1" applyBorder="1"/>
    <xf numFmtId="176" fontId="30" fillId="0" borderId="51" xfId="0" applyNumberFormat="1" applyFont="1" applyBorder="1"/>
    <xf numFmtId="43" fontId="1" fillId="0" borderId="1" xfId="0" applyNumberFormat="1" applyFont="1" applyBorder="1"/>
    <xf numFmtId="176" fontId="1" fillId="0" borderId="49" xfId="0" applyNumberFormat="1" applyFont="1" applyBorder="1"/>
    <xf numFmtId="176" fontId="1" fillId="0" borderId="143" xfId="0" applyNumberFormat="1" applyFont="1" applyBorder="1"/>
    <xf numFmtId="0" fontId="78" fillId="0" borderId="17" xfId="0" applyFont="1" applyBorder="1"/>
    <xf numFmtId="0" fontId="80" fillId="0" borderId="17" xfId="0" applyFont="1" applyBorder="1"/>
    <xf numFmtId="0" fontId="1" fillId="0" borderId="180" xfId="0" applyFont="1" applyBorder="1"/>
    <xf numFmtId="176" fontId="1" fillId="0" borderId="30" xfId="0" applyNumberFormat="1" applyFont="1" applyBorder="1"/>
    <xf numFmtId="0" fontId="1" fillId="0" borderId="23" xfId="0" applyFont="1" applyBorder="1"/>
    <xf numFmtId="176" fontId="1" fillId="0" borderId="181" xfId="0" applyNumberFormat="1" applyFont="1" applyBorder="1"/>
    <xf numFmtId="0" fontId="5" fillId="10" borderId="182" xfId="0" applyFont="1" applyFill="1" applyBorder="1"/>
    <xf numFmtId="0" fontId="5" fillId="0" borderId="148" xfId="0" applyFont="1" applyBorder="1" applyAlignment="1">
      <alignment horizontal="left"/>
    </xf>
    <xf numFmtId="3" fontId="5" fillId="0" borderId="74" xfId="0" applyNumberFormat="1" applyFont="1" applyBorder="1" applyAlignment="1">
      <alignment horizontal="center"/>
    </xf>
    <xf numFmtId="0" fontId="5" fillId="0" borderId="74" xfId="0" applyFont="1" applyBorder="1"/>
    <xf numFmtId="0" fontId="5" fillId="0" borderId="75" xfId="0" applyFont="1" applyBorder="1"/>
    <xf numFmtId="0" fontId="5" fillId="0" borderId="183" xfId="0" applyFont="1" applyBorder="1" applyAlignment="1">
      <alignment horizontal="left"/>
    </xf>
    <xf numFmtId="3" fontId="5" fillId="0" borderId="76" xfId="0" applyNumberFormat="1" applyFont="1" applyBorder="1" applyAlignment="1">
      <alignment horizontal="center"/>
    </xf>
    <xf numFmtId="0" fontId="5" fillId="0" borderId="76" xfId="0" applyFont="1" applyBorder="1"/>
    <xf numFmtId="0" fontId="5" fillId="0" borderId="58" xfId="0" applyFont="1" applyBorder="1"/>
    <xf numFmtId="0" fontId="27" fillId="0" borderId="184" xfId="0" applyFont="1" applyBorder="1"/>
    <xf numFmtId="0" fontId="5" fillId="0" borderId="185" xfId="0" applyFont="1" applyBorder="1"/>
    <xf numFmtId="0" fontId="1" fillId="0" borderId="185" xfId="0" applyFont="1" applyBorder="1"/>
    <xf numFmtId="0" fontId="5" fillId="0" borderId="186" xfId="0" applyFont="1" applyBorder="1"/>
    <xf numFmtId="0" fontId="64" fillId="15" borderId="187" xfId="0" applyFont="1" applyFill="1" applyBorder="1"/>
    <xf numFmtId="0" fontId="15" fillId="15" borderId="33" xfId="0" applyFont="1" applyFill="1" applyBorder="1"/>
    <xf numFmtId="0" fontId="38" fillId="15" borderId="33" xfId="0" applyFont="1" applyFill="1" applyBorder="1"/>
    <xf numFmtId="0" fontId="1" fillId="0" borderId="188" xfId="0" applyFont="1" applyBorder="1"/>
    <xf numFmtId="0" fontId="40" fillId="0" borderId="189" xfId="0" applyFont="1" applyBorder="1"/>
    <xf numFmtId="0" fontId="15" fillId="31" borderId="190" xfId="0" applyFont="1" applyFill="1" applyBorder="1"/>
    <xf numFmtId="0" fontId="15" fillId="31" borderId="191" xfId="0" applyFont="1" applyFill="1" applyBorder="1"/>
    <xf numFmtId="0" fontId="49" fillId="31" borderId="191" xfId="0" applyFont="1" applyFill="1" applyBorder="1" applyAlignment="1">
      <alignment horizontal="center"/>
    </xf>
    <xf numFmtId="0" fontId="15" fillId="31" borderId="192" xfId="0" applyFont="1" applyFill="1" applyBorder="1"/>
    <xf numFmtId="0" fontId="1" fillId="31" borderId="191" xfId="0" applyFont="1" applyFill="1" applyBorder="1"/>
    <xf numFmtId="0" fontId="1" fillId="31" borderId="192" xfId="0" applyFont="1" applyFill="1" applyBorder="1"/>
    <xf numFmtId="0" fontId="1" fillId="31" borderId="190" xfId="0" applyFont="1" applyFill="1" applyBorder="1"/>
    <xf numFmtId="0" fontId="49" fillId="31" borderId="191" xfId="0" applyFont="1" applyFill="1" applyBorder="1" applyAlignment="1">
      <alignment horizontal="left"/>
    </xf>
    <xf numFmtId="0" fontId="78" fillId="24" borderId="193" xfId="0" applyFont="1" applyFill="1" applyBorder="1"/>
    <xf numFmtId="0" fontId="79" fillId="24" borderId="194" xfId="0" applyFont="1" applyFill="1" applyBorder="1" applyAlignment="1">
      <alignment horizontal="center"/>
    </xf>
    <xf numFmtId="0" fontId="13" fillId="24" borderId="194" xfId="0" applyFont="1" applyFill="1" applyBorder="1"/>
    <xf numFmtId="0" fontId="78" fillId="24" borderId="194" xfId="0" applyFont="1" applyFill="1" applyBorder="1"/>
    <xf numFmtId="0" fontId="78" fillId="24" borderId="195" xfId="0" applyFont="1" applyFill="1" applyBorder="1"/>
    <xf numFmtId="0" fontId="81" fillId="24" borderId="196" xfId="0" applyFont="1" applyFill="1" applyBorder="1" applyAlignment="1">
      <alignment horizontal="center"/>
    </xf>
    <xf numFmtId="0" fontId="81" fillId="24" borderId="194" xfId="0" applyFont="1" applyFill="1" applyBorder="1" applyAlignment="1">
      <alignment horizontal="center"/>
    </xf>
    <xf numFmtId="0" fontId="81" fillId="24" borderId="197" xfId="0" applyFont="1" applyFill="1" applyBorder="1" applyAlignment="1">
      <alignment horizontal="center"/>
    </xf>
    <xf numFmtId="0" fontId="78" fillId="24" borderId="198" xfId="0" applyFont="1" applyFill="1" applyBorder="1"/>
    <xf numFmtId="0" fontId="78" fillId="24" borderId="196" xfId="0" applyFont="1" applyFill="1" applyBorder="1"/>
    <xf numFmtId="0" fontId="13" fillId="24" borderId="197" xfId="0" applyFont="1" applyFill="1" applyBorder="1"/>
    <xf numFmtId="0" fontId="13" fillId="24" borderId="198" xfId="0" applyFont="1" applyFill="1" applyBorder="1"/>
    <xf numFmtId="0" fontId="13" fillId="24" borderId="196" xfId="0" applyFont="1" applyFill="1" applyBorder="1"/>
    <xf numFmtId="0" fontId="13" fillId="0" borderId="188" xfId="0" applyFont="1" applyBorder="1"/>
    <xf numFmtId="0" fontId="79" fillId="24" borderId="199" xfId="0" applyFont="1" applyFill="1" applyBorder="1"/>
    <xf numFmtId="0" fontId="79" fillId="24" borderId="200" xfId="0" applyFont="1" applyFill="1" applyBorder="1" applyAlignment="1">
      <alignment horizontal="center"/>
    </xf>
    <xf numFmtId="0" fontId="13" fillId="24" borderId="200" xfId="0" applyFont="1" applyFill="1" applyBorder="1"/>
    <xf numFmtId="0" fontId="78" fillId="24" borderId="200" xfId="0" applyFont="1" applyFill="1" applyBorder="1"/>
    <xf numFmtId="0" fontId="78" fillId="24" borderId="201" xfId="0" applyFont="1" applyFill="1" applyBorder="1"/>
    <xf numFmtId="0" fontId="79" fillId="24" borderId="202" xfId="0" applyFont="1" applyFill="1" applyBorder="1" applyAlignment="1">
      <alignment horizontal="center"/>
    </xf>
    <xf numFmtId="0" fontId="81" fillId="24" borderId="203" xfId="0" applyFont="1" applyFill="1" applyBorder="1" applyAlignment="1">
      <alignment horizontal="center"/>
    </xf>
    <xf numFmtId="0" fontId="78" fillId="24" borderId="204" xfId="0" applyFont="1" applyFill="1" applyBorder="1"/>
    <xf numFmtId="0" fontId="32" fillId="24" borderId="202" xfId="0" applyFont="1" applyFill="1" applyBorder="1" applyAlignment="1">
      <alignment horizontal="center" wrapText="1"/>
    </xf>
    <xf numFmtId="0" fontId="32" fillId="24" borderId="200" xfId="0" applyFont="1" applyFill="1" applyBorder="1" applyAlignment="1">
      <alignment horizontal="center" wrapText="1"/>
    </xf>
    <xf numFmtId="0" fontId="32" fillId="24" borderId="203" xfId="0" applyFont="1" applyFill="1" applyBorder="1" applyAlignment="1">
      <alignment horizontal="center" wrapText="1"/>
    </xf>
    <xf numFmtId="0" fontId="32" fillId="24" borderId="204" xfId="0" applyFont="1" applyFill="1" applyBorder="1" applyAlignment="1">
      <alignment horizontal="center" wrapText="1"/>
    </xf>
    <xf numFmtId="176" fontId="13" fillId="0" borderId="74" xfId="0" applyNumberFormat="1" applyFont="1" applyBorder="1"/>
    <xf numFmtId="0" fontId="13" fillId="0" borderId="74" xfId="0" applyFont="1" applyBorder="1"/>
    <xf numFmtId="176" fontId="78" fillId="15" borderId="74" xfId="0" applyNumberFormat="1" applyFont="1" applyFill="1" applyBorder="1"/>
    <xf numFmtId="0" fontId="78" fillId="0" borderId="74" xfId="0" applyFont="1" applyBorder="1" applyAlignment="1">
      <alignment horizontal="center"/>
    </xf>
    <xf numFmtId="2" fontId="78" fillId="0" borderId="74" xfId="0" applyNumberFormat="1" applyFont="1" applyBorder="1"/>
    <xf numFmtId="187" fontId="78" fillId="0" borderId="74" xfId="0" applyNumberFormat="1" applyFont="1" applyBorder="1"/>
    <xf numFmtId="0" fontId="78" fillId="0" borderId="138" xfId="0" quotePrefix="1" applyFont="1" applyBorder="1" applyAlignment="1">
      <alignment horizontal="center"/>
    </xf>
    <xf numFmtId="176" fontId="78" fillId="0" borderId="205" xfId="0" applyNumberFormat="1" applyFont="1" applyBorder="1"/>
    <xf numFmtId="0" fontId="78" fillId="0" borderId="74" xfId="0" quotePrefix="1" applyFont="1" applyBorder="1" applyAlignment="1">
      <alignment horizontal="center"/>
    </xf>
    <xf numFmtId="168" fontId="13" fillId="0" borderId="74" xfId="0" applyNumberFormat="1" applyFont="1" applyBorder="1"/>
    <xf numFmtId="168" fontId="13" fillId="0" borderId="206" xfId="0" applyNumberFormat="1" applyFont="1" applyBorder="1"/>
    <xf numFmtId="0" fontId="78" fillId="0" borderId="68" xfId="0" applyFont="1" applyBorder="1"/>
    <xf numFmtId="43" fontId="1" fillId="4" borderId="205" xfId="0" applyNumberFormat="1" applyFont="1" applyFill="1" applyBorder="1"/>
    <xf numFmtId="191" fontId="1" fillId="4" borderId="74" xfId="0" applyNumberFormat="1" applyFont="1" applyFill="1" applyBorder="1" applyAlignment="1">
      <alignment horizontal="right"/>
    </xf>
    <xf numFmtId="190" fontId="13" fillId="0" borderId="74" xfId="0" applyNumberFormat="1" applyFont="1" applyBorder="1"/>
    <xf numFmtId="182" fontId="1" fillId="0" borderId="74" xfId="0" applyNumberFormat="1" applyFont="1" applyBorder="1"/>
    <xf numFmtId="182" fontId="1" fillId="0" borderId="206" xfId="0" applyNumberFormat="1" applyFont="1" applyBorder="1"/>
    <xf numFmtId="166" fontId="1" fillId="0" borderId="68" xfId="0" applyNumberFormat="1" applyFont="1" applyBorder="1"/>
    <xf numFmtId="191" fontId="1" fillId="4" borderId="205" xfId="0" applyNumberFormat="1" applyFont="1" applyFill="1" applyBorder="1"/>
    <xf numFmtId="193" fontId="13" fillId="0" borderId="74" xfId="0" applyNumberFormat="1" applyFont="1" applyBorder="1"/>
    <xf numFmtId="166" fontId="1" fillId="0" borderId="74" xfId="0" applyNumberFormat="1" applyFont="1" applyBorder="1"/>
    <xf numFmtId="166" fontId="1" fillId="0" borderId="206" xfId="0" applyNumberFormat="1" applyFont="1" applyBorder="1"/>
    <xf numFmtId="176" fontId="13" fillId="0" borderId="4" xfId="0" applyNumberFormat="1" applyFont="1" applyBorder="1"/>
    <xf numFmtId="176" fontId="78" fillId="15" borderId="4" xfId="0" applyNumberFormat="1" applyFont="1" applyFill="1" applyBorder="1"/>
    <xf numFmtId="0" fontId="78" fillId="0" borderId="4" xfId="0" applyFont="1" applyBorder="1" applyAlignment="1">
      <alignment horizontal="center"/>
    </xf>
    <xf numFmtId="2" fontId="13" fillId="0" borderId="4" xfId="0" applyNumberFormat="1" applyFont="1" applyBorder="1"/>
    <xf numFmtId="187" fontId="78" fillId="0" borderId="4" xfId="0" applyNumberFormat="1" applyFont="1" applyBorder="1"/>
    <xf numFmtId="0" fontId="78" fillId="0" borderId="2" xfId="0" quotePrefix="1" applyFont="1" applyBorder="1" applyAlignment="1">
      <alignment horizontal="center"/>
    </xf>
    <xf numFmtId="176" fontId="78" fillId="0" borderId="207" xfId="0" applyNumberFormat="1" applyFont="1" applyBorder="1"/>
    <xf numFmtId="168" fontId="13" fillId="0" borderId="4" xfId="0" applyNumberFormat="1" applyFont="1" applyBorder="1"/>
    <xf numFmtId="168" fontId="13" fillId="0" borderId="208" xfId="0" applyNumberFormat="1" applyFont="1" applyBorder="1"/>
    <xf numFmtId="0" fontId="78" fillId="0" borderId="28" xfId="0" applyFont="1" applyBorder="1"/>
    <xf numFmtId="43" fontId="1" fillId="4" borderId="207" xfId="0" applyNumberFormat="1" applyFont="1" applyFill="1" applyBorder="1"/>
    <xf numFmtId="191" fontId="1" fillId="4" borderId="4" xfId="0" applyNumberFormat="1" applyFont="1" applyFill="1" applyBorder="1" applyAlignment="1">
      <alignment horizontal="right"/>
    </xf>
    <xf numFmtId="182" fontId="1" fillId="0" borderId="4" xfId="0" applyNumberFormat="1" applyFont="1" applyBorder="1"/>
    <xf numFmtId="182" fontId="1" fillId="0" borderId="208" xfId="0" applyNumberFormat="1" applyFont="1" applyBorder="1"/>
    <xf numFmtId="0" fontId="13" fillId="0" borderId="28" xfId="0" applyFont="1" applyBorder="1"/>
    <xf numFmtId="191" fontId="1" fillId="4" borderId="207" xfId="0" applyNumberFormat="1" applyFont="1" applyFill="1" applyBorder="1"/>
    <xf numFmtId="193" fontId="13" fillId="0" borderId="4" xfId="0" applyNumberFormat="1" applyFont="1" applyBorder="1"/>
    <xf numFmtId="166" fontId="1" fillId="0" borderId="4" xfId="0" applyNumberFormat="1" applyFont="1" applyBorder="1"/>
    <xf numFmtId="166" fontId="1" fillId="0" borderId="208" xfId="0" applyNumberFormat="1" applyFont="1" applyBorder="1"/>
    <xf numFmtId="41" fontId="13" fillId="0" borderId="4" xfId="0" applyNumberFormat="1" applyFont="1" applyBorder="1"/>
    <xf numFmtId="2" fontId="78" fillId="0" borderId="4" xfId="0" applyNumberFormat="1" applyFont="1" applyBorder="1"/>
    <xf numFmtId="0" fontId="13" fillId="0" borderId="207" xfId="0" applyFont="1" applyBorder="1"/>
    <xf numFmtId="188" fontId="1" fillId="4" borderId="4" xfId="0" applyNumberFormat="1" applyFont="1" applyFill="1" applyBorder="1"/>
    <xf numFmtId="168" fontId="1" fillId="0" borderId="208" xfId="0" applyNumberFormat="1" applyFont="1" applyBorder="1"/>
    <xf numFmtId="39" fontId="1" fillId="0" borderId="189" xfId="0" applyNumberFormat="1" applyFont="1" applyBorder="1"/>
    <xf numFmtId="176" fontId="78" fillId="0" borderId="4" xfId="0" applyNumberFormat="1" applyFont="1" applyBorder="1"/>
    <xf numFmtId="0" fontId="78" fillId="0" borderId="4" xfId="0" applyFont="1" applyBorder="1"/>
    <xf numFmtId="0" fontId="78" fillId="0" borderId="2" xfId="0" applyFont="1" applyBorder="1" applyAlignment="1">
      <alignment horizontal="center"/>
    </xf>
    <xf numFmtId="168" fontId="81" fillId="10" borderId="208" xfId="0" applyNumberFormat="1" applyFont="1" applyFill="1" applyBorder="1"/>
    <xf numFmtId="0" fontId="78" fillId="0" borderId="207" xfId="0" applyFont="1" applyBorder="1"/>
    <xf numFmtId="182" fontId="81" fillId="0" borderId="4" xfId="0" applyNumberFormat="1" applyFont="1" applyBorder="1"/>
    <xf numFmtId="182" fontId="32" fillId="24" borderId="208" xfId="0" applyNumberFormat="1" applyFont="1" applyFill="1" applyBorder="1"/>
    <xf numFmtId="0" fontId="81" fillId="0" borderId="4" xfId="0" applyFont="1" applyBorder="1"/>
    <xf numFmtId="166" fontId="32" fillId="24" borderId="208" xfId="0" applyNumberFormat="1" applyFont="1" applyFill="1" applyBorder="1"/>
    <xf numFmtId="0" fontId="78" fillId="0" borderId="189" xfId="0" applyFont="1" applyBorder="1"/>
    <xf numFmtId="41" fontId="13" fillId="0" borderId="0" xfId="0" applyNumberFormat="1" applyFont="1"/>
    <xf numFmtId="0" fontId="78" fillId="0" borderId="0" xfId="0" applyFont="1"/>
    <xf numFmtId="0" fontId="78" fillId="0" borderId="209" xfId="0" applyFont="1" applyBorder="1"/>
    <xf numFmtId="0" fontId="78" fillId="0" borderId="210" xfId="0" applyFont="1" applyBorder="1" applyAlignment="1">
      <alignment horizontal="center"/>
    </xf>
    <xf numFmtId="0" fontId="78" fillId="0" borderId="210" xfId="0" applyFont="1" applyBorder="1"/>
    <xf numFmtId="0" fontId="78" fillId="0" borderId="210" xfId="0" applyFont="1" applyBorder="1" applyAlignment="1">
      <alignment horizontal="left"/>
    </xf>
    <xf numFmtId="168" fontId="78" fillId="0" borderId="211" xfId="0" applyNumberFormat="1" applyFont="1" applyBorder="1"/>
    <xf numFmtId="0" fontId="13" fillId="0" borderId="210" xfId="0" applyFont="1" applyBorder="1"/>
    <xf numFmtId="182" fontId="13" fillId="0" borderId="210" xfId="0" applyNumberFormat="1" applyFont="1" applyBorder="1"/>
    <xf numFmtId="0" fontId="13" fillId="0" borderId="211" xfId="0" applyFont="1" applyBorder="1"/>
    <xf numFmtId="0" fontId="13" fillId="0" borderId="209" xfId="0" applyFont="1" applyBorder="1"/>
    <xf numFmtId="0" fontId="1" fillId="0" borderId="212" xfId="0" applyFont="1" applyBorder="1"/>
    <xf numFmtId="0" fontId="1" fillId="0" borderId="213" xfId="0" applyFont="1" applyBorder="1"/>
    <xf numFmtId="182" fontId="1" fillId="0" borderId="213" xfId="0" applyNumberFormat="1" applyFont="1" applyBorder="1"/>
    <xf numFmtId="0" fontId="1" fillId="0" borderId="214" xfId="0" applyFont="1" applyBorder="1"/>
    <xf numFmtId="182" fontId="1" fillId="0" borderId="0" xfId="0" applyNumberFormat="1" applyFont="1"/>
    <xf numFmtId="0" fontId="27" fillId="0" borderId="73" xfId="0" applyFont="1" applyBorder="1"/>
    <xf numFmtId="0" fontId="5" fillId="0" borderId="149" xfId="0" applyFont="1" applyBorder="1"/>
    <xf numFmtId="182" fontId="5" fillId="0" borderId="149" xfId="0" applyNumberFormat="1" applyFont="1" applyBorder="1"/>
    <xf numFmtId="0" fontId="1" fillId="0" borderId="75" xfId="0" applyFont="1" applyBorder="1"/>
    <xf numFmtId="0" fontId="64" fillId="15" borderId="21" xfId="0" applyFont="1" applyFill="1" applyBorder="1"/>
    <xf numFmtId="0" fontId="15" fillId="15" borderId="4" xfId="0" applyFont="1" applyFill="1" applyBorder="1"/>
    <xf numFmtId="0" fontId="38" fillId="15" borderId="4" xfId="0" applyFont="1" applyFill="1" applyBorder="1"/>
    <xf numFmtId="0" fontId="15" fillId="15" borderId="161" xfId="0" applyFont="1" applyFill="1" applyBorder="1"/>
    <xf numFmtId="0" fontId="5" fillId="0" borderId="215" xfId="0" applyFont="1" applyBorder="1"/>
    <xf numFmtId="0" fontId="5" fillId="0" borderId="216" xfId="0" applyFont="1" applyBorder="1"/>
    <xf numFmtId="0" fontId="1" fillId="0" borderId="216" xfId="0" applyFont="1" applyBorder="1"/>
    <xf numFmtId="182" fontId="1" fillId="0" borderId="216" xfId="0" applyNumberFormat="1" applyFont="1" applyBorder="1"/>
    <xf numFmtId="0" fontId="1" fillId="0" borderId="217" xfId="0" applyFont="1" applyBorder="1"/>
    <xf numFmtId="0" fontId="1" fillId="0" borderId="215" xfId="0" applyFont="1" applyBorder="1"/>
    <xf numFmtId="0" fontId="40" fillId="0" borderId="21" xfId="0" applyFont="1" applyBorder="1"/>
    <xf numFmtId="0" fontId="40" fillId="0" borderId="4" xfId="0" applyFont="1" applyBorder="1"/>
    <xf numFmtId="0" fontId="15" fillId="0" borderId="2" xfId="0" applyFont="1" applyBorder="1"/>
    <xf numFmtId="0" fontId="15" fillId="31" borderId="215" xfId="0" applyFont="1" applyFill="1" applyBorder="1"/>
    <xf numFmtId="0" fontId="15" fillId="31" borderId="216" xfId="0" applyFont="1" applyFill="1" applyBorder="1"/>
    <xf numFmtId="0" fontId="49" fillId="31" borderId="216" xfId="0" applyFont="1" applyFill="1" applyBorder="1" applyAlignment="1">
      <alignment horizontal="center"/>
    </xf>
    <xf numFmtId="0" fontId="15" fillId="31" borderId="217" xfId="0" applyFont="1" applyFill="1" applyBorder="1"/>
    <xf numFmtId="0" fontId="15" fillId="0" borderId="28" xfId="0" applyFont="1" applyBorder="1"/>
    <xf numFmtId="0" fontId="15" fillId="31" borderId="218" xfId="0" applyFont="1" applyFill="1" applyBorder="1"/>
    <xf numFmtId="0" fontId="15" fillId="31" borderId="4" xfId="0" applyFont="1" applyFill="1" applyBorder="1"/>
    <xf numFmtId="0" fontId="49" fillId="31" borderId="4" xfId="0" applyFont="1" applyFill="1" applyBorder="1" applyAlignment="1">
      <alignment horizontal="center"/>
    </xf>
    <xf numFmtId="0" fontId="1" fillId="31" borderId="4" xfId="0" applyFont="1" applyFill="1" applyBorder="1"/>
    <xf numFmtId="182" fontId="1" fillId="31" borderId="4" xfId="0" applyNumberFormat="1" applyFont="1" applyFill="1" applyBorder="1"/>
    <xf numFmtId="0" fontId="1" fillId="31" borderId="219" xfId="0" applyFont="1" applyFill="1" applyBorder="1"/>
    <xf numFmtId="0" fontId="1" fillId="31" borderId="218" xfId="0" applyFont="1" applyFill="1" applyBorder="1"/>
    <xf numFmtId="0" fontId="49" fillId="31" borderId="4" xfId="0" applyFont="1" applyFill="1" applyBorder="1" applyAlignment="1">
      <alignment horizontal="left"/>
    </xf>
    <xf numFmtId="0" fontId="78" fillId="24" borderId="21" xfId="0" applyFont="1" applyFill="1" applyBorder="1"/>
    <xf numFmtId="0" fontId="79" fillId="24" borderId="4" xfId="0" applyFont="1" applyFill="1" applyBorder="1" applyAlignment="1">
      <alignment horizontal="center"/>
    </xf>
    <xf numFmtId="0" fontId="13" fillId="24" borderId="4" xfId="0" applyFont="1" applyFill="1" applyBorder="1"/>
    <xf numFmtId="0" fontId="78" fillId="24" borderId="4" xfId="0" applyFont="1" applyFill="1" applyBorder="1"/>
    <xf numFmtId="0" fontId="78" fillId="0" borderId="2" xfId="0" applyFont="1" applyBorder="1"/>
    <xf numFmtId="0" fontId="81" fillId="24" borderId="218" xfId="0" applyFont="1" applyFill="1" applyBorder="1" applyAlignment="1">
      <alignment horizontal="center"/>
    </xf>
    <xf numFmtId="0" fontId="81" fillId="24" borderId="4" xfId="0" applyFont="1" applyFill="1" applyBorder="1" applyAlignment="1">
      <alignment horizontal="center"/>
    </xf>
    <xf numFmtId="0" fontId="81" fillId="24" borderId="219" xfId="0" applyFont="1" applyFill="1" applyBorder="1" applyAlignment="1">
      <alignment horizontal="center"/>
    </xf>
    <xf numFmtId="0" fontId="78" fillId="24" borderId="218" xfId="0" applyFont="1" applyFill="1" applyBorder="1"/>
    <xf numFmtId="182" fontId="13" fillId="24" borderId="4" xfId="0" applyNumberFormat="1" applyFont="1" applyFill="1" applyBorder="1"/>
    <xf numFmtId="0" fontId="13" fillId="24" borderId="219" xfId="0" applyFont="1" applyFill="1" applyBorder="1"/>
    <xf numFmtId="0" fontId="13" fillId="0" borderId="218" xfId="0" applyFont="1" applyBorder="1"/>
    <xf numFmtId="0" fontId="13" fillId="0" borderId="219" xfId="0" applyFont="1" applyBorder="1"/>
    <xf numFmtId="0" fontId="79" fillId="24" borderId="57" xfId="0" applyFont="1" applyFill="1" applyBorder="1"/>
    <xf numFmtId="0" fontId="79" fillId="24" borderId="76" xfId="0" applyFont="1" applyFill="1" applyBorder="1" applyAlignment="1">
      <alignment horizontal="center"/>
    </xf>
    <xf numFmtId="0" fontId="13" fillId="24" borderId="76" xfId="0" applyFont="1" applyFill="1" applyBorder="1"/>
    <xf numFmtId="0" fontId="78" fillId="24" borderId="76" xfId="0" applyFont="1" applyFill="1" applyBorder="1"/>
    <xf numFmtId="0" fontId="79" fillId="24" borderId="218" xfId="0" applyFont="1" applyFill="1" applyBorder="1" applyAlignment="1">
      <alignment horizontal="center"/>
    </xf>
    <xf numFmtId="0" fontId="32" fillId="24" borderId="218" xfId="0" applyFont="1" applyFill="1" applyBorder="1" applyAlignment="1">
      <alignment horizontal="center" wrapText="1"/>
    </xf>
    <xf numFmtId="0" fontId="32" fillId="24" borderId="4" xfId="0" applyFont="1" applyFill="1" applyBorder="1" applyAlignment="1">
      <alignment horizontal="center" wrapText="1"/>
    </xf>
    <xf numFmtId="182" fontId="32" fillId="24" borderId="4" xfId="0" applyNumberFormat="1" applyFont="1" applyFill="1" applyBorder="1" applyAlignment="1">
      <alignment horizontal="center" wrapText="1"/>
    </xf>
    <xf numFmtId="0" fontId="32" fillId="24" borderId="219" xfId="0" applyFont="1" applyFill="1" applyBorder="1" applyAlignment="1">
      <alignment horizontal="center" wrapText="1"/>
    </xf>
    <xf numFmtId="0" fontId="32" fillId="0" borderId="28" xfId="0" applyFont="1" applyBorder="1" applyAlignment="1">
      <alignment horizontal="center" wrapText="1"/>
    </xf>
    <xf numFmtId="0" fontId="78" fillId="0" borderId="132" xfId="0" applyFont="1" applyBorder="1"/>
    <xf numFmtId="41" fontId="13" fillId="0" borderId="29" xfId="0" applyNumberFormat="1" applyFont="1" applyBorder="1"/>
    <xf numFmtId="0" fontId="13" fillId="0" borderId="29" xfId="0" applyFont="1" applyBorder="1"/>
    <xf numFmtId="176" fontId="78" fillId="15" borderId="152" xfId="0" applyNumberFormat="1" applyFont="1" applyFill="1" applyBorder="1"/>
    <xf numFmtId="0" fontId="78" fillId="0" borderId="29" xfId="0" applyFont="1" applyBorder="1" applyAlignment="1">
      <alignment horizontal="center"/>
    </xf>
    <xf numFmtId="2" fontId="78" fillId="0" borderId="29" xfId="0" applyNumberFormat="1" applyFont="1" applyBorder="1"/>
    <xf numFmtId="187" fontId="78" fillId="0" borderId="29" xfId="0" applyNumberFormat="1" applyFont="1" applyBorder="1"/>
    <xf numFmtId="176" fontId="78" fillId="0" borderId="218" xfId="0" applyNumberFormat="1" applyFont="1" applyBorder="1"/>
    <xf numFmtId="168" fontId="13" fillId="0" borderId="219" xfId="0" applyNumberFormat="1" applyFont="1" applyBorder="1"/>
    <xf numFmtId="168" fontId="1" fillId="0" borderId="219" xfId="0" applyNumberFormat="1" applyFont="1" applyBorder="1"/>
    <xf numFmtId="191" fontId="1" fillId="4" borderId="218" xfId="0" applyNumberFormat="1" applyFont="1" applyFill="1" applyBorder="1"/>
    <xf numFmtId="166" fontId="1" fillId="0" borderId="219" xfId="0" applyNumberFormat="1" applyFont="1" applyBorder="1"/>
    <xf numFmtId="0" fontId="78" fillId="0" borderId="21" xfId="0" applyFont="1" applyBorder="1"/>
    <xf numFmtId="0" fontId="78" fillId="0" borderId="218" xfId="0" applyFont="1" applyBorder="1"/>
    <xf numFmtId="182" fontId="1" fillId="0" borderId="219" xfId="0" applyNumberFormat="1" applyFont="1" applyBorder="1"/>
    <xf numFmtId="168" fontId="81" fillId="10" borderId="219" xfId="0" applyNumberFormat="1" applyFont="1" applyFill="1" applyBorder="1"/>
    <xf numFmtId="168" fontId="32" fillId="24" borderId="220" xfId="0" applyNumberFormat="1" applyFont="1" applyFill="1" applyBorder="1"/>
    <xf numFmtId="166" fontId="32" fillId="24" borderId="220" xfId="0" applyNumberFormat="1" applyFont="1" applyFill="1" applyBorder="1"/>
    <xf numFmtId="0" fontId="78" fillId="0" borderId="221" xfId="0" applyFont="1" applyBorder="1"/>
    <xf numFmtId="0" fontId="78" fillId="0" borderId="222" xfId="0" applyFont="1" applyBorder="1" applyAlignment="1">
      <alignment horizontal="center"/>
    </xf>
    <xf numFmtId="0" fontId="78" fillId="0" borderId="222" xfId="0" applyFont="1" applyBorder="1"/>
    <xf numFmtId="0" fontId="78" fillId="0" borderId="222" xfId="0" applyFont="1" applyBorder="1" applyAlignment="1">
      <alignment horizontal="left"/>
    </xf>
    <xf numFmtId="0" fontId="1" fillId="0" borderId="223" xfId="0" applyFont="1" applyBorder="1"/>
    <xf numFmtId="0" fontId="13" fillId="0" borderId="222" xfId="0" applyFont="1" applyBorder="1"/>
    <xf numFmtId="0" fontId="13" fillId="0" borderId="224" xfId="0" applyFont="1" applyBorder="1"/>
    <xf numFmtId="0" fontId="13" fillId="0" borderId="221" xfId="0" applyFont="1" applyBorder="1"/>
    <xf numFmtId="0" fontId="1" fillId="0" borderId="117" xfId="0" applyFont="1" applyBorder="1"/>
    <xf numFmtId="0" fontId="1" fillId="0" borderId="22" xfId="0" applyFont="1" applyBorder="1"/>
    <xf numFmtId="0" fontId="1" fillId="0" borderId="32" xfId="0" applyFont="1" applyBorder="1"/>
    <xf numFmtId="0" fontId="78" fillId="24" borderId="225" xfId="0" applyFont="1" applyFill="1" applyBorder="1"/>
    <xf numFmtId="0" fontId="78" fillId="24" borderId="226" xfId="0" applyFont="1" applyFill="1" applyBorder="1"/>
    <xf numFmtId="0" fontId="79" fillId="24" borderId="226" xfId="0" applyFont="1" applyFill="1" applyBorder="1" applyAlignment="1">
      <alignment horizontal="center"/>
    </xf>
    <xf numFmtId="0" fontId="78" fillId="24" borderId="226" xfId="0" applyFont="1" applyFill="1" applyBorder="1" applyAlignment="1">
      <alignment horizontal="center"/>
    </xf>
    <xf numFmtId="0" fontId="78" fillId="24" borderId="226" xfId="0" applyFont="1" applyFill="1" applyBorder="1" applyAlignment="1">
      <alignment horizontal="left"/>
    </xf>
    <xf numFmtId="0" fontId="1" fillId="24" borderId="226" xfId="0" applyFont="1" applyFill="1" applyBorder="1"/>
    <xf numFmtId="0" fontId="1" fillId="24" borderId="227" xfId="0" applyFont="1" applyFill="1" applyBorder="1"/>
    <xf numFmtId="0" fontId="13" fillId="0" borderId="189" xfId="0" applyFont="1" applyBorder="1"/>
    <xf numFmtId="0" fontId="78" fillId="24" borderId="228" xfId="0" applyFont="1" applyFill="1" applyBorder="1"/>
    <xf numFmtId="0" fontId="79" fillId="24" borderId="153" xfId="0" applyFont="1" applyFill="1" applyBorder="1" applyAlignment="1">
      <alignment horizontal="center"/>
    </xf>
    <xf numFmtId="0" fontId="78" fillId="24" borderId="153" xfId="0" applyFont="1" applyFill="1" applyBorder="1"/>
    <xf numFmtId="0" fontId="81" fillId="24" borderId="153" xfId="0" applyFont="1" applyFill="1" applyBorder="1" applyAlignment="1">
      <alignment horizontal="center"/>
    </xf>
    <xf numFmtId="0" fontId="81" fillId="24" borderId="229" xfId="0" applyFont="1" applyFill="1" applyBorder="1" applyAlignment="1">
      <alignment horizontal="center"/>
    </xf>
    <xf numFmtId="0" fontId="82" fillId="0" borderId="169" xfId="0" applyFont="1" applyBorder="1"/>
    <xf numFmtId="9" fontId="78" fillId="0" borderId="74" xfId="0" applyNumberFormat="1" applyFont="1" applyBorder="1"/>
    <xf numFmtId="176" fontId="78" fillId="0" borderId="74" xfId="0" applyNumberFormat="1" applyFont="1" applyBorder="1"/>
    <xf numFmtId="168" fontId="81" fillId="10" borderId="230" xfId="0" applyNumberFormat="1" applyFont="1" applyFill="1" applyBorder="1"/>
    <xf numFmtId="0" fontId="78" fillId="0" borderId="178" xfId="0" applyFont="1" applyBorder="1"/>
    <xf numFmtId="176" fontId="78" fillId="0" borderId="63" xfId="0" applyNumberFormat="1" applyFont="1" applyBorder="1"/>
    <xf numFmtId="0" fontId="78" fillId="0" borderId="63" xfId="0" applyFont="1" applyBorder="1" applyAlignment="1">
      <alignment horizontal="center"/>
    </xf>
    <xf numFmtId="9" fontId="78" fillId="0" borderId="63" xfId="0" applyNumberFormat="1" applyFont="1" applyBorder="1"/>
    <xf numFmtId="2" fontId="78" fillId="0" borderId="63" xfId="0" applyNumberFormat="1" applyFont="1" applyBorder="1"/>
    <xf numFmtId="187" fontId="78" fillId="0" borderId="63" xfId="0" applyNumberFormat="1" applyFont="1" applyBorder="1"/>
    <xf numFmtId="168" fontId="13" fillId="0" borderId="63" xfId="0" applyNumberFormat="1" applyFont="1" applyBorder="1"/>
    <xf numFmtId="168" fontId="13" fillId="0" borderId="179" xfId="0" applyNumberFormat="1" applyFont="1" applyBorder="1"/>
    <xf numFmtId="176" fontId="78" fillId="0" borderId="0" xfId="0" applyNumberFormat="1" applyFont="1"/>
    <xf numFmtId="0" fontId="78" fillId="0" borderId="0" xfId="0" applyFont="1" applyAlignment="1">
      <alignment horizontal="center"/>
    </xf>
    <xf numFmtId="9" fontId="78" fillId="0" borderId="0" xfId="0" applyNumberFormat="1" applyFont="1"/>
    <xf numFmtId="2" fontId="78" fillId="0" borderId="0" xfId="0" applyNumberFormat="1" applyFont="1"/>
    <xf numFmtId="187" fontId="78" fillId="0" borderId="0" xfId="0" applyNumberFormat="1" applyFont="1"/>
    <xf numFmtId="168" fontId="13" fillId="0" borderId="0" xfId="0" applyNumberFormat="1" applyFont="1"/>
    <xf numFmtId="0" fontId="13" fillId="24" borderId="231" xfId="0" applyFont="1" applyFill="1" applyBorder="1"/>
    <xf numFmtId="0" fontId="81" fillId="24" borderId="232" xfId="0" applyFont="1" applyFill="1" applyBorder="1" applyAlignment="1">
      <alignment horizontal="center"/>
    </xf>
    <xf numFmtId="0" fontId="81" fillId="24" borderId="231" xfId="0" applyFont="1" applyFill="1" applyBorder="1" applyAlignment="1">
      <alignment horizontal="center"/>
    </xf>
    <xf numFmtId="0" fontId="1" fillId="24" borderId="232" xfId="0" applyFont="1" applyFill="1" applyBorder="1"/>
    <xf numFmtId="0" fontId="81" fillId="0" borderId="0" xfId="0" applyFont="1" applyAlignment="1">
      <alignment horizontal="center"/>
    </xf>
    <xf numFmtId="0" fontId="81" fillId="24" borderId="233" xfId="0" applyFont="1" applyFill="1" applyBorder="1"/>
    <xf numFmtId="0" fontId="81" fillId="24" borderId="204" xfId="0" applyFont="1" applyFill="1" applyBorder="1" applyAlignment="1">
      <alignment horizontal="center"/>
    </xf>
    <xf numFmtId="0" fontId="81" fillId="24" borderId="233" xfId="0" applyFont="1" applyFill="1" applyBorder="1" applyAlignment="1">
      <alignment horizontal="center"/>
    </xf>
    <xf numFmtId="0" fontId="1" fillId="24" borderId="204" xfId="0" applyFont="1" applyFill="1" applyBorder="1"/>
    <xf numFmtId="0" fontId="78" fillId="0" borderId="234" xfId="0" applyFont="1" applyBorder="1"/>
    <xf numFmtId="182" fontId="13" fillId="0" borderId="26" xfId="0" applyNumberFormat="1" applyFont="1" applyBorder="1" applyAlignment="1">
      <alignment horizontal="center"/>
    </xf>
    <xf numFmtId="182" fontId="13" fillId="0" borderId="234" xfId="0" applyNumberFormat="1" applyFont="1" applyBorder="1" applyAlignment="1">
      <alignment horizontal="center"/>
    </xf>
    <xf numFmtId="182" fontId="1" fillId="0" borderId="26" xfId="0" applyNumberFormat="1" applyFont="1" applyBorder="1"/>
    <xf numFmtId="190" fontId="13" fillId="0" borderId="0" xfId="0" applyNumberFormat="1" applyFont="1" applyAlignment="1">
      <alignment horizontal="center"/>
    </xf>
    <xf numFmtId="0" fontId="78" fillId="0" borderId="235" xfId="0" applyFont="1" applyBorder="1"/>
    <xf numFmtId="168" fontId="1" fillId="0" borderId="0" xfId="0" applyNumberFormat="1" applyFont="1"/>
    <xf numFmtId="0" fontId="82" fillId="0" borderId="235" xfId="0" applyFont="1" applyBorder="1"/>
    <xf numFmtId="0" fontId="1" fillId="0" borderId="236" xfId="0" applyFont="1" applyBorder="1"/>
    <xf numFmtId="0" fontId="79" fillId="24" borderId="237" xfId="0" applyFont="1" applyFill="1" applyBorder="1"/>
    <xf numFmtId="182" fontId="13" fillId="24" borderId="238" xfId="0" applyNumberFormat="1" applyFont="1" applyFill="1" applyBorder="1" applyAlignment="1">
      <alignment horizontal="center"/>
    </xf>
    <xf numFmtId="182" fontId="13" fillId="24" borderId="237" xfId="0" applyNumberFormat="1" applyFont="1" applyFill="1" applyBorder="1"/>
    <xf numFmtId="182" fontId="13" fillId="24" borderId="237" xfId="0" applyNumberFormat="1" applyFont="1" applyFill="1" applyBorder="1" applyAlignment="1">
      <alignment horizontal="center"/>
    </xf>
    <xf numFmtId="182" fontId="81" fillId="24" borderId="238" xfId="0" applyNumberFormat="1" applyFont="1" applyFill="1" applyBorder="1"/>
    <xf numFmtId="182" fontId="33" fillId="24" borderId="237" xfId="0" applyNumberFormat="1" applyFont="1" applyFill="1" applyBorder="1" applyAlignment="1">
      <alignment horizontal="center"/>
    </xf>
    <xf numFmtId="182" fontId="1" fillId="24" borderId="238" xfId="0" applyNumberFormat="1" applyFont="1" applyFill="1" applyBorder="1"/>
    <xf numFmtId="182" fontId="81" fillId="24" borderId="237" xfId="0" applyNumberFormat="1" applyFont="1" applyFill="1" applyBorder="1" applyAlignment="1">
      <alignment horizontal="center"/>
    </xf>
    <xf numFmtId="43" fontId="81" fillId="0" borderId="0" xfId="0" applyNumberFormat="1" applyFont="1"/>
    <xf numFmtId="0" fontId="27" fillId="32" borderId="33" xfId="0" applyFont="1" applyFill="1" applyBorder="1"/>
    <xf numFmtId="0" fontId="1" fillId="32" borderId="33" xfId="0" applyFont="1" applyFill="1" applyBorder="1"/>
    <xf numFmtId="0" fontId="1" fillId="0" borderId="59" xfId="0" applyFont="1" applyBorder="1"/>
    <xf numFmtId="0" fontId="83" fillId="0" borderId="60" xfId="0" applyFont="1" applyBorder="1" applyAlignment="1">
      <alignment horizontal="center"/>
    </xf>
    <xf numFmtId="0" fontId="83" fillId="0" borderId="61" xfId="0" applyFont="1" applyBorder="1" applyAlignment="1">
      <alignment horizontal="center"/>
    </xf>
    <xf numFmtId="0" fontId="83" fillId="0" borderId="239" xfId="0" applyFont="1" applyBorder="1"/>
    <xf numFmtId="0" fontId="83" fillId="0" borderId="30" xfId="0" applyFont="1" applyBorder="1" applyAlignment="1">
      <alignment horizontal="center"/>
    </xf>
    <xf numFmtId="0" fontId="83" fillId="0" borderId="240" xfId="0" applyFont="1" applyBorder="1" applyAlignment="1">
      <alignment horizontal="center"/>
    </xf>
    <xf numFmtId="0" fontId="45" fillId="0" borderId="65" xfId="0" applyFont="1" applyBorder="1"/>
    <xf numFmtId="37" fontId="1" fillId="0" borderId="29" xfId="0" applyNumberFormat="1" applyFont="1" applyBorder="1"/>
    <xf numFmtId="2" fontId="1" fillId="0" borderId="29" xfId="0" applyNumberFormat="1" applyFont="1" applyBorder="1"/>
    <xf numFmtId="187" fontId="1" fillId="0" borderId="241" xfId="0" applyNumberFormat="1" applyFont="1" applyBorder="1"/>
    <xf numFmtId="43" fontId="1" fillId="0" borderId="242" xfId="0" applyNumberFormat="1" applyFont="1" applyBorder="1"/>
    <xf numFmtId="192" fontId="1" fillId="0" borderId="243" xfId="0" applyNumberFormat="1" applyFont="1" applyBorder="1"/>
    <xf numFmtId="168" fontId="9" fillId="0" borderId="0" xfId="0" applyNumberFormat="1" applyFont="1"/>
    <xf numFmtId="0" fontId="45" fillId="0" borderId="52" xfId="0" applyFont="1" applyBorder="1"/>
    <xf numFmtId="2" fontId="1" fillId="0" borderId="4" xfId="0" applyNumberFormat="1" applyFont="1" applyBorder="1"/>
    <xf numFmtId="187" fontId="1" fillId="0" borderId="2" xfId="0" applyNumberFormat="1" applyFont="1" applyBorder="1"/>
    <xf numFmtId="43" fontId="1" fillId="0" borderId="235" xfId="0" applyNumberFormat="1" applyFont="1" applyBorder="1"/>
    <xf numFmtId="192" fontId="1" fillId="0" borderId="122" xfId="0" applyNumberFormat="1" applyFont="1" applyBorder="1"/>
    <xf numFmtId="0" fontId="45" fillId="0" borderId="244" xfId="0" applyFont="1" applyBorder="1"/>
    <xf numFmtId="2" fontId="1" fillId="0" borderId="76" xfId="0" applyNumberFormat="1" applyFont="1" applyBorder="1"/>
    <xf numFmtId="187" fontId="1" fillId="0" borderId="140" xfId="0" applyNumberFormat="1" applyFont="1" applyBorder="1"/>
    <xf numFmtId="43" fontId="1" fillId="0" borderId="245" xfId="0" applyNumberFormat="1" applyFont="1" applyBorder="1"/>
    <xf numFmtId="192" fontId="1" fillId="0" borderId="246" xfId="0" applyNumberFormat="1" applyFont="1" applyBorder="1"/>
    <xf numFmtId="0" fontId="1" fillId="0" borderId="121" xfId="0" applyFont="1" applyBorder="1"/>
    <xf numFmtId="0" fontId="32" fillId="0" borderId="121" xfId="0" applyFont="1" applyBorder="1"/>
    <xf numFmtId="0" fontId="32" fillId="24" borderId="247" xfId="0" applyFont="1" applyFill="1" applyBorder="1"/>
    <xf numFmtId="192" fontId="32" fillId="24" borderId="248" xfId="0" applyNumberFormat="1" applyFont="1" applyFill="1" applyBorder="1"/>
    <xf numFmtId="0" fontId="38" fillId="32" borderId="33" xfId="0" applyFont="1" applyFill="1" applyBorder="1"/>
    <xf numFmtId="0" fontId="45" fillId="0" borderId="249" xfId="0" applyFont="1" applyBorder="1"/>
    <xf numFmtId="37" fontId="1" fillId="0" borderId="74" xfId="0" applyNumberFormat="1" applyFont="1" applyBorder="1"/>
    <xf numFmtId="174" fontId="1" fillId="0" borderId="74" xfId="0" applyNumberFormat="1" applyFont="1" applyBorder="1"/>
    <xf numFmtId="178" fontId="1" fillId="0" borderId="138" xfId="0" applyNumberFormat="1" applyFont="1" applyBorder="1"/>
    <xf numFmtId="176" fontId="1" fillId="0" borderId="242" xfId="0" applyNumberFormat="1" applyFont="1" applyBorder="1"/>
    <xf numFmtId="167" fontId="1" fillId="0" borderId="242" xfId="0" applyNumberFormat="1" applyFont="1" applyBorder="1" applyAlignment="1">
      <alignment horizontal="right"/>
    </xf>
    <xf numFmtId="176" fontId="9" fillId="0" borderId="0" xfId="0" applyNumberFormat="1" applyFont="1" applyAlignment="1">
      <alignment horizontal="center"/>
    </xf>
    <xf numFmtId="182" fontId="9" fillId="0" borderId="0" xfId="0" applyNumberFormat="1" applyFont="1"/>
    <xf numFmtId="174" fontId="1" fillId="0" borderId="4" xfId="0" applyNumberFormat="1" applyFont="1" applyBorder="1"/>
    <xf numFmtId="178" fontId="1" fillId="0" borderId="2" xfId="0" applyNumberFormat="1" applyFont="1" applyBorder="1"/>
    <xf numFmtId="176" fontId="1" fillId="0" borderId="235" xfId="0" applyNumberFormat="1" applyFont="1" applyBorder="1"/>
    <xf numFmtId="178" fontId="1" fillId="0" borderId="235" xfId="0" applyNumberFormat="1" applyFont="1" applyBorder="1" applyAlignment="1">
      <alignment horizontal="center"/>
    </xf>
    <xf numFmtId="174" fontId="1" fillId="0" borderId="76" xfId="0" applyNumberFormat="1" applyFont="1" applyBorder="1"/>
    <xf numFmtId="178" fontId="1" fillId="0" borderId="140" xfId="0" applyNumberFormat="1" applyFont="1" applyBorder="1"/>
    <xf numFmtId="176" fontId="1" fillId="0" borderId="245" xfId="0" applyNumberFormat="1" applyFont="1" applyBorder="1"/>
    <xf numFmtId="178" fontId="1" fillId="0" borderId="245" xfId="0" applyNumberFormat="1" applyFont="1" applyBorder="1" applyAlignment="1">
      <alignment horizontal="center"/>
    </xf>
    <xf numFmtId="178" fontId="32" fillId="24" borderId="247" xfId="0" applyNumberFormat="1" applyFont="1" applyFill="1" applyBorder="1"/>
    <xf numFmtId="168" fontId="84" fillId="0" borderId="0" xfId="0" applyNumberFormat="1" applyFont="1"/>
    <xf numFmtId="182" fontId="84" fillId="0" borderId="0" xfId="0" applyNumberFormat="1" applyFont="1"/>
    <xf numFmtId="174" fontId="1" fillId="0" borderId="29" xfId="0" applyNumberFormat="1" applyFont="1" applyBorder="1"/>
    <xf numFmtId="180" fontId="1" fillId="0" borderId="241" xfId="0" applyNumberFormat="1" applyFont="1" applyBorder="1"/>
    <xf numFmtId="167" fontId="1" fillId="0" borderId="243" xfId="0" applyNumberFormat="1" applyFont="1" applyBorder="1"/>
    <xf numFmtId="179" fontId="1" fillId="0" borderId="2" xfId="0" applyNumberFormat="1" applyFont="1" applyBorder="1"/>
    <xf numFmtId="178" fontId="1" fillId="0" borderId="122" xfId="0" applyNumberFormat="1" applyFont="1" applyBorder="1"/>
    <xf numFmtId="179" fontId="1" fillId="0" borderId="140" xfId="0" applyNumberFormat="1" applyFont="1" applyBorder="1"/>
    <xf numFmtId="178" fontId="1" fillId="0" borderId="246" xfId="0" applyNumberFormat="1" applyFont="1" applyBorder="1"/>
    <xf numFmtId="0" fontId="83" fillId="24" borderId="247" xfId="0" applyFont="1" applyFill="1" applyBorder="1" applyAlignment="1">
      <alignment horizontal="center"/>
    </xf>
    <xf numFmtId="178" fontId="32" fillId="24" borderId="248" xfId="0" applyNumberFormat="1" applyFont="1" applyFill="1" applyBorder="1"/>
    <xf numFmtId="0" fontId="27" fillId="22" borderId="33" xfId="0" applyFont="1" applyFill="1" applyBorder="1"/>
    <xf numFmtId="0" fontId="38" fillId="22" borderId="33" xfId="0" applyFont="1" applyFill="1" applyBorder="1"/>
    <xf numFmtId="0" fontId="1" fillId="0" borderId="250" xfId="0" applyFont="1" applyBorder="1"/>
    <xf numFmtId="0" fontId="32" fillId="0" borderId="61" xfId="0" applyFont="1" applyBorder="1" applyAlignment="1">
      <alignment horizontal="center"/>
    </xf>
    <xf numFmtId="0" fontId="32" fillId="0" borderId="251" xfId="0" applyFont="1" applyBorder="1" applyAlignment="1">
      <alignment horizontal="center"/>
    </xf>
    <xf numFmtId="0" fontId="32" fillId="0" borderId="240" xfId="0" applyFont="1" applyBorder="1" applyAlignment="1">
      <alignment horizontal="center"/>
    </xf>
    <xf numFmtId="190" fontId="1" fillId="0" borderId="66" xfId="0" applyNumberFormat="1" applyFont="1" applyBorder="1"/>
    <xf numFmtId="190" fontId="1" fillId="0" borderId="234" xfId="0" applyNumberFormat="1" applyFont="1" applyBorder="1" applyAlignment="1">
      <alignment horizontal="center"/>
    </xf>
    <xf numFmtId="178" fontId="9" fillId="0" borderId="0" xfId="0" applyNumberFormat="1" applyFont="1"/>
    <xf numFmtId="190" fontId="1" fillId="0" borderId="53" xfId="0" applyNumberFormat="1" applyFont="1" applyBorder="1"/>
    <xf numFmtId="190" fontId="1" fillId="0" borderId="235" xfId="0" applyNumberFormat="1" applyFont="1" applyBorder="1" applyAlignment="1">
      <alignment horizontal="center"/>
    </xf>
    <xf numFmtId="190" fontId="1" fillId="0" borderId="252" xfId="0" applyNumberFormat="1" applyFont="1" applyBorder="1"/>
    <xf numFmtId="190" fontId="1" fillId="0" borderId="245" xfId="0" applyNumberFormat="1" applyFont="1" applyBorder="1" applyAlignment="1">
      <alignment horizontal="center"/>
    </xf>
    <xf numFmtId="0" fontId="32" fillId="24" borderId="247" xfId="0" applyFont="1" applyFill="1" applyBorder="1" applyAlignment="1">
      <alignment horizontal="center"/>
    </xf>
    <xf numFmtId="43" fontId="32" fillId="24" borderId="247" xfId="0" applyNumberFormat="1" applyFont="1" applyFill="1" applyBorder="1"/>
    <xf numFmtId="178" fontId="32" fillId="0" borderId="0" xfId="0" applyNumberFormat="1" applyFont="1"/>
    <xf numFmtId="0" fontId="27" fillId="32" borderId="253" xfId="0" applyFont="1" applyFill="1" applyBorder="1"/>
    <xf numFmtId="0" fontId="1" fillId="32" borderId="232" xfId="0" applyFont="1" applyFill="1" applyBorder="1"/>
    <xf numFmtId="0" fontId="27" fillId="32" borderId="232" xfId="0" applyFont="1" applyFill="1" applyBorder="1"/>
    <xf numFmtId="0" fontId="27" fillId="0" borderId="120" xfId="0" applyFont="1" applyBorder="1"/>
    <xf numFmtId="0" fontId="1" fillId="0" borderId="120" xfId="0" applyFont="1" applyBorder="1"/>
    <xf numFmtId="0" fontId="1" fillId="0" borderId="254" xfId="0" applyFont="1" applyBorder="1"/>
    <xf numFmtId="0" fontId="1" fillId="0" borderId="255" xfId="0" applyFont="1" applyBorder="1"/>
    <xf numFmtId="0" fontId="1" fillId="0" borderId="256" xfId="0" applyFont="1" applyBorder="1"/>
    <xf numFmtId="0" fontId="83" fillId="0" borderId="149" xfId="0" applyFont="1" applyBorder="1" applyAlignment="1">
      <alignment horizontal="center"/>
    </xf>
    <xf numFmtId="0" fontId="83" fillId="0" borderId="150" xfId="0" applyFont="1" applyBorder="1" applyAlignment="1">
      <alignment horizontal="center"/>
    </xf>
    <xf numFmtId="0" fontId="83" fillId="0" borderId="257" xfId="0" applyFont="1" applyBorder="1" applyAlignment="1">
      <alignment horizontal="center"/>
    </xf>
    <xf numFmtId="0" fontId="83" fillId="0" borderId="258" xfId="0" applyFont="1" applyBorder="1" applyAlignment="1">
      <alignment horizontal="center"/>
    </xf>
    <xf numFmtId="0" fontId="83" fillId="0" borderId="259" xfId="0" applyFont="1" applyBorder="1" applyAlignment="1">
      <alignment horizontal="center"/>
    </xf>
    <xf numFmtId="0" fontId="83" fillId="0" borderId="260" xfId="0" applyFont="1" applyBorder="1" applyAlignment="1">
      <alignment horizontal="center"/>
    </xf>
    <xf numFmtId="0" fontId="83" fillId="0" borderId="261" xfId="0" applyFont="1" applyBorder="1" applyAlignment="1">
      <alignment horizontal="center"/>
    </xf>
    <xf numFmtId="39" fontId="1" fillId="0" borderId="234" xfId="0" applyNumberFormat="1" applyFont="1" applyBorder="1"/>
    <xf numFmtId="182" fontId="1" fillId="0" borderId="116" xfId="0" applyNumberFormat="1" applyFont="1" applyBorder="1"/>
    <xf numFmtId="182" fontId="1" fillId="0" borderId="122" xfId="0" applyNumberFormat="1" applyFont="1" applyBorder="1"/>
    <xf numFmtId="187" fontId="1" fillId="0" borderId="142" xfId="0" applyNumberFormat="1" applyFont="1" applyBorder="1"/>
    <xf numFmtId="43" fontId="1" fillId="0" borderId="262" xfId="0" applyNumberFormat="1" applyFont="1" applyBorder="1"/>
    <xf numFmtId="182" fontId="1" fillId="0" borderId="246" xfId="0" applyNumberFormat="1" applyFont="1" applyBorder="1"/>
    <xf numFmtId="0" fontId="1" fillId="0" borderId="263" xfId="0" applyFont="1" applyBorder="1"/>
    <xf numFmtId="0" fontId="83" fillId="24" borderId="264" xfId="0" applyFont="1" applyFill="1" applyBorder="1" applyAlignment="1">
      <alignment horizontal="center"/>
    </xf>
    <xf numFmtId="182" fontId="32" fillId="24" borderId="124" xfId="0" applyNumberFormat="1" applyFont="1" applyFill="1" applyBorder="1"/>
    <xf numFmtId="0" fontId="83" fillId="0" borderId="265" xfId="0" applyFont="1" applyBorder="1" applyAlignment="1">
      <alignment horizontal="center"/>
    </xf>
    <xf numFmtId="179" fontId="1" fillId="0" borderId="241" xfId="0" applyNumberFormat="1" applyFont="1" applyBorder="1"/>
    <xf numFmtId="0" fontId="9" fillId="0" borderId="0" xfId="0" applyFont="1" applyAlignment="1">
      <alignment horizontal="center"/>
    </xf>
    <xf numFmtId="176" fontId="1" fillId="0" borderId="121" xfId="0" applyNumberFormat="1" applyFont="1" applyBorder="1"/>
    <xf numFmtId="0" fontId="83" fillId="24" borderId="237" xfId="0" applyFont="1" applyFill="1" applyBorder="1" applyAlignment="1">
      <alignment horizontal="center"/>
    </xf>
    <xf numFmtId="182" fontId="32" fillId="24" borderId="266" xfId="0" applyNumberFormat="1" applyFont="1" applyFill="1" applyBorder="1"/>
    <xf numFmtId="0" fontId="1" fillId="0" borderId="267" xfId="0" applyFont="1" applyBorder="1"/>
    <xf numFmtId="0" fontId="83" fillId="0" borderId="39" xfId="0" applyFont="1" applyBorder="1" applyAlignment="1">
      <alignment horizontal="center"/>
    </xf>
    <xf numFmtId="0" fontId="83" fillId="0" borderId="84" xfId="0" applyFont="1" applyBorder="1" applyAlignment="1">
      <alignment horizontal="center"/>
    </xf>
    <xf numFmtId="0" fontId="83" fillId="0" borderId="268" xfId="0" applyFont="1" applyBorder="1"/>
    <xf numFmtId="0" fontId="83" fillId="0" borderId="24" xfId="0" applyFont="1" applyBorder="1" applyAlignment="1">
      <alignment horizontal="center"/>
    </xf>
    <xf numFmtId="0" fontId="83" fillId="0" borderId="269" xfId="0" applyFont="1" applyBorder="1" applyAlignment="1">
      <alignment horizontal="center"/>
    </xf>
    <xf numFmtId="43" fontId="45" fillId="0" borderId="138" xfId="0" applyNumberFormat="1" applyFont="1" applyBorder="1" applyAlignment="1">
      <alignment horizontal="center"/>
    </xf>
    <xf numFmtId="43" fontId="45" fillId="0" borderId="2" xfId="0" applyNumberFormat="1" applyFont="1" applyBorder="1" applyAlignment="1">
      <alignment horizontal="center"/>
    </xf>
    <xf numFmtId="0" fontId="1" fillId="0" borderId="122" xfId="0" applyFont="1" applyBorder="1"/>
    <xf numFmtId="176" fontId="1" fillId="0" borderId="262" xfId="0" applyNumberFormat="1" applyFont="1" applyBorder="1"/>
    <xf numFmtId="0" fontId="1" fillId="0" borderId="246" xfId="0" applyFont="1" applyBorder="1"/>
    <xf numFmtId="0" fontId="83" fillId="24" borderId="270" xfId="0" applyFont="1" applyFill="1" applyBorder="1" applyAlignment="1">
      <alignment horizontal="center"/>
    </xf>
    <xf numFmtId="0" fontId="32" fillId="24" borderId="271" xfId="0" applyFont="1" applyFill="1" applyBorder="1"/>
    <xf numFmtId="0" fontId="27" fillId="22" borderId="272" xfId="0" applyFont="1" applyFill="1" applyBorder="1"/>
    <xf numFmtId="0" fontId="1" fillId="22" borderId="273" xfId="0" applyFont="1" applyFill="1" applyBorder="1"/>
    <xf numFmtId="0" fontId="1" fillId="22" borderId="274" xfId="0" applyFont="1" applyFill="1" applyBorder="1"/>
    <xf numFmtId="0" fontId="1" fillId="0" borderId="275" xfId="0" applyFont="1" applyBorder="1"/>
    <xf numFmtId="0" fontId="1" fillId="0" borderId="46" xfId="0" applyFont="1" applyBorder="1"/>
    <xf numFmtId="0" fontId="32" fillId="0" borderId="60" xfId="0" applyFont="1" applyBorder="1" applyAlignment="1">
      <alignment horizontal="center"/>
    </xf>
    <xf numFmtId="0" fontId="1" fillId="0" borderId="85" xfId="0" applyFont="1" applyBorder="1"/>
    <xf numFmtId="0" fontId="83" fillId="0" borderId="4" xfId="0" applyFont="1" applyBorder="1" applyAlignment="1">
      <alignment horizontal="center"/>
    </xf>
    <xf numFmtId="0" fontId="83" fillId="0" borderId="134" xfId="0" applyFont="1" applyBorder="1" applyAlignment="1">
      <alignment horizontal="center"/>
    </xf>
    <xf numFmtId="0" fontId="83" fillId="0" borderId="251" xfId="0" applyFont="1" applyBorder="1" applyAlignment="1">
      <alignment horizontal="center"/>
    </xf>
    <xf numFmtId="0" fontId="83" fillId="0" borderId="276" xfId="0" applyFont="1" applyBorder="1"/>
    <xf numFmtId="0" fontId="83" fillId="0" borderId="76" xfId="0" applyFont="1" applyBorder="1" applyAlignment="1">
      <alignment horizontal="center"/>
    </xf>
    <xf numFmtId="0" fontId="45" fillId="0" borderId="277" xfId="0" applyFont="1" applyBorder="1"/>
    <xf numFmtId="193" fontId="1" fillId="0" borderId="29" xfId="0" applyNumberFormat="1" applyFont="1" applyBorder="1"/>
    <xf numFmtId="0" fontId="1" fillId="0" borderId="26" xfId="0" applyFont="1" applyBorder="1" applyAlignment="1">
      <alignment horizontal="center"/>
    </xf>
    <xf numFmtId="193" fontId="1" fillId="0" borderId="234" xfId="0" applyNumberFormat="1" applyFont="1" applyBorder="1"/>
    <xf numFmtId="182" fontId="1" fillId="0" borderId="243" xfId="0" applyNumberFormat="1" applyFont="1" applyBorder="1"/>
    <xf numFmtId="0" fontId="45" fillId="0" borderId="85" xfId="0" applyFont="1" applyBorder="1"/>
    <xf numFmtId="193" fontId="1" fillId="0" borderId="4" xfId="0" applyNumberFormat="1" applyFont="1" applyBorder="1"/>
    <xf numFmtId="0" fontId="1" fillId="0" borderId="28" xfId="0" applyFont="1" applyBorder="1" applyAlignment="1">
      <alignment horizontal="center"/>
    </xf>
    <xf numFmtId="193" fontId="1" fillId="0" borderId="235" xfId="0" applyNumberFormat="1" applyFont="1" applyBorder="1"/>
    <xf numFmtId="182" fontId="1" fillId="0" borderId="123" xfId="0" applyNumberFormat="1" applyFont="1" applyBorder="1"/>
    <xf numFmtId="0" fontId="1" fillId="0" borderId="278" xfId="0" applyFont="1" applyBorder="1"/>
    <xf numFmtId="0" fontId="1" fillId="0" borderId="279" xfId="0" applyFont="1" applyBorder="1"/>
    <xf numFmtId="0" fontId="83" fillId="0" borderId="270" xfId="0" applyFont="1" applyBorder="1" applyAlignment="1">
      <alignment horizontal="center"/>
    </xf>
    <xf numFmtId="182" fontId="32" fillId="0" borderId="280" xfId="0" applyNumberFormat="1" applyFont="1" applyBorder="1"/>
    <xf numFmtId="0" fontId="85" fillId="0" borderId="0" xfId="0" applyFont="1"/>
    <xf numFmtId="0" fontId="40" fillId="32" borderId="33" xfId="0" applyFont="1" applyFill="1" applyBorder="1"/>
    <xf numFmtId="0" fontId="15" fillId="32" borderId="33" xfId="0" applyFont="1" applyFill="1" applyBorder="1"/>
    <xf numFmtId="0" fontId="40" fillId="24" borderId="281" xfId="0" applyFont="1" applyFill="1" applyBorder="1"/>
    <xf numFmtId="0" fontId="86" fillId="24" borderId="282" xfId="0" applyFont="1" applyFill="1" applyBorder="1" applyAlignment="1">
      <alignment horizontal="center"/>
    </xf>
    <xf numFmtId="0" fontId="15" fillId="24" borderId="282" xfId="0" applyFont="1" applyFill="1" applyBorder="1"/>
    <xf numFmtId="0" fontId="15" fillId="24" borderId="283" xfId="0" applyFont="1" applyFill="1" applyBorder="1"/>
    <xf numFmtId="0" fontId="15" fillId="24" borderId="284" xfId="0" applyFont="1" applyFill="1" applyBorder="1"/>
    <xf numFmtId="0" fontId="86" fillId="24" borderId="153" xfId="0" applyFont="1" applyFill="1" applyBorder="1" applyAlignment="1">
      <alignment horizontal="center"/>
    </xf>
    <xf numFmtId="0" fontId="15" fillId="24" borderId="153" xfId="0" applyFont="1" applyFill="1" applyBorder="1"/>
    <xf numFmtId="0" fontId="83" fillId="24" borderId="153" xfId="0" applyFont="1" applyFill="1" applyBorder="1" applyAlignment="1">
      <alignment horizontal="center"/>
    </xf>
    <xf numFmtId="0" fontId="83" fillId="24" borderId="285" xfId="0" applyFont="1" applyFill="1" applyBorder="1" applyAlignment="1">
      <alignment horizontal="center"/>
    </xf>
    <xf numFmtId="0" fontId="83" fillId="0" borderId="0" xfId="0" applyFont="1" applyAlignment="1">
      <alignment horizontal="center"/>
    </xf>
    <xf numFmtId="0" fontId="86" fillId="24" borderId="286" xfId="0" applyFont="1" applyFill="1" applyBorder="1"/>
    <xf numFmtId="0" fontId="86" fillId="24" borderId="200" xfId="0" applyFont="1" applyFill="1" applyBorder="1" applyAlignment="1">
      <alignment horizontal="center"/>
    </xf>
    <xf numFmtId="0" fontId="83" fillId="24" borderId="287" xfId="0" applyFont="1" applyFill="1" applyBorder="1" applyAlignment="1">
      <alignment horizontal="center"/>
    </xf>
    <xf numFmtId="0" fontId="86" fillId="0" borderId="0" xfId="0" applyFont="1" applyAlignment="1">
      <alignment horizontal="center"/>
    </xf>
    <xf numFmtId="0" fontId="40" fillId="0" borderId="65" xfId="0" applyFont="1" applyBorder="1"/>
    <xf numFmtId="37" fontId="15" fillId="0" borderId="29" xfId="0" applyNumberFormat="1" applyFont="1" applyBorder="1"/>
    <xf numFmtId="176" fontId="87" fillId="27" borderId="4" xfId="0" applyNumberFormat="1" applyFont="1" applyFill="1" applyBorder="1"/>
    <xf numFmtId="37" fontId="15" fillId="0" borderId="29" xfId="0" applyNumberFormat="1" applyFont="1" applyBorder="1" applyAlignment="1">
      <alignment horizontal="center"/>
    </xf>
    <xf numFmtId="9" fontId="15" fillId="0" borderId="29" xfId="0" applyNumberFormat="1" applyFont="1" applyBorder="1" applyAlignment="1">
      <alignment horizontal="center"/>
    </xf>
    <xf numFmtId="2" fontId="15" fillId="0" borderId="29" xfId="0" applyNumberFormat="1" applyFont="1" applyBorder="1" applyAlignment="1">
      <alignment horizontal="center"/>
    </xf>
    <xf numFmtId="187" fontId="15" fillId="0" borderId="29" xfId="0" applyNumberFormat="1" applyFont="1" applyBorder="1" applyAlignment="1">
      <alignment horizontal="center"/>
    </xf>
    <xf numFmtId="39" fontId="1" fillId="0" borderId="29" xfId="0" applyNumberFormat="1" applyFont="1" applyBorder="1"/>
    <xf numFmtId="167" fontId="1" fillId="0" borderId="66" xfId="0" applyNumberFormat="1" applyFont="1" applyBorder="1"/>
    <xf numFmtId="0" fontId="15" fillId="0" borderId="0" xfId="0" applyFont="1" applyAlignment="1">
      <alignment horizontal="center"/>
    </xf>
    <xf numFmtId="1" fontId="15" fillId="0" borderId="0" xfId="0" applyNumberFormat="1" applyFont="1" applyAlignment="1">
      <alignment horizontal="center"/>
    </xf>
    <xf numFmtId="0" fontId="40" fillId="0" borderId="52" xfId="0" applyFont="1" applyBorder="1"/>
    <xf numFmtId="176" fontId="15" fillId="32" borderId="4" xfId="0" applyNumberFormat="1" applyFont="1" applyFill="1" applyBorder="1"/>
    <xf numFmtId="9" fontId="87" fillId="27" borderId="4" xfId="0" applyNumberFormat="1" applyFont="1" applyFill="1" applyBorder="1"/>
    <xf numFmtId="37" fontId="15" fillId="0" borderId="4" xfId="0" applyNumberFormat="1" applyFont="1" applyBorder="1" applyAlignment="1">
      <alignment horizontal="center"/>
    </xf>
    <xf numFmtId="9" fontId="15" fillId="0" borderId="4" xfId="0" applyNumberFormat="1" applyFont="1" applyBorder="1" applyAlignment="1">
      <alignment horizontal="center"/>
    </xf>
    <xf numFmtId="2" fontId="15" fillId="0" borderId="4" xfId="0" applyNumberFormat="1" applyFont="1" applyBorder="1" applyAlignment="1">
      <alignment horizontal="center"/>
    </xf>
    <xf numFmtId="187" fontId="15" fillId="0" borderId="4" xfId="0" applyNumberFormat="1" applyFont="1" applyBorder="1" applyAlignment="1">
      <alignment horizontal="center"/>
    </xf>
    <xf numFmtId="39" fontId="1" fillId="0" borderId="4" xfId="0" applyNumberFormat="1" applyFont="1" applyBorder="1"/>
    <xf numFmtId="178" fontId="1" fillId="0" borderId="53" xfId="0" applyNumberFormat="1" applyFont="1" applyBorder="1"/>
    <xf numFmtId="0" fontId="40" fillId="0" borderId="52" xfId="0" applyFont="1" applyBorder="1" applyAlignment="1">
      <alignment wrapText="1"/>
    </xf>
    <xf numFmtId="37" fontId="15" fillId="0" borderId="4" xfId="0" applyNumberFormat="1" applyFont="1" applyBorder="1"/>
    <xf numFmtId="167" fontId="1" fillId="0" borderId="53" xfId="0" applyNumberFormat="1" applyFont="1" applyBorder="1"/>
    <xf numFmtId="2" fontId="1" fillId="0" borderId="4" xfId="0" applyNumberFormat="1" applyFont="1" applyBorder="1" applyAlignment="1">
      <alignment horizontal="center"/>
    </xf>
    <xf numFmtId="37" fontId="15" fillId="38" borderId="4" xfId="0" applyNumberFormat="1" applyFont="1" applyFill="1" applyBorder="1"/>
    <xf numFmtId="176" fontId="15" fillId="0" borderId="4" xfId="0" applyNumberFormat="1" applyFont="1" applyBorder="1"/>
    <xf numFmtId="176" fontId="15" fillId="0" borderId="4" xfId="0" applyNumberFormat="1" applyFont="1" applyBorder="1" applyAlignment="1">
      <alignment horizontal="center"/>
    </xf>
    <xf numFmtId="187" fontId="15" fillId="0" borderId="1" xfId="0" applyNumberFormat="1" applyFont="1" applyBorder="1" applyAlignment="1">
      <alignment horizontal="center"/>
    </xf>
    <xf numFmtId="178" fontId="1" fillId="0" borderId="251" xfId="0" applyNumberFormat="1" applyFont="1" applyBorder="1"/>
    <xf numFmtId="0" fontId="15" fillId="0" borderId="52" xfId="0" applyFont="1" applyBorder="1"/>
    <xf numFmtId="0" fontId="87" fillId="0" borderId="4" xfId="0" applyFont="1" applyBorder="1"/>
    <xf numFmtId="0" fontId="49" fillId="24" borderId="144" xfId="0" applyFont="1" applyFill="1" applyBorder="1"/>
    <xf numFmtId="43" fontId="1" fillId="24" borderId="288" xfId="0" applyNumberFormat="1" applyFont="1" applyFill="1" applyBorder="1"/>
    <xf numFmtId="178" fontId="49" fillId="24" borderId="92" xfId="0" applyNumberFormat="1" applyFont="1" applyFill="1" applyBorder="1"/>
    <xf numFmtId="0" fontId="45" fillId="32" borderId="33" xfId="0" applyFont="1" applyFill="1" applyBorder="1"/>
    <xf numFmtId="0" fontId="45" fillId="24" borderId="281" xfId="0" applyFont="1" applyFill="1" applyBorder="1"/>
    <xf numFmtId="0" fontId="1" fillId="24" borderId="284" xfId="0" applyFont="1" applyFill="1" applyBorder="1"/>
    <xf numFmtId="0" fontId="83" fillId="24" borderId="286" xfId="0" applyFont="1" applyFill="1" applyBorder="1"/>
    <xf numFmtId="0" fontId="83" fillId="24" borderId="200" xfId="0" applyFont="1" applyFill="1" applyBorder="1" applyAlignment="1">
      <alignment horizontal="center"/>
    </xf>
    <xf numFmtId="3" fontId="15" fillId="0" borderId="29" xfId="0" applyNumberFormat="1" applyFont="1" applyBorder="1" applyAlignment="1">
      <alignment horizontal="center"/>
    </xf>
    <xf numFmtId="174" fontId="40" fillId="0" borderId="29" xfId="0" applyNumberFormat="1" applyFont="1" applyBorder="1" applyAlignment="1">
      <alignment horizontal="center"/>
    </xf>
    <xf numFmtId="2" fontId="15" fillId="0" borderId="29" xfId="0" applyNumberFormat="1" applyFont="1" applyBorder="1"/>
    <xf numFmtId="176" fontId="15" fillId="0" borderId="29" xfId="0" applyNumberFormat="1" applyFont="1" applyBorder="1"/>
    <xf numFmtId="182" fontId="1" fillId="0" borderId="66" xfId="0" applyNumberFormat="1" applyFont="1" applyBorder="1" applyAlignment="1">
      <alignment horizontal="center"/>
    </xf>
    <xf numFmtId="3" fontId="15" fillId="0" borderId="4" xfId="0" applyNumberFormat="1" applyFont="1" applyBorder="1" applyAlignment="1">
      <alignment horizontal="center"/>
    </xf>
    <xf numFmtId="174" fontId="40" fillId="0" borderId="4" xfId="0" applyNumberFormat="1" applyFont="1" applyBorder="1" applyAlignment="1">
      <alignment horizontal="center"/>
    </xf>
    <xf numFmtId="2" fontId="15" fillId="0" borderId="4" xfId="0" applyNumberFormat="1" applyFont="1" applyBorder="1"/>
    <xf numFmtId="182" fontId="1" fillId="0" borderId="53" xfId="0" applyNumberFormat="1" applyFont="1" applyBorder="1" applyAlignment="1">
      <alignment horizontal="center"/>
    </xf>
    <xf numFmtId="0" fontId="1" fillId="0" borderId="52" xfId="0" applyFont="1" applyBorder="1"/>
    <xf numFmtId="0" fontId="83" fillId="24" borderId="4" xfId="0" applyFont="1" applyFill="1" applyBorder="1" applyAlignment="1">
      <alignment horizontal="center"/>
    </xf>
    <xf numFmtId="178" fontId="32" fillId="24" borderId="53" xfId="0" applyNumberFormat="1" applyFont="1" applyFill="1" applyBorder="1" applyAlignment="1">
      <alignment horizontal="center"/>
    </xf>
    <xf numFmtId="168" fontId="32" fillId="0" borderId="0" xfId="0" applyNumberFormat="1" applyFont="1"/>
    <xf numFmtId="0" fontId="40" fillId="0" borderId="115" xfId="0" applyFont="1" applyBorder="1"/>
    <xf numFmtId="37" fontId="15" fillId="2" borderId="74" xfId="0" applyNumberFormat="1" applyFont="1" applyFill="1" applyBorder="1" applyAlignment="1">
      <alignment horizontal="center"/>
    </xf>
    <xf numFmtId="174" fontId="40" fillId="0" borderId="74" xfId="0" applyNumberFormat="1" applyFont="1" applyBorder="1" applyAlignment="1">
      <alignment horizontal="center"/>
    </xf>
    <xf numFmtId="178" fontId="15" fillId="0" borderId="68" xfId="0" applyNumberFormat="1" applyFont="1" applyBorder="1" applyAlignment="1">
      <alignment horizontal="center"/>
    </xf>
    <xf numFmtId="176" fontId="15" fillId="0" borderId="74" xfId="0" applyNumberFormat="1" applyFont="1" applyBorder="1"/>
    <xf numFmtId="167" fontId="1" fillId="0" borderId="116" xfId="0" applyNumberFormat="1" applyFont="1" applyBorder="1"/>
    <xf numFmtId="0" fontId="40" fillId="0" borderId="85" xfId="0" applyFont="1" applyBorder="1"/>
    <xf numFmtId="37" fontId="15" fillId="2" borderId="4" xfId="0" applyNumberFormat="1" applyFont="1" applyFill="1" applyBorder="1" applyAlignment="1">
      <alignment horizontal="center"/>
    </xf>
    <xf numFmtId="178" fontId="15" fillId="0" borderId="28" xfId="0" applyNumberFormat="1" applyFont="1" applyBorder="1" applyAlignment="1">
      <alignment horizontal="center"/>
    </xf>
    <xf numFmtId="0" fontId="40" fillId="0" borderId="85" xfId="0" applyFont="1" applyBorder="1" applyAlignment="1">
      <alignment wrapText="1"/>
    </xf>
    <xf numFmtId="167" fontId="1" fillId="0" borderId="122" xfId="0" applyNumberFormat="1" applyFont="1" applyBorder="1"/>
    <xf numFmtId="176" fontId="15" fillId="2" borderId="4" xfId="0" applyNumberFormat="1" applyFont="1" applyFill="1" applyBorder="1" applyAlignment="1">
      <alignment horizontal="center"/>
    </xf>
    <xf numFmtId="0" fontId="15" fillId="0" borderId="85" xfId="0" applyFont="1" applyBorder="1"/>
    <xf numFmtId="0" fontId="83" fillId="24" borderId="289" xfId="0" applyFont="1" applyFill="1" applyBorder="1" applyAlignment="1">
      <alignment horizontal="center"/>
    </xf>
    <xf numFmtId="178" fontId="32" fillId="24" borderId="126" xfId="0" applyNumberFormat="1" applyFont="1" applyFill="1" applyBorder="1"/>
    <xf numFmtId="0" fontId="15" fillId="0" borderId="100" xfId="0" applyFont="1" applyBorder="1"/>
    <xf numFmtId="0" fontId="15" fillId="0" borderId="121" xfId="0" applyFont="1" applyBorder="1"/>
    <xf numFmtId="0" fontId="15" fillId="0" borderId="290" xfId="0" applyFont="1" applyBorder="1"/>
    <xf numFmtId="0" fontId="40" fillId="22" borderId="33" xfId="0" applyFont="1" applyFill="1" applyBorder="1"/>
    <xf numFmtId="0" fontId="15" fillId="22" borderId="33" xfId="0" applyFont="1" applyFill="1" applyBorder="1"/>
    <xf numFmtId="0" fontId="40" fillId="24" borderId="45" xfId="0" applyFont="1" applyFill="1" applyBorder="1"/>
    <xf numFmtId="0" fontId="86" fillId="24" borderId="46" xfId="0" applyFont="1" applyFill="1" applyBorder="1" applyAlignment="1">
      <alignment horizontal="center"/>
    </xf>
    <xf numFmtId="0" fontId="49" fillId="24" borderId="46" xfId="0" applyFont="1" applyFill="1" applyBorder="1" applyAlignment="1">
      <alignment horizontal="center"/>
    </xf>
    <xf numFmtId="0" fontId="49" fillId="24" borderId="47" xfId="0" applyFont="1" applyFill="1" applyBorder="1" applyAlignment="1">
      <alignment horizontal="center"/>
    </xf>
    <xf numFmtId="0" fontId="15" fillId="24" borderId="52" xfId="0" applyFont="1" applyFill="1" applyBorder="1"/>
    <xf numFmtId="0" fontId="86" fillId="24" borderId="4" xfId="0" applyFont="1" applyFill="1" applyBorder="1" applyAlignment="1">
      <alignment horizontal="center"/>
    </xf>
    <xf numFmtId="0" fontId="83" fillId="24" borderId="53" xfId="0" applyFont="1" applyFill="1" applyBorder="1" applyAlignment="1">
      <alignment horizontal="center"/>
    </xf>
    <xf numFmtId="0" fontId="86" fillId="24" borderId="52" xfId="0" applyFont="1" applyFill="1" applyBorder="1"/>
    <xf numFmtId="3" fontId="15" fillId="2" borderId="4" xfId="0" applyNumberFormat="1" applyFont="1" applyFill="1" applyBorder="1" applyAlignment="1">
      <alignment horizontal="center"/>
    </xf>
    <xf numFmtId="167" fontId="15" fillId="0" borderId="4" xfId="0" applyNumberFormat="1" applyFont="1" applyBorder="1" applyAlignment="1">
      <alignment horizontal="center"/>
    </xf>
    <xf numFmtId="167" fontId="15" fillId="0" borderId="4" xfId="0" applyNumberFormat="1" applyFont="1" applyBorder="1"/>
    <xf numFmtId="176" fontId="15" fillId="38" borderId="4" xfId="0" applyNumberFormat="1" applyFont="1" applyFill="1" applyBorder="1"/>
    <xf numFmtId="0" fontId="15" fillId="0" borderId="54" xfId="0" applyFont="1" applyBorder="1"/>
    <xf numFmtId="0" fontId="15" fillId="0" borderId="55" xfId="0" applyFont="1" applyBorder="1"/>
    <xf numFmtId="167" fontId="49" fillId="0" borderId="55" xfId="0" applyNumberFormat="1" applyFont="1" applyBorder="1" applyAlignment="1">
      <alignment horizontal="center"/>
    </xf>
    <xf numFmtId="178" fontId="49" fillId="0" borderId="55" xfId="0" applyNumberFormat="1" applyFont="1" applyBorder="1" applyAlignment="1">
      <alignment horizontal="center"/>
    </xf>
    <xf numFmtId="167" fontId="32" fillId="0" borderId="55" xfId="0" applyNumberFormat="1" applyFont="1" applyBorder="1" applyAlignment="1">
      <alignment horizontal="center"/>
    </xf>
    <xf numFmtId="167" fontId="32" fillId="5" borderId="56" xfId="0" applyNumberFormat="1" applyFont="1" applyFill="1" applyBorder="1" applyAlignment="1">
      <alignment horizontal="center"/>
    </xf>
    <xf numFmtId="0" fontId="88" fillId="0" borderId="0" xfId="0" applyFont="1"/>
    <xf numFmtId="0" fontId="89" fillId="0" borderId="0" xfId="0" applyFont="1"/>
    <xf numFmtId="0" fontId="83" fillId="0" borderId="0" xfId="0" applyFont="1"/>
    <xf numFmtId="0" fontId="27" fillId="24" borderId="136" xfId="0" applyFont="1" applyFill="1" applyBorder="1"/>
    <xf numFmtId="0" fontId="1" fillId="24" borderId="118" xfId="0" applyFont="1" applyFill="1" applyBorder="1"/>
    <xf numFmtId="0" fontId="1" fillId="24" borderId="137" xfId="0" applyFont="1" applyFill="1" applyBorder="1"/>
    <xf numFmtId="0" fontId="7" fillId="0" borderId="0" xfId="0" applyFont="1"/>
    <xf numFmtId="0" fontId="7" fillId="0" borderId="20" xfId="0" applyFont="1" applyBorder="1"/>
    <xf numFmtId="0" fontId="19" fillId="0" borderId="0" xfId="0" applyFont="1" applyAlignment="1">
      <alignment horizontal="center" vertical="center" wrapText="1"/>
    </xf>
    <xf numFmtId="0" fontId="19" fillId="0" borderId="0" xfId="0" applyFont="1" applyAlignment="1">
      <alignment horizontal="center"/>
    </xf>
    <xf numFmtId="0" fontId="19" fillId="0" borderId="0" xfId="0" applyFont="1" applyAlignment="1">
      <alignment horizontal="center" wrapText="1"/>
    </xf>
    <xf numFmtId="0" fontId="7" fillId="0" borderId="19" xfId="0" applyFont="1" applyBorder="1"/>
    <xf numFmtId="176" fontId="7" fillId="0" borderId="4" xfId="0" applyNumberFormat="1" applyFont="1" applyBorder="1"/>
    <xf numFmtId="0" fontId="7" fillId="0" borderId="0" xfId="0" applyFont="1" applyAlignment="1">
      <alignment horizontal="center"/>
    </xf>
    <xf numFmtId="182" fontId="7" fillId="0" borderId="4" xfId="0" applyNumberFormat="1" applyFont="1" applyBorder="1"/>
    <xf numFmtId="0" fontId="7" fillId="0" borderId="0" xfId="0" quotePrefix="1" applyFont="1" applyAlignment="1">
      <alignment horizontal="center"/>
    </xf>
    <xf numFmtId="43" fontId="7" fillId="0" borderId="0" xfId="0" applyNumberFormat="1" applyFont="1"/>
    <xf numFmtId="176" fontId="7" fillId="0" borderId="4" xfId="0" applyNumberFormat="1" applyFont="1" applyBorder="1" applyAlignment="1">
      <alignment horizontal="right"/>
    </xf>
    <xf numFmtId="0" fontId="19" fillId="0" borderId="0" xfId="0" applyFont="1"/>
    <xf numFmtId="0" fontId="19" fillId="0" borderId="29" xfId="0" applyFont="1" applyBorder="1" applyAlignment="1">
      <alignment horizontal="right"/>
    </xf>
    <xf numFmtId="0" fontId="19" fillId="39" borderId="27" xfId="0" applyFont="1" applyFill="1" applyBorder="1" applyAlignment="1">
      <alignment horizontal="right"/>
    </xf>
    <xf numFmtId="0" fontId="7" fillId="0" borderId="29" xfId="0" applyFont="1" applyBorder="1" applyAlignment="1">
      <alignment horizontal="right"/>
    </xf>
    <xf numFmtId="0" fontId="19" fillId="0" borderId="19" xfId="0" applyFont="1" applyBorder="1" applyAlignment="1">
      <alignment horizontal="center" wrapText="1"/>
    </xf>
    <xf numFmtId="0" fontId="7" fillId="0" borderId="20" xfId="0" applyFont="1" applyBorder="1" applyAlignment="1">
      <alignment horizontal="left"/>
    </xf>
    <xf numFmtId="175" fontId="7" fillId="0" borderId="4" xfId="0" applyNumberFormat="1" applyFont="1" applyBorder="1"/>
    <xf numFmtId="176" fontId="7" fillId="0" borderId="51" xfId="0" applyNumberFormat="1" applyFont="1" applyBorder="1"/>
    <xf numFmtId="0" fontId="1" fillId="0" borderId="29" xfId="0" applyFont="1" applyBorder="1" applyAlignment="1">
      <alignment horizontal="right"/>
    </xf>
    <xf numFmtId="2" fontId="1" fillId="0" borderId="27" xfId="0" applyNumberFormat="1" applyFont="1" applyBorder="1" applyAlignment="1">
      <alignment horizontal="right"/>
    </xf>
    <xf numFmtId="43" fontId="7" fillId="0" borderId="4" xfId="0" applyNumberFormat="1" applyFont="1" applyBorder="1"/>
    <xf numFmtId="0" fontId="21" fillId="0" borderId="4" xfId="0" applyFont="1" applyBorder="1" applyAlignment="1">
      <alignment horizontal="center" wrapText="1"/>
    </xf>
    <xf numFmtId="0" fontId="19" fillId="0" borderId="4" xfId="0" applyFont="1" applyBorder="1" applyAlignment="1">
      <alignment horizontal="center" wrapText="1"/>
    </xf>
    <xf numFmtId="0" fontId="21" fillId="0" borderId="51" xfId="0" applyFont="1" applyBorder="1" applyAlignment="1">
      <alignment horizontal="center" wrapText="1"/>
    </xf>
    <xf numFmtId="0" fontId="7" fillId="0" borderId="21" xfId="0" applyFont="1" applyBorder="1" applyAlignment="1">
      <alignment horizontal="center"/>
    </xf>
    <xf numFmtId="0" fontId="7" fillId="0" borderId="4" xfId="0" quotePrefix="1" applyFont="1" applyBorder="1" applyAlignment="1">
      <alignment horizontal="center"/>
    </xf>
    <xf numFmtId="9" fontId="7" fillId="0" borderId="4" xfId="0" applyNumberFormat="1" applyFont="1" applyBorder="1" applyAlignment="1">
      <alignment horizontal="right"/>
    </xf>
    <xf numFmtId="176" fontId="19" fillId="0" borderId="51" xfId="0" applyNumberFormat="1" applyFont="1" applyBorder="1" applyAlignment="1">
      <alignment horizontal="right"/>
    </xf>
    <xf numFmtId="0" fontId="5" fillId="0" borderId="21" xfId="0" applyFont="1" applyBorder="1"/>
    <xf numFmtId="0" fontId="5" fillId="0" borderId="51" xfId="0" applyFont="1" applyBorder="1"/>
    <xf numFmtId="0" fontId="19" fillId="0" borderId="0" xfId="0" applyFont="1" applyAlignment="1">
      <alignment horizontal="center" vertical="center"/>
    </xf>
    <xf numFmtId="0" fontId="7" fillId="0" borderId="0" xfId="0" applyFont="1" applyAlignment="1">
      <alignment vertical="center"/>
    </xf>
    <xf numFmtId="0" fontId="19" fillId="0" borderId="19" xfId="0" applyFont="1" applyBorder="1" applyAlignment="1">
      <alignment horizontal="center" vertical="center" wrapText="1"/>
    </xf>
    <xf numFmtId="0" fontId="7" fillId="0" borderId="20" xfId="0" applyFont="1" applyBorder="1" applyAlignment="1">
      <alignment horizontal="center"/>
    </xf>
    <xf numFmtId="178" fontId="7" fillId="0" borderId="4" xfId="0" applyNumberFormat="1" applyFont="1" applyBorder="1"/>
    <xf numFmtId="37" fontId="9" fillId="0" borderId="4" xfId="0" applyNumberFormat="1" applyFont="1" applyBorder="1" applyAlignment="1">
      <alignment horizontal="right"/>
    </xf>
    <xf numFmtId="0" fontId="90" fillId="0" borderId="0" xfId="0" applyFont="1" applyAlignment="1">
      <alignment horizontal="center"/>
    </xf>
    <xf numFmtId="182" fontId="9" fillId="0" borderId="4" xfId="0" applyNumberFormat="1" applyFont="1" applyBorder="1"/>
    <xf numFmtId="0" fontId="1" fillId="0" borderId="0" xfId="0" quotePrefix="1" applyFont="1" applyAlignment="1">
      <alignment horizontal="center"/>
    </xf>
    <xf numFmtId="176" fontId="9" fillId="0" borderId="4" xfId="0" applyNumberFormat="1" applyFont="1" applyBorder="1"/>
    <xf numFmtId="176" fontId="9" fillId="0" borderId="51" xfId="0" applyNumberFormat="1" applyFont="1" applyBorder="1"/>
    <xf numFmtId="0" fontId="45" fillId="0" borderId="45" xfId="0" applyFont="1" applyBorder="1"/>
    <xf numFmtId="0" fontId="83" fillId="0" borderId="47" xfId="0" applyFont="1" applyBorder="1" applyAlignment="1">
      <alignment horizontal="center"/>
    </xf>
    <xf numFmtId="0" fontId="45" fillId="12" borderId="52" xfId="0" applyFont="1" applyFill="1" applyBorder="1"/>
    <xf numFmtId="176" fontId="45" fillId="12" borderId="53" xfId="0" applyNumberFormat="1" applyFont="1" applyFill="1" applyBorder="1" applyAlignment="1">
      <alignment horizontal="right"/>
    </xf>
    <xf numFmtId="0" fontId="45" fillId="0" borderId="52" xfId="0" applyFont="1" applyBorder="1" applyAlignment="1">
      <alignment horizontal="left"/>
    </xf>
    <xf numFmtId="37" fontId="45" fillId="0" borderId="53" xfId="0" applyNumberFormat="1" applyFont="1" applyBorder="1" applyAlignment="1">
      <alignment horizontal="right"/>
    </xf>
    <xf numFmtId="176" fontId="45" fillId="0" borderId="53" xfId="0" applyNumberFormat="1" applyFont="1" applyBorder="1" applyAlignment="1">
      <alignment horizontal="right"/>
    </xf>
    <xf numFmtId="0" fontId="45" fillId="27" borderId="52" xfId="0" applyFont="1" applyFill="1" applyBorder="1"/>
    <xf numFmtId="37" fontId="45" fillId="27" borderId="53" xfId="0" applyNumberFormat="1" applyFont="1" applyFill="1" applyBorder="1" applyAlignment="1">
      <alignment horizontal="right"/>
    </xf>
    <xf numFmtId="0" fontId="45" fillId="22" borderId="52" xfId="0" applyFont="1" applyFill="1" applyBorder="1"/>
    <xf numFmtId="176" fontId="45" fillId="22" borderId="53" xfId="0" applyNumberFormat="1" applyFont="1" applyFill="1" applyBorder="1" applyAlignment="1">
      <alignment horizontal="right"/>
    </xf>
    <xf numFmtId="0" fontId="45" fillId="0" borderId="52" xfId="0" applyFont="1" applyBorder="1" applyAlignment="1">
      <alignment horizontal="left" wrapText="1"/>
    </xf>
    <xf numFmtId="0" fontId="83" fillId="4" borderId="54" xfId="0" applyFont="1" applyFill="1" applyBorder="1"/>
    <xf numFmtId="176" fontId="45" fillId="4" borderId="56" xfId="0" applyNumberFormat="1" applyFont="1" applyFill="1" applyBorder="1" applyAlignment="1">
      <alignment horizontal="right"/>
    </xf>
    <xf numFmtId="0" fontId="32" fillId="0" borderId="46" xfId="0" applyFont="1" applyBorder="1" applyAlignment="1">
      <alignment horizontal="center" vertical="top" wrapText="1"/>
    </xf>
    <xf numFmtId="0" fontId="32" fillId="0" borderId="47" xfId="0" applyFont="1" applyBorder="1" applyAlignment="1">
      <alignment horizontal="center" vertical="top" wrapText="1"/>
    </xf>
    <xf numFmtId="0" fontId="91" fillId="0" borderId="52" xfId="0" applyFont="1" applyBorder="1" applyAlignment="1">
      <alignment vertical="top" wrapText="1"/>
    </xf>
    <xf numFmtId="0" fontId="32" fillId="0" borderId="49" xfId="0" applyFont="1" applyBorder="1" applyAlignment="1">
      <alignment horizontal="center" vertical="top" wrapText="1"/>
    </xf>
    <xf numFmtId="0" fontId="32" fillId="0" borderId="50" xfId="0" applyFont="1" applyBorder="1" applyAlignment="1">
      <alignment horizontal="center" vertical="top" wrapText="1"/>
    </xf>
    <xf numFmtId="0" fontId="92" fillId="0" borderId="0" xfId="0" quotePrefix="1" applyFont="1"/>
    <xf numFmtId="0" fontId="34" fillId="10" borderId="291" xfId="0" applyFont="1" applyFill="1" applyBorder="1"/>
    <xf numFmtId="0" fontId="93" fillId="10" borderId="163" xfId="0" applyFont="1" applyFill="1" applyBorder="1" applyAlignment="1">
      <alignment wrapText="1"/>
    </xf>
    <xf numFmtId="0" fontId="93" fillId="10" borderId="292" xfId="0" applyFont="1" applyFill="1" applyBorder="1" applyAlignment="1">
      <alignment wrapText="1"/>
    </xf>
    <xf numFmtId="0" fontId="92" fillId="0" borderId="0" xfId="0" applyFont="1"/>
    <xf numFmtId="0" fontId="34" fillId="0" borderId="65" xfId="0" applyFont="1" applyBorder="1"/>
    <xf numFmtId="0" fontId="93" fillId="0" borderId="29" xfId="0" applyFont="1" applyBorder="1" applyAlignment="1">
      <alignment wrapText="1"/>
    </xf>
    <xf numFmtId="0" fontId="93" fillId="0" borderId="66" xfId="0" applyFont="1" applyBorder="1" applyAlignment="1">
      <alignment wrapText="1"/>
    </xf>
    <xf numFmtId="0" fontId="1" fillId="0" borderId="52" xfId="0" applyFont="1" applyBorder="1" applyAlignment="1">
      <alignment wrapText="1"/>
    </xf>
    <xf numFmtId="194" fontId="93" fillId="0" borderId="4" xfId="0" applyNumberFormat="1" applyFont="1" applyBorder="1" applyAlignment="1">
      <alignment wrapText="1"/>
    </xf>
    <xf numFmtId="0" fontId="1" fillId="0" borderId="4" xfId="0" applyFont="1" applyBorder="1" applyAlignment="1">
      <alignment horizontal="center" vertical="top" wrapText="1"/>
    </xf>
    <xf numFmtId="195" fontId="93" fillId="0" borderId="4" xfId="0" applyNumberFormat="1" applyFont="1" applyBorder="1" applyAlignment="1">
      <alignment wrapText="1"/>
    </xf>
    <xf numFmtId="196" fontId="93" fillId="0" borderId="4" xfId="0" applyNumberFormat="1" applyFont="1" applyBorder="1" applyAlignment="1">
      <alignment wrapText="1"/>
    </xf>
    <xf numFmtId="196" fontId="93" fillId="0" borderId="53" xfId="0" applyNumberFormat="1" applyFont="1" applyBorder="1" applyAlignment="1">
      <alignment wrapText="1"/>
    </xf>
    <xf numFmtId="194" fontId="93" fillId="0" borderId="53" xfId="0" applyNumberFormat="1" applyFont="1" applyBorder="1" applyAlignment="1">
      <alignment wrapText="1"/>
    </xf>
    <xf numFmtId="0" fontId="1" fillId="0" borderId="52" xfId="0" applyFont="1" applyBorder="1" applyAlignment="1">
      <alignment horizontal="left" wrapText="1"/>
    </xf>
    <xf numFmtId="187" fontId="94" fillId="0" borderId="4" xfId="0" applyNumberFormat="1" applyFont="1" applyBorder="1" applyAlignment="1">
      <alignment wrapText="1"/>
    </xf>
    <xf numFmtId="194" fontId="94" fillId="34" borderId="4" xfId="0" applyNumberFormat="1" applyFont="1" applyFill="1" applyBorder="1" applyAlignment="1">
      <alignment wrapText="1"/>
    </xf>
    <xf numFmtId="196" fontId="93" fillId="34" borderId="4" xfId="0" applyNumberFormat="1" applyFont="1" applyFill="1" applyBorder="1" applyAlignment="1">
      <alignment wrapText="1"/>
    </xf>
    <xf numFmtId="196" fontId="93" fillId="34" borderId="53" xfId="0" applyNumberFormat="1" applyFont="1" applyFill="1" applyBorder="1" applyAlignment="1">
      <alignment wrapText="1"/>
    </xf>
    <xf numFmtId="2" fontId="93" fillId="0" borderId="4" xfId="0" applyNumberFormat="1" applyFont="1" applyBorder="1" applyAlignment="1">
      <alignment wrapText="1"/>
    </xf>
    <xf numFmtId="197" fontId="93" fillId="0" borderId="4" xfId="0" applyNumberFormat="1" applyFont="1" applyBorder="1" applyAlignment="1">
      <alignment wrapText="1"/>
    </xf>
    <xf numFmtId="195" fontId="93" fillId="0" borderId="53" xfId="0" applyNumberFormat="1" applyFont="1" applyBorder="1" applyAlignment="1">
      <alignment wrapText="1"/>
    </xf>
    <xf numFmtId="176" fontId="95" fillId="0" borderId="4" xfId="0" applyNumberFormat="1" applyFont="1" applyBorder="1"/>
    <xf numFmtId="197" fontId="93" fillId="0" borderId="53" xfId="0" applyNumberFormat="1" applyFont="1" applyBorder="1" applyAlignment="1">
      <alignment wrapText="1"/>
    </xf>
    <xf numFmtId="0" fontId="1" fillId="0" borderId="48" xfId="0" applyFont="1" applyBorder="1" applyAlignment="1">
      <alignment wrapText="1"/>
    </xf>
    <xf numFmtId="194" fontId="93" fillId="0" borderId="49" xfId="0" applyNumberFormat="1" applyFont="1" applyBorder="1" applyAlignment="1">
      <alignment wrapText="1"/>
    </xf>
    <xf numFmtId="195" fontId="93" fillId="0" borderId="49" xfId="0" applyNumberFormat="1" applyFont="1" applyBorder="1" applyAlignment="1">
      <alignment wrapText="1"/>
    </xf>
    <xf numFmtId="176" fontId="95" fillId="0" borderId="49" xfId="0" applyNumberFormat="1" applyFont="1" applyBorder="1"/>
    <xf numFmtId="196" fontId="93" fillId="0" borderId="49" xfId="0" applyNumberFormat="1" applyFont="1" applyBorder="1" applyAlignment="1">
      <alignment wrapText="1"/>
    </xf>
    <xf numFmtId="196" fontId="93" fillId="0" borderId="50" xfId="0" applyNumberFormat="1" applyFont="1" applyBorder="1" applyAlignment="1">
      <alignment wrapText="1"/>
    </xf>
    <xf numFmtId="0" fontId="32" fillId="26" borderId="293" xfId="0" applyFont="1" applyFill="1" applyBorder="1" applyAlignment="1">
      <alignment horizontal="left" wrapText="1"/>
    </xf>
    <xf numFmtId="194" fontId="93" fillId="26" borderId="294" xfId="0" applyNumberFormat="1" applyFont="1" applyFill="1" applyBorder="1" applyAlignment="1">
      <alignment wrapText="1"/>
    </xf>
    <xf numFmtId="195" fontId="93" fillId="26" borderId="294" xfId="0" applyNumberFormat="1" applyFont="1" applyFill="1" applyBorder="1" applyAlignment="1">
      <alignment wrapText="1"/>
    </xf>
    <xf numFmtId="176" fontId="96" fillId="26" borderId="294" xfId="0" applyNumberFormat="1" applyFont="1" applyFill="1" applyBorder="1"/>
    <xf numFmtId="196" fontId="94" fillId="26" borderId="294" xfId="0" applyNumberFormat="1" applyFont="1" applyFill="1" applyBorder="1" applyAlignment="1">
      <alignment wrapText="1"/>
    </xf>
    <xf numFmtId="196" fontId="94" fillId="26" borderId="295" xfId="0" applyNumberFormat="1" applyFont="1" applyFill="1" applyBorder="1" applyAlignment="1">
      <alignment wrapText="1"/>
    </xf>
    <xf numFmtId="0" fontId="1" fillId="0" borderId="296" xfId="0" applyFont="1" applyBorder="1" applyAlignment="1">
      <alignment wrapText="1"/>
    </xf>
    <xf numFmtId="194" fontId="93" fillId="0" borderId="134" xfId="0" applyNumberFormat="1" applyFont="1" applyBorder="1" applyAlignment="1">
      <alignment wrapText="1"/>
    </xf>
    <xf numFmtId="195" fontId="93" fillId="0" borderId="134" xfId="0" applyNumberFormat="1" applyFont="1" applyBorder="1" applyAlignment="1">
      <alignment wrapText="1"/>
    </xf>
    <xf numFmtId="176" fontId="95" fillId="0" borderId="134" xfId="0" applyNumberFormat="1" applyFont="1" applyBorder="1"/>
    <xf numFmtId="196" fontId="93" fillId="0" borderId="134" xfId="0" applyNumberFormat="1" applyFont="1" applyBorder="1" applyAlignment="1">
      <alignment wrapText="1"/>
    </xf>
    <xf numFmtId="196" fontId="93" fillId="0" borderId="251" xfId="0" applyNumberFormat="1" applyFont="1" applyBorder="1" applyAlignment="1">
      <alignment wrapText="1"/>
    </xf>
    <xf numFmtId="0" fontId="32" fillId="32" borderId="297" xfId="0" applyFont="1" applyFill="1" applyBorder="1" applyAlignment="1">
      <alignment horizontal="left" wrapText="1"/>
    </xf>
    <xf numFmtId="194" fontId="93" fillId="32" borderId="91" xfId="0" applyNumberFormat="1" applyFont="1" applyFill="1" applyBorder="1" applyAlignment="1">
      <alignment wrapText="1"/>
    </xf>
    <xf numFmtId="195" fontId="93" fillId="32" borderId="91" xfId="0" applyNumberFormat="1" applyFont="1" applyFill="1" applyBorder="1" applyAlignment="1">
      <alignment wrapText="1"/>
    </xf>
    <xf numFmtId="194" fontId="97" fillId="32" borderId="91" xfId="0" applyNumberFormat="1" applyFont="1" applyFill="1" applyBorder="1" applyAlignment="1">
      <alignment wrapText="1"/>
    </xf>
    <xf numFmtId="196" fontId="97" fillId="32" borderId="91" xfId="0" applyNumberFormat="1" applyFont="1" applyFill="1" applyBorder="1" applyAlignment="1">
      <alignment wrapText="1"/>
    </xf>
    <xf numFmtId="196" fontId="97" fillId="32" borderId="92" xfId="0" applyNumberFormat="1" applyFont="1" applyFill="1" applyBorder="1" applyAlignment="1">
      <alignment wrapText="1"/>
    </xf>
    <xf numFmtId="197" fontId="93" fillId="0" borderId="134" xfId="0" applyNumberFormat="1" applyFont="1" applyBorder="1" applyAlignment="1">
      <alignment wrapText="1"/>
    </xf>
    <xf numFmtId="195" fontId="93" fillId="0" borderId="251" xfId="0" applyNumberFormat="1" applyFont="1" applyBorder="1" applyAlignment="1">
      <alignment wrapText="1"/>
    </xf>
    <xf numFmtId="0" fontId="32" fillId="31" borderId="297" xfId="0" applyFont="1" applyFill="1" applyBorder="1" applyAlignment="1">
      <alignment horizontal="left"/>
    </xf>
    <xf numFmtId="194" fontId="94" fillId="31" borderId="91" xfId="0" applyNumberFormat="1" applyFont="1" applyFill="1" applyBorder="1" applyAlignment="1">
      <alignment wrapText="1"/>
    </xf>
    <xf numFmtId="195" fontId="94" fillId="31" borderId="91" xfId="0" applyNumberFormat="1" applyFont="1" applyFill="1" applyBorder="1" applyAlignment="1">
      <alignment wrapText="1"/>
    </xf>
    <xf numFmtId="197" fontId="93" fillId="31" borderId="91" xfId="0" applyNumberFormat="1" applyFont="1" applyFill="1" applyBorder="1" applyAlignment="1">
      <alignment wrapText="1"/>
    </xf>
    <xf numFmtId="195" fontId="93" fillId="31" borderId="92" xfId="0" applyNumberFormat="1" applyFont="1" applyFill="1" applyBorder="1" applyAlignment="1">
      <alignment wrapText="1"/>
    </xf>
    <xf numFmtId="0" fontId="32" fillId="0" borderId="65" xfId="0" applyFont="1" applyBorder="1" applyAlignment="1">
      <alignment horizontal="center" wrapText="1"/>
    </xf>
    <xf numFmtId="194" fontId="94" fillId="0" borderId="29" xfId="0" applyNumberFormat="1" applyFont="1" applyBorder="1" applyAlignment="1">
      <alignment wrapText="1"/>
    </xf>
    <xf numFmtId="195" fontId="94" fillId="0" borderId="29" xfId="0" applyNumberFormat="1" applyFont="1" applyBorder="1" applyAlignment="1">
      <alignment wrapText="1"/>
    </xf>
    <xf numFmtId="197" fontId="93" fillId="0" borderId="29" xfId="0" applyNumberFormat="1" applyFont="1" applyBorder="1" applyAlignment="1">
      <alignment wrapText="1"/>
    </xf>
    <xf numFmtId="195" fontId="93" fillId="0" borderId="66" xfId="0" applyNumberFormat="1" applyFont="1" applyBorder="1" applyAlignment="1">
      <alignment wrapText="1"/>
    </xf>
    <xf numFmtId="0" fontId="32" fillId="10" borderId="52" xfId="0" applyFont="1" applyFill="1" applyBorder="1" applyAlignment="1">
      <alignment horizontal="left" wrapText="1"/>
    </xf>
    <xf numFmtId="194" fontId="94" fillId="10" borderId="4" xfId="0" applyNumberFormat="1" applyFont="1" applyFill="1" applyBorder="1" applyAlignment="1">
      <alignment wrapText="1"/>
    </xf>
    <xf numFmtId="195" fontId="94" fillId="10" borderId="4" xfId="0" applyNumberFormat="1" applyFont="1" applyFill="1" applyBorder="1" applyAlignment="1">
      <alignment wrapText="1"/>
    </xf>
    <xf numFmtId="197" fontId="93" fillId="10" borderId="4" xfId="0" applyNumberFormat="1" applyFont="1" applyFill="1" applyBorder="1" applyAlignment="1">
      <alignment wrapText="1"/>
    </xf>
    <xf numFmtId="195" fontId="93" fillId="10" borderId="53" xfId="0" applyNumberFormat="1" applyFont="1" applyFill="1" applyBorder="1" applyAlignment="1">
      <alignment wrapText="1"/>
    </xf>
    <xf numFmtId="0" fontId="32" fillId="0" borderId="296" xfId="0" applyFont="1" applyBorder="1" applyAlignment="1">
      <alignment horizontal="left" wrapText="1"/>
    </xf>
    <xf numFmtId="194" fontId="94" fillId="0" borderId="134" xfId="0" applyNumberFormat="1" applyFont="1" applyBorder="1" applyAlignment="1">
      <alignment wrapText="1"/>
    </xf>
    <xf numFmtId="195" fontId="94" fillId="0" borderId="134" xfId="0" applyNumberFormat="1" applyFont="1" applyBorder="1" applyAlignment="1">
      <alignment wrapText="1"/>
    </xf>
    <xf numFmtId="0" fontId="32" fillId="0" borderId="297" xfId="0" applyFont="1" applyBorder="1" applyAlignment="1">
      <alignment wrapText="1"/>
    </xf>
    <xf numFmtId="194" fontId="93" fillId="0" borderId="91" xfId="0" applyNumberFormat="1" applyFont="1" applyBorder="1" applyAlignment="1">
      <alignment wrapText="1"/>
    </xf>
    <xf numFmtId="196" fontId="93" fillId="0" borderId="91" xfId="0" applyNumberFormat="1" applyFont="1" applyBorder="1" applyAlignment="1">
      <alignment wrapText="1"/>
    </xf>
    <xf numFmtId="196" fontId="97" fillId="0" borderId="91" xfId="0" applyNumberFormat="1" applyFont="1" applyBorder="1" applyAlignment="1">
      <alignment wrapText="1"/>
    </xf>
    <xf numFmtId="178" fontId="97" fillId="0" borderId="91" xfId="0" applyNumberFormat="1" applyFont="1" applyBorder="1"/>
    <xf numFmtId="178" fontId="97" fillId="0" borderId="92" xfId="0" applyNumberFormat="1" applyFont="1" applyBorder="1" applyAlignment="1">
      <alignment wrapText="1"/>
    </xf>
    <xf numFmtId="0" fontId="32" fillId="0" borderId="296" xfId="0" applyFont="1" applyBorder="1" applyAlignment="1">
      <alignment wrapText="1"/>
    </xf>
    <xf numFmtId="0" fontId="32" fillId="40" borderId="297" xfId="0" applyFont="1" applyFill="1" applyBorder="1" applyAlignment="1">
      <alignment horizontal="left" wrapText="1"/>
    </xf>
    <xf numFmtId="194" fontId="93" fillId="40" borderId="91" xfId="0" applyNumberFormat="1" applyFont="1" applyFill="1" applyBorder="1" applyAlignment="1">
      <alignment wrapText="1"/>
    </xf>
    <xf numFmtId="195" fontId="94" fillId="40" borderId="91" xfId="0" applyNumberFormat="1" applyFont="1" applyFill="1" applyBorder="1" applyAlignment="1">
      <alignment wrapText="1"/>
    </xf>
    <xf numFmtId="197" fontId="93" fillId="40" borderId="91" xfId="0" applyNumberFormat="1" applyFont="1" applyFill="1" applyBorder="1" applyAlignment="1">
      <alignment wrapText="1"/>
    </xf>
    <xf numFmtId="195" fontId="93" fillId="40" borderId="92" xfId="0" applyNumberFormat="1" applyFont="1" applyFill="1" applyBorder="1" applyAlignment="1">
      <alignment wrapText="1"/>
    </xf>
    <xf numFmtId="0" fontId="32" fillId="21" borderId="284" xfId="0" applyFont="1" applyFill="1" applyBorder="1" applyAlignment="1">
      <alignment horizontal="left" wrapText="1"/>
    </xf>
    <xf numFmtId="194" fontId="93" fillId="21" borderId="153" xfId="0" applyNumberFormat="1" applyFont="1" applyFill="1" applyBorder="1" applyAlignment="1">
      <alignment wrapText="1"/>
    </xf>
    <xf numFmtId="194" fontId="94" fillId="21" borderId="153" xfId="0" applyNumberFormat="1" applyFont="1" applyFill="1" applyBorder="1" applyAlignment="1">
      <alignment wrapText="1"/>
    </xf>
    <xf numFmtId="195" fontId="94" fillId="21" borderId="153" xfId="0" applyNumberFormat="1" applyFont="1" applyFill="1" applyBorder="1" applyAlignment="1">
      <alignment wrapText="1"/>
    </xf>
    <xf numFmtId="197" fontId="93" fillId="21" borderId="153" xfId="0" applyNumberFormat="1" applyFont="1" applyFill="1" applyBorder="1" applyAlignment="1">
      <alignment wrapText="1"/>
    </xf>
    <xf numFmtId="195" fontId="93" fillId="21" borderId="285" xfId="0" applyNumberFormat="1" applyFont="1" applyFill="1" applyBorder="1" applyAlignment="1">
      <alignment wrapText="1"/>
    </xf>
    <xf numFmtId="0" fontId="1" fillId="0" borderId="65" xfId="0" applyFont="1" applyBorder="1" applyAlignment="1">
      <alignment wrapText="1"/>
    </xf>
    <xf numFmtId="0" fontId="32" fillId="32" borderId="293" xfId="0" applyFont="1" applyFill="1" applyBorder="1" applyAlignment="1">
      <alignment horizontal="left" wrapText="1"/>
    </xf>
    <xf numFmtId="194" fontId="94" fillId="32" borderId="91" xfId="0" applyNumberFormat="1" applyFont="1" applyFill="1" applyBorder="1" applyAlignment="1">
      <alignment wrapText="1"/>
    </xf>
    <xf numFmtId="196" fontId="93" fillId="32" borderId="91" xfId="0" applyNumberFormat="1" applyFont="1" applyFill="1" applyBorder="1" applyAlignment="1">
      <alignment wrapText="1"/>
    </xf>
    <xf numFmtId="196" fontId="93" fillId="32" borderId="92" xfId="0" applyNumberFormat="1" applyFont="1" applyFill="1" applyBorder="1" applyAlignment="1">
      <alignment wrapText="1"/>
    </xf>
    <xf numFmtId="0" fontId="32" fillId="31" borderId="297" xfId="0" applyFont="1" applyFill="1" applyBorder="1" applyAlignment="1">
      <alignment horizontal="left" wrapText="1"/>
    </xf>
    <xf numFmtId="0" fontId="32" fillId="0" borderId="296" xfId="0" applyFont="1" applyBorder="1" applyAlignment="1">
      <alignment horizontal="center" wrapText="1"/>
    </xf>
    <xf numFmtId="0" fontId="1" fillId="0" borderId="298" xfId="0" applyFont="1" applyBorder="1"/>
    <xf numFmtId="0" fontId="1" fillId="0" borderId="299" xfId="0" applyFont="1" applyBorder="1"/>
    <xf numFmtId="0" fontId="34" fillId="23" borderId="291" xfId="0" applyFont="1" applyFill="1" applyBorder="1"/>
    <xf numFmtId="0" fontId="32" fillId="23" borderId="163" xfId="0" applyFont="1" applyFill="1" applyBorder="1" applyAlignment="1">
      <alignment horizontal="center" vertical="top" wrapText="1"/>
    </xf>
    <xf numFmtId="0" fontId="1" fillId="23" borderId="226" xfId="0" applyFont="1" applyFill="1" applyBorder="1"/>
    <xf numFmtId="0" fontId="32" fillId="23" borderId="292" xfId="0" applyFont="1" applyFill="1" applyBorder="1" applyAlignment="1">
      <alignment horizontal="center" vertical="top" wrapText="1"/>
    </xf>
    <xf numFmtId="0" fontId="91" fillId="0" borderId="52" xfId="0" applyFont="1" applyBorder="1" applyAlignment="1">
      <alignment horizontal="center" vertical="top" wrapText="1"/>
    </xf>
    <xf numFmtId="0" fontId="32" fillId="0" borderId="4" xfId="0" applyFont="1" applyBorder="1" applyAlignment="1">
      <alignment horizontal="center" vertical="top" wrapText="1"/>
    </xf>
    <xf numFmtId="0" fontId="32" fillId="0" borderId="53" xfId="0" applyFont="1" applyBorder="1" applyAlignment="1">
      <alignment horizontal="center" vertical="top" wrapText="1"/>
    </xf>
    <xf numFmtId="0" fontId="32" fillId="10" borderId="52" xfId="0" applyFont="1" applyFill="1" applyBorder="1" applyAlignment="1">
      <alignment wrapText="1"/>
    </xf>
    <xf numFmtId="0" fontId="93" fillId="10" borderId="4" xfId="0" applyFont="1" applyFill="1" applyBorder="1" applyAlignment="1">
      <alignment wrapText="1"/>
    </xf>
    <xf numFmtId="0" fontId="1" fillId="10" borderId="4" xfId="0" applyFont="1" applyFill="1" applyBorder="1"/>
    <xf numFmtId="0" fontId="93" fillId="10" borderId="53" xfId="0" applyFont="1" applyFill="1" applyBorder="1" applyAlignment="1">
      <alignment wrapText="1"/>
    </xf>
    <xf numFmtId="0" fontId="32" fillId="0" borderId="52" xfId="0" applyFont="1" applyBorder="1" applyAlignment="1">
      <alignment wrapText="1"/>
    </xf>
    <xf numFmtId="0" fontId="93" fillId="0" borderId="4" xfId="0" applyFont="1" applyBorder="1" applyAlignment="1">
      <alignment wrapText="1"/>
    </xf>
    <xf numFmtId="0" fontId="93" fillId="0" borderId="53" xfId="0" applyFont="1" applyBorder="1" applyAlignment="1">
      <alignment wrapText="1"/>
    </xf>
    <xf numFmtId="194" fontId="98" fillId="0" borderId="4" xfId="0" applyNumberFormat="1" applyFont="1" applyBorder="1" applyAlignment="1">
      <alignment wrapText="1"/>
    </xf>
    <xf numFmtId="195" fontId="93" fillId="0" borderId="50" xfId="0" applyNumberFormat="1" applyFont="1" applyBorder="1" applyAlignment="1">
      <alignment wrapText="1"/>
    </xf>
    <xf numFmtId="0" fontId="32" fillId="26" borderId="297" xfId="0" applyFont="1" applyFill="1" applyBorder="1" applyAlignment="1">
      <alignment horizontal="left" wrapText="1"/>
    </xf>
    <xf numFmtId="194" fontId="93" fillId="26" borderId="91" xfId="0" applyNumberFormat="1" applyFont="1" applyFill="1" applyBorder="1" applyAlignment="1">
      <alignment wrapText="1"/>
    </xf>
    <xf numFmtId="0" fontId="1" fillId="26" borderId="91" xfId="0" applyFont="1" applyFill="1" applyBorder="1"/>
    <xf numFmtId="195" fontId="94" fillId="26" borderId="91" xfId="0" applyNumberFormat="1" applyFont="1" applyFill="1" applyBorder="1" applyAlignment="1">
      <alignment wrapText="1"/>
    </xf>
    <xf numFmtId="43" fontId="96" fillId="26" borderId="91" xfId="0" applyNumberFormat="1" applyFont="1" applyFill="1" applyBorder="1"/>
    <xf numFmtId="196" fontId="94" fillId="26" borderId="92" xfId="0" applyNumberFormat="1" applyFont="1" applyFill="1" applyBorder="1" applyAlignment="1">
      <alignment wrapText="1"/>
    </xf>
    <xf numFmtId="194" fontId="93" fillId="0" borderId="29" xfId="0" applyNumberFormat="1" applyFont="1" applyBorder="1" applyAlignment="1">
      <alignment wrapText="1"/>
    </xf>
    <xf numFmtId="0" fontId="1" fillId="0" borderId="29" xfId="0" applyFont="1" applyBorder="1"/>
    <xf numFmtId="195" fontId="94" fillId="0" borderId="66" xfId="0" applyNumberFormat="1" applyFont="1" applyBorder="1" applyAlignment="1">
      <alignment wrapText="1"/>
    </xf>
    <xf numFmtId="0" fontId="32" fillId="10" borderId="300" xfId="0" applyFont="1" applyFill="1" applyBorder="1" applyAlignment="1">
      <alignment wrapText="1"/>
    </xf>
    <xf numFmtId="194" fontId="93" fillId="10" borderId="161" xfId="0" applyNumberFormat="1" applyFont="1" applyFill="1" applyBorder="1" applyAlignment="1">
      <alignment wrapText="1"/>
    </xf>
    <xf numFmtId="0" fontId="1" fillId="10" borderId="33" xfId="0" applyFont="1" applyFill="1" applyBorder="1"/>
    <xf numFmtId="196" fontId="94" fillId="10" borderId="161" xfId="0" applyNumberFormat="1" applyFont="1" applyFill="1" applyBorder="1" applyAlignment="1">
      <alignment wrapText="1"/>
    </xf>
    <xf numFmtId="194" fontId="94" fillId="10" borderId="161" xfId="0" applyNumberFormat="1" applyFont="1" applyFill="1" applyBorder="1" applyAlignment="1">
      <alignment wrapText="1"/>
    </xf>
    <xf numFmtId="195" fontId="94" fillId="10" borderId="301" xfId="0" applyNumberFormat="1" applyFont="1" applyFill="1" applyBorder="1" applyAlignment="1">
      <alignment wrapText="1"/>
    </xf>
    <xf numFmtId="196" fontId="94" fillId="0" borderId="134" xfId="0" applyNumberFormat="1" applyFont="1" applyBorder="1" applyAlignment="1">
      <alignment wrapText="1"/>
    </xf>
    <xf numFmtId="195" fontId="94" fillId="0" borderId="251" xfId="0" applyNumberFormat="1" applyFont="1" applyBorder="1" applyAlignment="1">
      <alignment wrapText="1"/>
    </xf>
    <xf numFmtId="0" fontId="1" fillId="0" borderId="297" xfId="0" applyFont="1" applyBorder="1" applyAlignment="1">
      <alignment horizontal="left" wrapText="1"/>
    </xf>
    <xf numFmtId="3" fontId="98" fillId="0" borderId="91" xfId="0" applyNumberFormat="1" applyFont="1" applyBorder="1" applyAlignment="1">
      <alignment wrapText="1"/>
    </xf>
    <xf numFmtId="0" fontId="1" fillId="0" borderId="91" xfId="0" applyFont="1" applyBorder="1"/>
    <xf numFmtId="2" fontId="97" fillId="0" borderId="91" xfId="0" applyNumberFormat="1" applyFont="1" applyBorder="1" applyAlignment="1">
      <alignment wrapText="1"/>
    </xf>
    <xf numFmtId="2" fontId="97" fillId="0" borderId="92" xfId="0" applyNumberFormat="1" applyFont="1" applyBorder="1" applyAlignment="1">
      <alignment wrapText="1"/>
    </xf>
    <xf numFmtId="0" fontId="32" fillId="32" borderId="297" xfId="0" applyFont="1" applyFill="1" applyBorder="1" applyAlignment="1">
      <alignment horizontal="left"/>
    </xf>
    <xf numFmtId="0" fontId="1" fillId="4" borderId="91" xfId="0" applyFont="1" applyFill="1" applyBorder="1"/>
    <xf numFmtId="4" fontId="97" fillId="32" borderId="92" xfId="0" applyNumberFormat="1" applyFont="1" applyFill="1" applyBorder="1" applyAlignment="1">
      <alignment wrapText="1"/>
    </xf>
    <xf numFmtId="0" fontId="32" fillId="0" borderId="296" xfId="0" applyFont="1" applyBorder="1" applyAlignment="1">
      <alignment horizontal="left"/>
    </xf>
    <xf numFmtId="0" fontId="32" fillId="26" borderId="297" xfId="0" applyFont="1" applyFill="1" applyBorder="1" applyAlignment="1">
      <alignment horizontal="center" wrapText="1"/>
    </xf>
    <xf numFmtId="194" fontId="94" fillId="26" borderId="91" xfId="0" applyNumberFormat="1" applyFont="1" applyFill="1" applyBorder="1" applyAlignment="1">
      <alignment wrapText="1"/>
    </xf>
    <xf numFmtId="196" fontId="94" fillId="26" borderId="91" xfId="0" applyNumberFormat="1" applyFont="1" applyFill="1" applyBorder="1" applyAlignment="1">
      <alignment wrapText="1"/>
    </xf>
    <xf numFmtId="0" fontId="32" fillId="31" borderId="297" xfId="0" applyFont="1" applyFill="1" applyBorder="1"/>
    <xf numFmtId="194" fontId="93" fillId="31" borderId="91" xfId="0" applyNumberFormat="1" applyFont="1" applyFill="1" applyBorder="1" applyAlignment="1">
      <alignment wrapText="1"/>
    </xf>
    <xf numFmtId="0" fontId="1" fillId="31" borderId="91" xfId="0" applyFont="1" applyFill="1" applyBorder="1"/>
    <xf numFmtId="195" fontId="94" fillId="31" borderId="92" xfId="0" applyNumberFormat="1" applyFont="1" applyFill="1" applyBorder="1" applyAlignment="1">
      <alignment wrapText="1"/>
    </xf>
    <xf numFmtId="0" fontId="32" fillId="40" borderId="297" xfId="0" applyFont="1" applyFill="1" applyBorder="1"/>
    <xf numFmtId="0" fontId="1" fillId="40" borderId="91" xfId="0" applyFont="1" applyFill="1" applyBorder="1"/>
    <xf numFmtId="196" fontId="94" fillId="40" borderId="91" xfId="0" applyNumberFormat="1" applyFont="1" applyFill="1" applyBorder="1" applyAlignment="1">
      <alignment wrapText="1"/>
    </xf>
    <xf numFmtId="196" fontId="94" fillId="40" borderId="92" xfId="0" applyNumberFormat="1" applyFont="1" applyFill="1" applyBorder="1" applyAlignment="1">
      <alignment wrapText="1"/>
    </xf>
    <xf numFmtId="0" fontId="32" fillId="0" borderId="296" xfId="0" applyFont="1" applyBorder="1"/>
    <xf numFmtId="196" fontId="94" fillId="0" borderId="251" xfId="0" applyNumberFormat="1" applyFont="1" applyBorder="1" applyAlignment="1">
      <alignment wrapText="1"/>
    </xf>
    <xf numFmtId="0" fontId="32" fillId="21" borderId="284" xfId="0" applyFont="1" applyFill="1" applyBorder="1"/>
    <xf numFmtId="196" fontId="94" fillId="21" borderId="153" xfId="0" applyNumberFormat="1" applyFont="1" applyFill="1" applyBorder="1" applyAlignment="1">
      <alignment wrapText="1"/>
    </xf>
    <xf numFmtId="196" fontId="94" fillId="21" borderId="285" xfId="0" applyNumberFormat="1" applyFont="1" applyFill="1" applyBorder="1" applyAlignment="1">
      <alignment wrapText="1"/>
    </xf>
    <xf numFmtId="194" fontId="93" fillId="4" borderId="91" xfId="0" applyNumberFormat="1" applyFont="1" applyFill="1" applyBorder="1" applyAlignment="1">
      <alignment wrapText="1"/>
    </xf>
    <xf numFmtId="194" fontId="97" fillId="4" borderId="91" xfId="0" applyNumberFormat="1" applyFont="1" applyFill="1" applyBorder="1" applyAlignment="1">
      <alignment wrapText="1"/>
    </xf>
    <xf numFmtId="196" fontId="97" fillId="4" borderId="91" xfId="0" applyNumberFormat="1" applyFont="1" applyFill="1" applyBorder="1" applyAlignment="1">
      <alignment wrapText="1"/>
    </xf>
    <xf numFmtId="4" fontId="97" fillId="4" borderId="92" xfId="0" applyNumberFormat="1" applyFont="1" applyFill="1" applyBorder="1" applyAlignment="1">
      <alignment wrapText="1"/>
    </xf>
    <xf numFmtId="195" fontId="94" fillId="26" borderId="92" xfId="0" applyNumberFormat="1" applyFont="1" applyFill="1" applyBorder="1" applyAlignment="1">
      <alignment wrapText="1"/>
    </xf>
    <xf numFmtId="196" fontId="94" fillId="31" borderId="91" xfId="0" applyNumberFormat="1" applyFont="1" applyFill="1" applyBorder="1" applyAlignment="1">
      <alignment wrapText="1"/>
    </xf>
    <xf numFmtId="0" fontId="1" fillId="0" borderId="62" xfId="0" applyFont="1" applyBorder="1"/>
    <xf numFmtId="0" fontId="1" fillId="0" borderId="302" xfId="0" applyFont="1" applyBorder="1"/>
    <xf numFmtId="0" fontId="1" fillId="0" borderId="64" xfId="0" applyFont="1" applyBorder="1"/>
    <xf numFmtId="0" fontId="32" fillId="23" borderId="303" xfId="0" applyFont="1" applyFill="1" applyBorder="1"/>
    <xf numFmtId="0" fontId="1" fillId="23" borderId="304" xfId="0" applyFont="1" applyFill="1" applyBorder="1"/>
    <xf numFmtId="176" fontId="32" fillId="23" borderId="305" xfId="0" applyNumberFormat="1" applyFont="1" applyFill="1" applyBorder="1"/>
    <xf numFmtId="0" fontId="32" fillId="0" borderId="80" xfId="0" applyFont="1" applyBorder="1"/>
    <xf numFmtId="43" fontId="32" fillId="0" borderId="0" xfId="0" applyNumberFormat="1" applyFont="1"/>
    <xf numFmtId="176" fontId="32" fillId="0" borderId="0" xfId="0" applyNumberFormat="1" applyFont="1"/>
    <xf numFmtId="0" fontId="1" fillId="0" borderId="290" xfId="0" applyFont="1" applyBorder="1"/>
    <xf numFmtId="0" fontId="99" fillId="0" borderId="0" xfId="0" applyFont="1" applyAlignment="1">
      <alignment wrapText="1"/>
    </xf>
    <xf numFmtId="0" fontId="1" fillId="0" borderId="0" xfId="0" applyFont="1" applyAlignment="1">
      <alignment wrapText="1"/>
    </xf>
    <xf numFmtId="0" fontId="1" fillId="0" borderId="0" xfId="0" applyFont="1" applyAlignment="1">
      <alignment horizontal="left" wrapText="1"/>
    </xf>
    <xf numFmtId="0" fontId="95" fillId="0" borderId="162" xfId="0" applyFont="1" applyBorder="1"/>
    <xf numFmtId="0" fontId="95" fillId="0" borderId="163" xfId="0" applyFont="1" applyBorder="1"/>
    <xf numFmtId="0" fontId="96" fillId="0" borderId="163" xfId="0" applyFont="1" applyBorder="1" applyAlignment="1">
      <alignment horizontal="center"/>
    </xf>
    <xf numFmtId="0" fontId="96" fillId="0" borderId="164" xfId="0" applyFont="1" applyBorder="1" applyAlignment="1">
      <alignment horizontal="center"/>
    </xf>
    <xf numFmtId="0" fontId="96" fillId="0" borderId="165" xfId="0" applyFont="1" applyBorder="1"/>
    <xf numFmtId="0" fontId="95" fillId="0" borderId="4" xfId="0" applyFont="1" applyBorder="1"/>
    <xf numFmtId="0" fontId="96" fillId="0" borderId="4" xfId="0" applyFont="1" applyBorder="1" applyAlignment="1">
      <alignment horizontal="center"/>
    </xf>
    <xf numFmtId="0" fontId="96" fillId="0" borderId="166" xfId="0" applyFont="1" applyBorder="1" applyAlignment="1">
      <alignment horizontal="center"/>
    </xf>
    <xf numFmtId="0" fontId="96" fillId="0" borderId="4" xfId="0" applyFont="1" applyBorder="1"/>
    <xf numFmtId="0" fontId="95" fillId="0" borderId="166" xfId="0" applyFont="1" applyBorder="1"/>
    <xf numFmtId="0" fontId="95" fillId="0" borderId="165" xfId="0" applyFont="1" applyBorder="1" applyAlignment="1">
      <alignment horizontal="center"/>
    </xf>
    <xf numFmtId="0" fontId="95" fillId="0" borderId="4" xfId="0" applyFont="1" applyBorder="1" applyAlignment="1">
      <alignment horizontal="center"/>
    </xf>
    <xf numFmtId="9" fontId="95" fillId="0" borderId="4" xfId="0" applyNumberFormat="1" applyFont="1" applyBorder="1"/>
    <xf numFmtId="0" fontId="96" fillId="0" borderId="165" xfId="0" applyFont="1" applyBorder="1" applyAlignment="1">
      <alignment horizontal="center"/>
    </xf>
    <xf numFmtId="0" fontId="95" fillId="0" borderId="4" xfId="0" applyFont="1" applyBorder="1" applyAlignment="1">
      <alignment horizontal="left"/>
    </xf>
    <xf numFmtId="176" fontId="95" fillId="12" borderId="4" xfId="0" applyNumberFormat="1" applyFont="1" applyFill="1" applyBorder="1"/>
    <xf numFmtId="175" fontId="95" fillId="0" borderId="4" xfId="0" applyNumberFormat="1" applyFont="1" applyBorder="1"/>
    <xf numFmtId="176" fontId="95" fillId="0" borderId="166" xfId="0" applyNumberFormat="1" applyFont="1" applyBorder="1"/>
    <xf numFmtId="176" fontId="9" fillId="0" borderId="0" xfId="0" applyNumberFormat="1" applyFont="1"/>
    <xf numFmtId="0" fontId="100" fillId="0" borderId="165" xfId="0" applyFont="1" applyBorder="1" applyAlignment="1">
      <alignment horizontal="center"/>
    </xf>
    <xf numFmtId="43" fontId="95" fillId="0" borderId="4" xfId="0" applyNumberFormat="1" applyFont="1" applyBorder="1"/>
    <xf numFmtId="193" fontId="95" fillId="0" borderId="166" xfId="0" applyNumberFormat="1" applyFont="1" applyBorder="1" applyAlignment="1">
      <alignment horizontal="center"/>
    </xf>
    <xf numFmtId="0" fontId="95" fillId="0" borderId="178" xfId="0" applyFont="1" applyBorder="1" applyAlignment="1">
      <alignment horizontal="center"/>
    </xf>
    <xf numFmtId="0" fontId="95" fillId="0" borderId="63" xfId="0" applyFont="1" applyBorder="1" applyAlignment="1">
      <alignment horizontal="center"/>
    </xf>
    <xf numFmtId="0" fontId="95" fillId="0" borderId="63" xfId="0" applyFont="1" applyBorder="1"/>
    <xf numFmtId="9" fontId="95" fillId="0" borderId="63" xfId="0" applyNumberFormat="1" applyFont="1" applyBorder="1"/>
    <xf numFmtId="0" fontId="95" fillId="0" borderId="179" xfId="0" applyFont="1" applyBorder="1"/>
    <xf numFmtId="0" fontId="1" fillId="0" borderId="143" xfId="0" applyFont="1" applyBorder="1"/>
    <xf numFmtId="0" fontId="34" fillId="24" borderId="21" xfId="0" applyFont="1" applyFill="1" applyBorder="1"/>
    <xf numFmtId="0" fontId="1" fillId="24" borderId="4" xfId="0" applyFont="1" applyFill="1" applyBorder="1"/>
    <xf numFmtId="2" fontId="1" fillId="24" borderId="4" xfId="0" applyNumberFormat="1" applyFont="1" applyFill="1" applyBorder="1" applyAlignment="1">
      <alignment horizontal="center"/>
    </xf>
    <xf numFmtId="0" fontId="1" fillId="24" borderId="51" xfId="0" applyFont="1" applyFill="1" applyBorder="1"/>
    <xf numFmtId="0" fontId="34" fillId="0" borderId="57" xfId="0" applyFont="1" applyBorder="1"/>
    <xf numFmtId="2" fontId="1" fillId="0" borderId="49" xfId="0" applyNumberFormat="1" applyFont="1" applyBorder="1" applyAlignment="1">
      <alignment horizontal="center"/>
    </xf>
    <xf numFmtId="0" fontId="34" fillId="0" borderId="306" xfId="0" applyFont="1" applyBorder="1"/>
    <xf numFmtId="2" fontId="1" fillId="0" borderId="150" xfId="0" applyNumberFormat="1" applyFont="1" applyBorder="1" applyAlignment="1">
      <alignment horizontal="center"/>
    </xf>
    <xf numFmtId="0" fontId="32" fillId="24" borderId="21" xfId="0" applyFont="1" applyFill="1" applyBorder="1"/>
    <xf numFmtId="2" fontId="1" fillId="24" borderId="155" xfId="0" applyNumberFormat="1" applyFont="1" applyFill="1" applyBorder="1" applyAlignment="1">
      <alignment horizontal="center"/>
    </xf>
    <xf numFmtId="0" fontId="1" fillId="24" borderId="12" xfId="0" applyFont="1" applyFill="1" applyBorder="1"/>
    <xf numFmtId="2" fontId="1" fillId="0" borderId="31" xfId="0" applyNumberFormat="1" applyFont="1" applyBorder="1" applyAlignment="1">
      <alignment horizontal="center"/>
    </xf>
    <xf numFmtId="0" fontId="1" fillId="0" borderId="88" xfId="0" applyFont="1" applyBorder="1"/>
    <xf numFmtId="0" fontId="34" fillId="24" borderId="144" xfId="0" applyFont="1" applyFill="1" applyBorder="1"/>
    <xf numFmtId="0" fontId="1" fillId="24" borderId="91" xfId="0" applyFont="1" applyFill="1" applyBorder="1"/>
    <xf numFmtId="2" fontId="1" fillId="24" borderId="145" xfId="0" applyNumberFormat="1" applyFont="1" applyFill="1" applyBorder="1" applyAlignment="1">
      <alignment horizontal="center"/>
    </xf>
    <xf numFmtId="0" fontId="1" fillId="24" borderId="307" xfId="0" applyFont="1" applyFill="1" applyBorder="1"/>
    <xf numFmtId="0" fontId="1" fillId="0" borderId="134" xfId="0" applyFont="1" applyBorder="1"/>
    <xf numFmtId="0" fontId="1" fillId="24" borderId="25" xfId="0" applyFont="1" applyFill="1" applyBorder="1"/>
    <xf numFmtId="0" fontId="1" fillId="41" borderId="308" xfId="0" applyFont="1" applyFill="1" applyBorder="1"/>
    <xf numFmtId="0" fontId="1" fillId="41" borderId="163" xfId="0" applyFont="1" applyFill="1" applyBorder="1"/>
    <xf numFmtId="2" fontId="1" fillId="41" borderId="309" xfId="0" applyNumberFormat="1" applyFont="1" applyFill="1" applyBorder="1" applyAlignment="1">
      <alignment horizontal="center"/>
    </xf>
    <xf numFmtId="0" fontId="1" fillId="41" borderId="71" xfId="0" applyFont="1" applyFill="1" applyBorder="1"/>
    <xf numFmtId="0" fontId="34" fillId="41" borderId="21" xfId="0" applyFont="1" applyFill="1" applyBorder="1"/>
    <xf numFmtId="0" fontId="1" fillId="41" borderId="4" xfId="0" applyFont="1" applyFill="1" applyBorder="1"/>
    <xf numFmtId="2" fontId="1" fillId="41" borderId="154" xfId="0" applyNumberFormat="1" applyFont="1" applyFill="1" applyBorder="1" applyAlignment="1">
      <alignment horizontal="center"/>
    </xf>
    <xf numFmtId="0" fontId="1" fillId="41" borderId="12" xfId="0" applyFont="1" applyFill="1" applyBorder="1"/>
    <xf numFmtId="0" fontId="1" fillId="41" borderId="310" xfId="0" applyFont="1" applyFill="1" applyBorder="1"/>
    <xf numFmtId="0" fontId="1" fillId="41" borderId="63" xfId="0" applyFont="1" applyFill="1" applyBorder="1"/>
    <xf numFmtId="2" fontId="1" fillId="41" borderId="311" xfId="0" applyNumberFormat="1" applyFont="1" applyFill="1" applyBorder="1" applyAlignment="1">
      <alignment horizontal="center"/>
    </xf>
    <xf numFmtId="0" fontId="1" fillId="41" borderId="70" xfId="0" applyFont="1" applyFill="1" applyBorder="1"/>
    <xf numFmtId="0" fontId="1" fillId="0" borderId="30" xfId="0" applyFont="1" applyBorder="1"/>
    <xf numFmtId="0" fontId="1" fillId="0" borderId="259" xfId="0" applyFont="1" applyBorder="1"/>
    <xf numFmtId="0" fontId="1" fillId="0" borderId="24" xfId="0" applyFont="1" applyBorder="1"/>
    <xf numFmtId="0" fontId="6" fillId="42" borderId="33" xfId="0" applyFont="1" applyFill="1" applyBorder="1"/>
    <xf numFmtId="0" fontId="6" fillId="22" borderId="33" xfId="0" applyFont="1" applyFill="1" applyBorder="1"/>
    <xf numFmtId="0" fontId="22" fillId="0" borderId="45" xfId="0" applyFont="1" applyBorder="1" applyAlignment="1">
      <alignment horizontal="center"/>
    </xf>
    <xf numFmtId="0" fontId="22" fillId="0" borderId="60" xfId="0" applyFont="1" applyBorder="1" applyAlignment="1">
      <alignment horizontal="center"/>
    </xf>
    <xf numFmtId="0" fontId="22" fillId="0" borderId="46" xfId="0" applyFont="1" applyBorder="1" applyAlignment="1">
      <alignment horizontal="center" wrapText="1"/>
    </xf>
    <xf numFmtId="49" fontId="22" fillId="0" borderId="46" xfId="0" applyNumberFormat="1" applyFont="1" applyBorder="1" applyAlignment="1">
      <alignment horizontal="center" wrapText="1"/>
    </xf>
    <xf numFmtId="0" fontId="22" fillId="43" borderId="46" xfId="0" applyFont="1" applyFill="1" applyBorder="1" applyAlignment="1">
      <alignment horizontal="center" wrapText="1"/>
    </xf>
    <xf numFmtId="0" fontId="22" fillId="0" borderId="47" xfId="0" applyFont="1" applyBorder="1" applyAlignment="1">
      <alignment horizontal="center" wrapText="1"/>
    </xf>
    <xf numFmtId="49" fontId="1" fillId="0" borderId="4" xfId="0" applyNumberFormat="1" applyFont="1" applyBorder="1"/>
    <xf numFmtId="49" fontId="1" fillId="0" borderId="4" xfId="0" applyNumberFormat="1" applyFont="1" applyBorder="1" applyAlignment="1">
      <alignment horizontal="center"/>
    </xf>
    <xf numFmtId="3" fontId="1" fillId="43" borderId="4" xfId="0" applyNumberFormat="1" applyFont="1" applyFill="1" applyBorder="1"/>
    <xf numFmtId="3" fontId="1" fillId="0" borderId="4" xfId="0" applyNumberFormat="1" applyFont="1" applyBorder="1"/>
    <xf numFmtId="3" fontId="1" fillId="0" borderId="53" xfId="0" applyNumberFormat="1" applyFont="1" applyBorder="1"/>
    <xf numFmtId="0" fontId="32" fillId="0" borderId="85" xfId="0" applyFont="1" applyBorder="1"/>
    <xf numFmtId="0" fontId="1" fillId="42" borderId="4" xfId="0" applyFont="1" applyFill="1" applyBorder="1"/>
    <xf numFmtId="168" fontId="1" fillId="42" borderId="312" xfId="0" applyNumberFormat="1" applyFont="1" applyFill="1" applyBorder="1" applyAlignment="1">
      <alignment horizontal="right"/>
    </xf>
    <xf numFmtId="3" fontId="1" fillId="42" borderId="4" xfId="0" applyNumberFormat="1" applyFont="1" applyFill="1" applyBorder="1" applyAlignment="1">
      <alignment horizontal="right"/>
    </xf>
    <xf numFmtId="3" fontId="1" fillId="42" borderId="4" xfId="0" applyNumberFormat="1" applyFont="1" applyFill="1" applyBorder="1" applyAlignment="1">
      <alignment horizontal="center"/>
    </xf>
    <xf numFmtId="0" fontId="1" fillId="42" borderId="4" xfId="0" applyFont="1" applyFill="1" applyBorder="1" applyAlignment="1">
      <alignment horizontal="center"/>
    </xf>
    <xf numFmtId="1" fontId="1" fillId="42" borderId="4" xfId="0" applyNumberFormat="1" applyFont="1" applyFill="1" applyBorder="1" applyAlignment="1">
      <alignment horizontal="center"/>
    </xf>
    <xf numFmtId="9" fontId="1" fillId="42" borderId="4" xfId="0" applyNumberFormat="1" applyFont="1" applyFill="1" applyBorder="1" applyAlignment="1">
      <alignment horizontal="right"/>
    </xf>
    <xf numFmtId="3" fontId="1" fillId="42" borderId="53" xfId="0" applyNumberFormat="1" applyFont="1" applyFill="1" applyBorder="1" applyAlignment="1">
      <alignment horizontal="right"/>
    </xf>
    <xf numFmtId="168" fontId="1" fillId="0" borderId="3" xfId="0" applyNumberFormat="1" applyFont="1" applyBorder="1" applyAlignment="1">
      <alignment horizontal="right"/>
    </xf>
    <xf numFmtId="3" fontId="1" fillId="0" borderId="4" xfId="0" applyNumberFormat="1" applyFont="1" applyBorder="1" applyAlignment="1">
      <alignment horizontal="right"/>
    </xf>
    <xf numFmtId="3" fontId="1" fillId="0" borderId="4" xfId="0" applyNumberFormat="1" applyFont="1" applyBorder="1" applyAlignment="1">
      <alignment horizontal="center"/>
    </xf>
    <xf numFmtId="1" fontId="1" fillId="0" borderId="4" xfId="0" applyNumberFormat="1" applyFont="1" applyBorder="1" applyAlignment="1">
      <alignment horizontal="center"/>
    </xf>
    <xf numFmtId="3" fontId="1" fillId="43" borderId="4" xfId="0" applyNumberFormat="1" applyFont="1" applyFill="1" applyBorder="1" applyAlignment="1">
      <alignment horizontal="right"/>
    </xf>
    <xf numFmtId="9" fontId="1" fillId="0" borderId="4" xfId="0" applyNumberFormat="1" applyFont="1" applyBorder="1"/>
    <xf numFmtId="9" fontId="1" fillId="0" borderId="4" xfId="0" applyNumberFormat="1" applyFont="1" applyBorder="1" applyAlignment="1">
      <alignment horizontal="right"/>
    </xf>
    <xf numFmtId="3" fontId="1" fillId="2" borderId="4" xfId="0" applyNumberFormat="1" applyFont="1" applyFill="1" applyBorder="1" applyAlignment="1">
      <alignment horizontal="right"/>
    </xf>
    <xf numFmtId="3" fontId="1" fillId="0" borderId="53" xfId="0" applyNumberFormat="1" applyFont="1" applyBorder="1" applyAlignment="1">
      <alignment horizontal="right"/>
    </xf>
    <xf numFmtId="168" fontId="1" fillId="0" borderId="3" xfId="0" applyNumberFormat="1" applyFont="1" applyBorder="1"/>
    <xf numFmtId="3" fontId="1" fillId="2" borderId="4" xfId="0" applyNumberFormat="1" applyFont="1" applyFill="1" applyBorder="1"/>
    <xf numFmtId="0" fontId="1" fillId="22" borderId="4" xfId="0" applyFont="1" applyFill="1" applyBorder="1"/>
    <xf numFmtId="168" fontId="1" fillId="22" borderId="312" xfId="0" applyNumberFormat="1" applyFont="1" applyFill="1" applyBorder="1" applyAlignment="1">
      <alignment horizontal="right"/>
    </xf>
    <xf numFmtId="3" fontId="1" fillId="22" borderId="4" xfId="0" applyNumberFormat="1" applyFont="1" applyFill="1" applyBorder="1" applyAlignment="1">
      <alignment horizontal="right"/>
    </xf>
    <xf numFmtId="3" fontId="1" fillId="22" borderId="4" xfId="0" applyNumberFormat="1" applyFont="1" applyFill="1" applyBorder="1" applyAlignment="1">
      <alignment horizontal="center"/>
    </xf>
    <xf numFmtId="0" fontId="1" fillId="22" borderId="4" xfId="0" applyFont="1" applyFill="1" applyBorder="1" applyAlignment="1">
      <alignment horizontal="center"/>
    </xf>
    <xf numFmtId="1" fontId="1" fillId="22" borderId="4" xfId="0" applyNumberFormat="1" applyFont="1" applyFill="1" applyBorder="1" applyAlignment="1">
      <alignment horizontal="center"/>
    </xf>
    <xf numFmtId="9" fontId="1" fillId="22" borderId="4" xfId="0" applyNumberFormat="1" applyFont="1" applyFill="1" applyBorder="1" applyAlignment="1">
      <alignment horizontal="right"/>
    </xf>
    <xf numFmtId="10" fontId="1" fillId="22" borderId="4" xfId="0" applyNumberFormat="1" applyFont="1" applyFill="1" applyBorder="1" applyAlignment="1">
      <alignment horizontal="right"/>
    </xf>
    <xf numFmtId="3" fontId="1" fillId="22" borderId="53" xfId="0" applyNumberFormat="1" applyFont="1" applyFill="1" applyBorder="1" applyAlignment="1">
      <alignment horizontal="right"/>
    </xf>
    <xf numFmtId="0" fontId="1" fillId="42" borderId="312" xfId="0" applyFont="1" applyFill="1" applyBorder="1"/>
    <xf numFmtId="10" fontId="1" fillId="0" borderId="4" xfId="0" applyNumberFormat="1" applyFont="1" applyBorder="1" applyAlignment="1">
      <alignment horizontal="right"/>
    </xf>
    <xf numFmtId="168" fontId="1" fillId="42" borderId="312" xfId="0" applyNumberFormat="1" applyFont="1" applyFill="1" applyBorder="1"/>
    <xf numFmtId="3" fontId="1" fillId="22" borderId="4" xfId="0" applyNumberFormat="1" applyFont="1" applyFill="1" applyBorder="1"/>
    <xf numFmtId="0" fontId="1" fillId="0" borderId="3" xfId="0" applyFont="1" applyBorder="1" applyAlignment="1">
      <alignment horizontal="right"/>
    </xf>
    <xf numFmtId="10" fontId="1" fillId="42" borderId="4" xfId="0" applyNumberFormat="1" applyFont="1" applyFill="1" applyBorder="1" applyAlignment="1">
      <alignment horizontal="right"/>
    </xf>
    <xf numFmtId="168" fontId="1" fillId="22" borderId="312" xfId="0" applyNumberFormat="1" applyFont="1" applyFill="1" applyBorder="1"/>
    <xf numFmtId="187" fontId="1" fillId="22" borderId="4" xfId="0" applyNumberFormat="1" applyFont="1" applyFill="1" applyBorder="1" applyAlignment="1">
      <alignment horizontal="right"/>
    </xf>
    <xf numFmtId="0" fontId="1" fillId="2" borderId="4" xfId="0" applyFont="1" applyFill="1" applyBorder="1"/>
    <xf numFmtId="168" fontId="1" fillId="2" borderId="312" xfId="0" applyNumberFormat="1" applyFont="1" applyFill="1" applyBorder="1" applyAlignment="1">
      <alignment horizontal="right"/>
    </xf>
    <xf numFmtId="3" fontId="1" fillId="2" borderId="4" xfId="0" applyNumberFormat="1" applyFont="1" applyFill="1" applyBorder="1" applyAlignment="1">
      <alignment horizontal="center"/>
    </xf>
    <xf numFmtId="9" fontId="1" fillId="2" borderId="4" xfId="0" applyNumberFormat="1" applyFont="1" applyFill="1" applyBorder="1"/>
    <xf numFmtId="9" fontId="1" fillId="2" borderId="4" xfId="0" applyNumberFormat="1" applyFont="1" applyFill="1" applyBorder="1" applyAlignment="1">
      <alignment horizontal="right"/>
    </xf>
    <xf numFmtId="3" fontId="1" fillId="2" borderId="53" xfId="0" applyNumberFormat="1" applyFont="1" applyFill="1" applyBorder="1" applyAlignment="1">
      <alignment horizontal="right"/>
    </xf>
    <xf numFmtId="3" fontId="1" fillId="42" borderId="4" xfId="0" applyNumberFormat="1" applyFont="1" applyFill="1" applyBorder="1"/>
    <xf numFmtId="172" fontId="1" fillId="42" borderId="4" xfId="0" applyNumberFormat="1" applyFont="1" applyFill="1" applyBorder="1" applyAlignment="1">
      <alignment horizontal="right"/>
    </xf>
    <xf numFmtId="3" fontId="32" fillId="43" borderId="55" xfId="0" applyNumberFormat="1" applyFont="1" applyFill="1" applyBorder="1" applyAlignment="1">
      <alignment horizontal="right"/>
    </xf>
    <xf numFmtId="3" fontId="32" fillId="2" borderId="55" xfId="0" applyNumberFormat="1" applyFont="1" applyFill="1" applyBorder="1" applyAlignment="1">
      <alignment horizontal="right"/>
    </xf>
    <xf numFmtId="3" fontId="32" fillId="2" borderId="56" xfId="0" applyNumberFormat="1" applyFont="1" applyFill="1" applyBorder="1" applyAlignment="1">
      <alignment horizontal="right"/>
    </xf>
    <xf numFmtId="43" fontId="6" fillId="0" borderId="0" xfId="0" applyNumberFormat="1" applyFont="1"/>
    <xf numFmtId="4" fontId="6" fillId="0" borderId="0" xfId="0" applyNumberFormat="1" applyFont="1"/>
    <xf numFmtId="177" fontId="6" fillId="0" borderId="0" xfId="0" applyNumberFormat="1" applyFont="1"/>
    <xf numFmtId="3" fontId="33" fillId="0" borderId="46" xfId="0" applyNumberFormat="1" applyFont="1" applyBorder="1" applyAlignment="1">
      <alignment horizontal="right"/>
    </xf>
    <xf numFmtId="0" fontId="33" fillId="0" borderId="46" xfId="0" applyFont="1" applyBorder="1"/>
    <xf numFmtId="3" fontId="101" fillId="42" borderId="46" xfId="0" applyNumberFormat="1" applyFont="1" applyFill="1" applyBorder="1"/>
    <xf numFmtId="0" fontId="33" fillId="42" borderId="46" xfId="0" applyFont="1" applyFill="1" applyBorder="1"/>
    <xf numFmtId="3" fontId="33" fillId="42" borderId="46" xfId="0" applyNumberFormat="1" applyFont="1" applyFill="1" applyBorder="1" applyAlignment="1">
      <alignment horizontal="right"/>
    </xf>
    <xf numFmtId="3" fontId="33" fillId="22" borderId="47" xfId="0" applyNumberFormat="1" applyFont="1" applyFill="1" applyBorder="1" applyAlignment="1">
      <alignment horizontal="right"/>
    </xf>
    <xf numFmtId="0" fontId="102" fillId="0" borderId="52" xfId="0" applyFont="1" applyBorder="1"/>
    <xf numFmtId="3" fontId="33" fillId="0" borderId="4" xfId="0" applyNumberFormat="1" applyFont="1" applyBorder="1" applyAlignment="1">
      <alignment horizontal="right"/>
    </xf>
    <xf numFmtId="0" fontId="102" fillId="0" borderId="4" xfId="0" applyFont="1" applyBorder="1"/>
    <xf numFmtId="3" fontId="33" fillId="0" borderId="53" xfId="0" applyNumberFormat="1" applyFont="1" applyBorder="1" applyAlignment="1">
      <alignment horizontal="right"/>
    </xf>
    <xf numFmtId="0" fontId="33" fillId="44" borderId="4" xfId="0" applyFont="1" applyFill="1" applyBorder="1"/>
    <xf numFmtId="176" fontId="34" fillId="44" borderId="4" xfId="0" applyNumberFormat="1" applyFont="1" applyFill="1" applyBorder="1" applyAlignment="1">
      <alignment horizontal="right"/>
    </xf>
    <xf numFmtId="176" fontId="33" fillId="42" borderId="4" xfId="0" applyNumberFormat="1" applyFont="1" applyFill="1" applyBorder="1" applyAlignment="1">
      <alignment horizontal="right"/>
    </xf>
    <xf numFmtId="176" fontId="34" fillId="22" borderId="53" xfId="0" applyNumberFormat="1" applyFont="1" applyFill="1" applyBorder="1" applyAlignment="1">
      <alignment horizontal="right"/>
    </xf>
    <xf numFmtId="0" fontId="33" fillId="45" borderId="4" xfId="0" applyFont="1" applyFill="1" applyBorder="1"/>
    <xf numFmtId="176" fontId="34" fillId="45" borderId="4" xfId="0" applyNumberFormat="1" applyFont="1" applyFill="1" applyBorder="1" applyAlignment="1">
      <alignment horizontal="right"/>
    </xf>
    <xf numFmtId="0" fontId="33" fillId="0" borderId="53" xfId="0" applyFont="1" applyBorder="1"/>
    <xf numFmtId="0" fontId="33" fillId="0" borderId="52" xfId="0" applyFont="1" applyBorder="1"/>
    <xf numFmtId="176" fontId="34" fillId="0" borderId="53" xfId="0" applyNumberFormat="1" applyFont="1" applyBorder="1" applyAlignment="1">
      <alignment horizontal="right"/>
    </xf>
    <xf numFmtId="0" fontId="33" fillId="46" borderId="4" xfId="0" applyFont="1" applyFill="1" applyBorder="1"/>
    <xf numFmtId="176" fontId="34" fillId="46" borderId="4" xfId="0" applyNumberFormat="1" applyFont="1" applyFill="1" applyBorder="1" applyAlignment="1">
      <alignment horizontal="right"/>
    </xf>
    <xf numFmtId="176" fontId="34" fillId="47" borderId="4" xfId="0" applyNumberFormat="1" applyFont="1" applyFill="1" applyBorder="1" applyAlignment="1">
      <alignment horizontal="right"/>
    </xf>
    <xf numFmtId="3" fontId="33" fillId="41" borderId="53" xfId="0" applyNumberFormat="1" applyFont="1" applyFill="1" applyBorder="1" applyAlignment="1">
      <alignment horizontal="right"/>
    </xf>
    <xf numFmtId="0" fontId="33" fillId="30" borderId="4" xfId="0" applyFont="1" applyFill="1" applyBorder="1"/>
    <xf numFmtId="176" fontId="34" fillId="30" borderId="4" xfId="0" applyNumberFormat="1" applyFont="1" applyFill="1" applyBorder="1" applyAlignment="1">
      <alignment horizontal="right"/>
    </xf>
    <xf numFmtId="176" fontId="34" fillId="41" borderId="53" xfId="0" applyNumberFormat="1" applyFont="1" applyFill="1" applyBorder="1" applyAlignment="1">
      <alignment horizontal="right"/>
    </xf>
    <xf numFmtId="176" fontId="34" fillId="23" borderId="53" xfId="0" applyNumberFormat="1" applyFont="1" applyFill="1" applyBorder="1" applyAlignment="1">
      <alignment horizontal="right"/>
    </xf>
    <xf numFmtId="176" fontId="34" fillId="48" borderId="53" xfId="0" applyNumberFormat="1" applyFont="1" applyFill="1" applyBorder="1" applyAlignment="1">
      <alignment horizontal="right"/>
    </xf>
    <xf numFmtId="176" fontId="103" fillId="0" borderId="53" xfId="0" applyNumberFormat="1" applyFont="1" applyBorder="1" applyAlignment="1">
      <alignment horizontal="right"/>
    </xf>
    <xf numFmtId="176" fontId="33" fillId="0" borderId="53" xfId="0" applyNumberFormat="1" applyFont="1" applyBorder="1"/>
    <xf numFmtId="178" fontId="103" fillId="0" borderId="53" xfId="0" applyNumberFormat="1" applyFont="1" applyBorder="1" applyAlignment="1">
      <alignment horizontal="right"/>
    </xf>
    <xf numFmtId="167" fontId="103" fillId="0" borderId="53" xfId="0" applyNumberFormat="1" applyFont="1" applyBorder="1" applyAlignment="1">
      <alignment horizontal="right"/>
    </xf>
    <xf numFmtId="178" fontId="35" fillId="49" borderId="53" xfId="0" applyNumberFormat="1" applyFont="1" applyFill="1" applyBorder="1" applyAlignment="1">
      <alignment horizontal="right"/>
    </xf>
    <xf numFmtId="0" fontId="33" fillId="0" borderId="54" xfId="0" applyFont="1" applyBorder="1"/>
    <xf numFmtId="0" fontId="33" fillId="0" borderId="55" xfId="0" applyFont="1" applyBorder="1"/>
    <xf numFmtId="0" fontId="33" fillId="0" borderId="56" xfId="0" applyFont="1" applyBorder="1"/>
    <xf numFmtId="0" fontId="6" fillId="0" borderId="0" xfId="0" applyFont="1" applyAlignment="1">
      <alignment vertical="top"/>
    </xf>
    <xf numFmtId="0" fontId="5" fillId="0" borderId="110" xfId="0" applyFont="1" applyBorder="1" applyAlignment="1">
      <alignment horizontal="right"/>
    </xf>
    <xf numFmtId="0" fontId="6" fillId="0" borderId="110" xfId="0" applyFont="1" applyBorder="1"/>
    <xf numFmtId="0" fontId="6" fillId="0" borderId="67" xfId="0" applyFont="1" applyBorder="1"/>
    <xf numFmtId="0" fontId="104" fillId="0" borderId="20" xfId="0" applyFont="1" applyBorder="1"/>
    <xf numFmtId="11" fontId="5" fillId="0" borderId="0" xfId="0" applyNumberFormat="1" applyFont="1" applyAlignment="1">
      <alignment horizontal="right"/>
    </xf>
    <xf numFmtId="0" fontId="6" fillId="0" borderId="19" xfId="0" applyFont="1" applyBorder="1"/>
    <xf numFmtId="0" fontId="5" fillId="0" borderId="0" xfId="0" applyFont="1" applyAlignment="1">
      <alignment horizontal="right"/>
    </xf>
    <xf numFmtId="0" fontId="104" fillId="0" borderId="0" xfId="0" applyFont="1"/>
    <xf numFmtId="0" fontId="104" fillId="0" borderId="19" xfId="0" applyFont="1" applyBorder="1"/>
    <xf numFmtId="0" fontId="6" fillId="0" borderId="20" xfId="0" applyFont="1" applyBorder="1"/>
    <xf numFmtId="10" fontId="6" fillId="0" borderId="0" xfId="0" applyNumberFormat="1" applyFont="1"/>
    <xf numFmtId="10" fontId="5" fillId="0" borderId="0" xfId="0" applyNumberFormat="1" applyFont="1" applyAlignment="1">
      <alignment horizontal="right"/>
    </xf>
    <xf numFmtId="0" fontId="104" fillId="0" borderId="22" xfId="0" applyFont="1" applyBorder="1"/>
    <xf numFmtId="0" fontId="5" fillId="0" borderId="23" xfId="0" applyFont="1" applyBorder="1" applyAlignment="1">
      <alignment horizontal="right"/>
    </xf>
    <xf numFmtId="0" fontId="5" fillId="0" borderId="23" xfId="0" applyFont="1" applyBorder="1"/>
    <xf numFmtId="0" fontId="6" fillId="0" borderId="32" xfId="0" applyFont="1" applyBorder="1"/>
    <xf numFmtId="0" fontId="11" fillId="0" borderId="25" xfId="0" applyFont="1" applyBorder="1" applyAlignment="1">
      <alignment horizontal="center" textRotation="90"/>
    </xf>
    <xf numFmtId="0" fontId="105" fillId="0" borderId="25" xfId="0" applyFont="1" applyBorder="1" applyAlignment="1">
      <alignment horizontal="center" textRotation="90"/>
    </xf>
    <xf numFmtId="0" fontId="106" fillId="0" borderId="25" xfId="0" applyFont="1" applyBorder="1" applyAlignment="1">
      <alignment horizontal="center" textRotation="90"/>
    </xf>
    <xf numFmtId="0" fontId="107" fillId="0" borderId="25" xfId="0" applyFont="1" applyBorder="1" applyAlignment="1">
      <alignment horizontal="center" textRotation="90" wrapText="1"/>
    </xf>
    <xf numFmtId="0" fontId="11" fillId="0" borderId="25" xfId="0" applyFont="1" applyBorder="1" applyAlignment="1">
      <alignment horizontal="center" textRotation="90" wrapText="1"/>
    </xf>
    <xf numFmtId="0" fontId="108" fillId="0" borderId="25" xfId="0" applyFont="1" applyBorder="1" applyAlignment="1">
      <alignment horizontal="center" textRotation="90" wrapText="1"/>
    </xf>
    <xf numFmtId="0" fontId="109" fillId="0" borderId="25" xfId="0" applyFont="1" applyBorder="1" applyAlignment="1">
      <alignment horizontal="center" textRotation="90" wrapText="1"/>
    </xf>
    <xf numFmtId="0" fontId="110" fillId="0" borderId="25" xfId="0" applyFont="1" applyBorder="1" applyAlignment="1">
      <alignment horizontal="center" textRotation="90" wrapText="1"/>
    </xf>
    <xf numFmtId="0" fontId="111" fillId="0" borderId="25" xfId="0" applyFont="1" applyBorder="1" applyAlignment="1">
      <alignment horizontal="center" textRotation="90" wrapText="1"/>
    </xf>
    <xf numFmtId="0" fontId="55" fillId="0" borderId="25" xfId="0" applyFont="1" applyBorder="1" applyAlignment="1">
      <alignment horizontal="center" textRotation="90" wrapText="1"/>
    </xf>
    <xf numFmtId="0" fontId="5" fillId="0" borderId="14" xfId="0" applyFont="1" applyBorder="1"/>
    <xf numFmtId="0" fontId="5" fillId="38" borderId="71" xfId="0" applyFont="1" applyFill="1" applyBorder="1" applyAlignment="1">
      <alignment horizontal="center"/>
    </xf>
    <xf numFmtId="0" fontId="5" fillId="50" borderId="71" xfId="0" applyFont="1" applyFill="1" applyBorder="1" applyAlignment="1">
      <alignment horizontal="center"/>
    </xf>
    <xf numFmtId="0" fontId="5" fillId="13" borderId="71" xfId="0" applyFont="1" applyFill="1" applyBorder="1" applyAlignment="1">
      <alignment horizontal="center"/>
    </xf>
    <xf numFmtId="0" fontId="11" fillId="38" borderId="71" xfId="0" applyFont="1" applyFill="1" applyBorder="1" applyAlignment="1">
      <alignment horizontal="center"/>
    </xf>
    <xf numFmtId="0" fontId="11" fillId="50" borderId="71" xfId="0" applyFont="1" applyFill="1" applyBorder="1" applyAlignment="1">
      <alignment horizontal="center"/>
    </xf>
    <xf numFmtId="0" fontId="11" fillId="13" borderId="71" xfId="0" applyFont="1" applyFill="1" applyBorder="1" applyAlignment="1">
      <alignment horizontal="center"/>
    </xf>
    <xf numFmtId="0" fontId="6" fillId="0" borderId="12" xfId="0" applyFont="1" applyBorder="1"/>
    <xf numFmtId="176" fontId="6" fillId="0" borderId="12" xfId="0" applyNumberFormat="1" applyFont="1" applyBorder="1"/>
    <xf numFmtId="10" fontId="6" fillId="0" borderId="12" xfId="0" applyNumberFormat="1" applyFont="1" applyBorder="1"/>
    <xf numFmtId="2" fontId="6" fillId="0" borderId="12" xfId="0" applyNumberFormat="1" applyFont="1" applyBorder="1"/>
    <xf numFmtId="4" fontId="6" fillId="28" borderId="12" xfId="0" applyNumberFormat="1" applyFont="1" applyFill="1" applyBorder="1"/>
    <xf numFmtId="175" fontId="6" fillId="0" borderId="12" xfId="0" applyNumberFormat="1" applyFont="1" applyBorder="1"/>
    <xf numFmtId="37" fontId="6" fillId="0" borderId="12" xfId="0" applyNumberFormat="1" applyFont="1" applyBorder="1"/>
    <xf numFmtId="177" fontId="6" fillId="0" borderId="12" xfId="0" applyNumberFormat="1" applyFont="1" applyBorder="1"/>
    <xf numFmtId="181" fontId="6" fillId="0" borderId="12" xfId="0" applyNumberFormat="1" applyFont="1" applyBorder="1"/>
    <xf numFmtId="0" fontId="5" fillId="0" borderId="12" xfId="0" applyFont="1" applyBorder="1" applyAlignment="1">
      <alignment horizontal="center"/>
    </xf>
    <xf numFmtId="176" fontId="5" fillId="0" borderId="12" xfId="0" applyNumberFormat="1" applyFont="1" applyBorder="1" applyAlignment="1">
      <alignment horizontal="center"/>
    </xf>
    <xf numFmtId="10" fontId="5" fillId="0" borderId="12" xfId="0" applyNumberFormat="1" applyFont="1" applyBorder="1" applyAlignment="1">
      <alignment horizontal="center"/>
    </xf>
    <xf numFmtId="4" fontId="5" fillId="28" borderId="12" xfId="0" applyNumberFormat="1" applyFont="1" applyFill="1" applyBorder="1" applyAlignment="1">
      <alignment horizontal="center"/>
    </xf>
    <xf numFmtId="175" fontId="5" fillId="0" borderId="12" xfId="0" applyNumberFormat="1" applyFont="1" applyBorder="1" applyAlignment="1">
      <alignment horizontal="center"/>
    </xf>
    <xf numFmtId="3" fontId="5" fillId="0" borderId="12" xfId="0" applyNumberFormat="1" applyFont="1" applyBorder="1" applyAlignment="1">
      <alignment horizontal="center"/>
    </xf>
    <xf numFmtId="4" fontId="5" fillId="0" borderId="12" xfId="0" applyNumberFormat="1" applyFont="1" applyBorder="1" applyAlignment="1">
      <alignment horizontal="center"/>
    </xf>
    <xf numFmtId="0" fontId="6" fillId="51" borderId="12" xfId="0" applyFont="1" applyFill="1" applyBorder="1"/>
    <xf numFmtId="0" fontId="6" fillId="51" borderId="12" xfId="0" applyFont="1" applyFill="1" applyBorder="1" applyAlignment="1">
      <alignment horizontal="center"/>
    </xf>
    <xf numFmtId="10" fontId="6" fillId="51" borderId="12" xfId="0" applyNumberFormat="1" applyFont="1" applyFill="1" applyBorder="1" applyAlignment="1">
      <alignment horizontal="center"/>
    </xf>
    <xf numFmtId="4" fontId="6" fillId="51" borderId="12" xfId="0" applyNumberFormat="1" applyFont="1" applyFill="1" applyBorder="1" applyAlignment="1">
      <alignment horizontal="center"/>
    </xf>
    <xf numFmtId="3" fontId="6" fillId="51" borderId="12" xfId="0" applyNumberFormat="1" applyFont="1" applyFill="1" applyBorder="1" applyAlignment="1">
      <alignment horizontal="center"/>
    </xf>
    <xf numFmtId="0" fontId="6" fillId="32" borderId="12" xfId="0" applyFont="1" applyFill="1" applyBorder="1"/>
    <xf numFmtId="10" fontId="6" fillId="32" borderId="12" xfId="0" applyNumberFormat="1" applyFont="1" applyFill="1" applyBorder="1"/>
    <xf numFmtId="4" fontId="6" fillId="32" borderId="12" xfId="0" applyNumberFormat="1" applyFont="1" applyFill="1" applyBorder="1"/>
    <xf numFmtId="0" fontId="11" fillId="20" borderId="70" xfId="0" applyFont="1" applyFill="1" applyBorder="1" applyAlignment="1">
      <alignment horizontal="center"/>
    </xf>
    <xf numFmtId="0" fontId="5" fillId="20" borderId="70" xfId="0" applyFont="1" applyFill="1" applyBorder="1"/>
    <xf numFmtId="3" fontId="11" fillId="20" borderId="70" xfId="0" applyNumberFormat="1" applyFont="1" applyFill="1" applyBorder="1" applyAlignment="1">
      <alignment horizontal="center"/>
    </xf>
    <xf numFmtId="4" fontId="5" fillId="20" borderId="70" xfId="0" applyNumberFormat="1" applyFont="1" applyFill="1" applyBorder="1"/>
    <xf numFmtId="3" fontId="5" fillId="0" borderId="0" xfId="0" applyNumberFormat="1" applyFont="1" applyAlignment="1">
      <alignment horizontal="right"/>
    </xf>
    <xf numFmtId="0" fontId="112" fillId="0" borderId="0" xfId="0" applyFont="1"/>
    <xf numFmtId="0" fontId="1" fillId="0" borderId="45" xfId="0" applyFont="1" applyBorder="1"/>
    <xf numFmtId="0" fontId="1" fillId="0" borderId="47" xfId="0" applyFont="1" applyBorder="1"/>
    <xf numFmtId="0" fontId="1" fillId="10" borderId="21" xfId="0" applyFont="1" applyFill="1" applyBorder="1"/>
    <xf numFmtId="0" fontId="32" fillId="10" borderId="52" xfId="0" applyFont="1" applyFill="1" applyBorder="1"/>
    <xf numFmtId="0" fontId="1" fillId="0" borderId="53" xfId="0" applyFont="1" applyBorder="1"/>
    <xf numFmtId="0" fontId="32" fillId="10" borderId="21" xfId="0" applyFont="1" applyFill="1" applyBorder="1"/>
    <xf numFmtId="176" fontId="32" fillId="0" borderId="4" xfId="0" applyNumberFormat="1" applyFont="1" applyBorder="1"/>
    <xf numFmtId="43" fontId="1" fillId="0" borderId="4" xfId="0" applyNumberFormat="1" applyFont="1" applyBorder="1"/>
    <xf numFmtId="43" fontId="32" fillId="0" borderId="4" xfId="0" applyNumberFormat="1" applyFont="1" applyBorder="1"/>
    <xf numFmtId="37" fontId="32" fillId="0" borderId="4" xfId="0" applyNumberFormat="1" applyFont="1" applyBorder="1"/>
    <xf numFmtId="177" fontId="1" fillId="0" borderId="4" xfId="0" applyNumberFormat="1" applyFont="1" applyBorder="1"/>
    <xf numFmtId="0" fontId="1" fillId="10" borderId="51" xfId="0" applyFont="1" applyFill="1" applyBorder="1"/>
    <xf numFmtId="181" fontId="1" fillId="0" borderId="4" xfId="0" applyNumberFormat="1" applyFont="1" applyBorder="1"/>
    <xf numFmtId="43" fontId="1" fillId="10" borderId="4" xfId="0" applyNumberFormat="1" applyFont="1" applyFill="1" applyBorder="1"/>
    <xf numFmtId="43" fontId="32" fillId="10" borderId="4" xfId="0" applyNumberFormat="1" applyFont="1" applyFill="1" applyBorder="1"/>
    <xf numFmtId="43" fontId="30" fillId="10" borderId="4" xfId="0" applyNumberFormat="1" applyFont="1" applyFill="1" applyBorder="1"/>
    <xf numFmtId="43" fontId="74" fillId="10" borderId="4" xfId="0" applyNumberFormat="1" applyFont="1" applyFill="1" applyBorder="1"/>
    <xf numFmtId="0" fontId="30" fillId="10" borderId="51" xfId="0" applyFont="1" applyFill="1" applyBorder="1"/>
    <xf numFmtId="176" fontId="32" fillId="10" borderId="4" xfId="0" applyNumberFormat="1" applyFont="1" applyFill="1" applyBorder="1"/>
    <xf numFmtId="181" fontId="32" fillId="10" borderId="4" xfId="0" applyNumberFormat="1" applyFont="1" applyFill="1" applyBorder="1"/>
    <xf numFmtId="0" fontId="1" fillId="10" borderId="52" xfId="0" applyFont="1" applyFill="1" applyBorder="1"/>
    <xf numFmtId="0" fontId="1" fillId="40" borderId="21" xfId="0" applyFont="1" applyFill="1" applyBorder="1"/>
    <xf numFmtId="43" fontId="1" fillId="40" borderId="4" xfId="0" applyNumberFormat="1" applyFont="1" applyFill="1" applyBorder="1"/>
    <xf numFmtId="43" fontId="32" fillId="40" borderId="4" xfId="0" applyNumberFormat="1" applyFont="1" applyFill="1" applyBorder="1"/>
    <xf numFmtId="0" fontId="1" fillId="40" borderId="51" xfId="0" applyFont="1" applyFill="1" applyBorder="1"/>
    <xf numFmtId="178" fontId="1" fillId="40" borderId="4" xfId="0" applyNumberFormat="1" applyFont="1" applyFill="1" applyBorder="1"/>
    <xf numFmtId="11" fontId="1" fillId="40" borderId="4" xfId="0" applyNumberFormat="1" applyFont="1" applyFill="1" applyBorder="1"/>
    <xf numFmtId="2" fontId="32" fillId="40" borderId="4" xfId="0" applyNumberFormat="1" applyFont="1" applyFill="1" applyBorder="1"/>
    <xf numFmtId="177" fontId="1" fillId="40" borderId="4" xfId="0" applyNumberFormat="1" applyFont="1" applyFill="1" applyBorder="1"/>
    <xf numFmtId="0" fontId="1" fillId="40" borderId="52" xfId="0" applyFont="1" applyFill="1" applyBorder="1"/>
    <xf numFmtId="178" fontId="1" fillId="0" borderId="4" xfId="0" applyNumberFormat="1" applyFont="1" applyBorder="1"/>
    <xf numFmtId="0" fontId="1" fillId="0" borderId="113" xfId="0" applyFont="1" applyBorder="1"/>
    <xf numFmtId="0" fontId="1" fillId="0" borderId="48" xfId="0" applyFont="1" applyBorder="1"/>
    <xf numFmtId="0" fontId="1" fillId="0" borderId="50" xfId="0" applyFont="1" applyBorder="1"/>
    <xf numFmtId="0" fontId="1" fillId="29" borderId="317" xfId="0" applyFont="1" applyFill="1" applyBorder="1"/>
    <xf numFmtId="2" fontId="1" fillId="29" borderId="4" xfId="0" applyNumberFormat="1" applyFont="1" applyFill="1" applyBorder="1" applyAlignment="1">
      <alignment horizontal="center"/>
    </xf>
    <xf numFmtId="2" fontId="32" fillId="29" borderId="4" xfId="0" applyNumberFormat="1" applyFont="1" applyFill="1" applyBorder="1" applyAlignment="1">
      <alignment horizontal="center"/>
    </xf>
    <xf numFmtId="0" fontId="1" fillId="29" borderId="51" xfId="0" applyFont="1" applyFill="1" applyBorder="1"/>
    <xf numFmtId="0" fontId="1" fillId="29" borderId="21" xfId="0" applyFont="1" applyFill="1" applyBorder="1"/>
    <xf numFmtId="43" fontId="1" fillId="29" borderId="4" xfId="0" applyNumberFormat="1" applyFont="1" applyFill="1" applyBorder="1"/>
    <xf numFmtId="43" fontId="32" fillId="29" borderId="4" xfId="0" applyNumberFormat="1" applyFont="1" applyFill="1" applyBorder="1"/>
    <xf numFmtId="2" fontId="1" fillId="29" borderId="4" xfId="0" applyNumberFormat="1" applyFont="1" applyFill="1" applyBorder="1"/>
    <xf numFmtId="2" fontId="32" fillId="29" borderId="4" xfId="0" applyNumberFormat="1" applyFont="1" applyFill="1" applyBorder="1"/>
    <xf numFmtId="181" fontId="32" fillId="29" borderId="4" xfId="0" applyNumberFormat="1" applyFont="1" applyFill="1" applyBorder="1"/>
    <xf numFmtId="0" fontId="1" fillId="29" borderId="52" xfId="0" applyFont="1" applyFill="1" applyBorder="1"/>
    <xf numFmtId="0" fontId="1" fillId="0" borderId="112" xfId="0" applyFont="1" applyBorder="1"/>
    <xf numFmtId="0" fontId="1" fillId="0" borderId="111" xfId="0" applyFont="1" applyBorder="1"/>
    <xf numFmtId="0" fontId="1" fillId="0" borderId="139" xfId="0" applyFont="1" applyBorder="1"/>
    <xf numFmtId="0" fontId="1" fillId="0" borderId="31" xfId="0" applyFont="1" applyBorder="1"/>
    <xf numFmtId="0" fontId="30" fillId="0" borderId="31" xfId="0" quotePrefix="1" applyFont="1" applyBorder="1"/>
    <xf numFmtId="0" fontId="69" fillId="0" borderId="0" xfId="0" applyFont="1" applyAlignment="1">
      <alignment wrapText="1"/>
    </xf>
    <xf numFmtId="0" fontId="5" fillId="0" borderId="0" xfId="0" applyFont="1" applyAlignment="1">
      <alignment wrapText="1"/>
    </xf>
    <xf numFmtId="0" fontId="5" fillId="0" borderId="0" xfId="0" applyFont="1" applyAlignment="1">
      <alignment horizontal="left" wrapText="1"/>
    </xf>
    <xf numFmtId="0" fontId="5" fillId="0" borderId="162" xfId="0" applyFont="1" applyBorder="1"/>
    <xf numFmtId="0" fontId="5" fillId="0" borderId="163" xfId="0" applyFont="1" applyBorder="1"/>
    <xf numFmtId="0" fontId="11" fillId="0" borderId="164" xfId="0" applyFont="1" applyBorder="1" applyAlignment="1">
      <alignment horizontal="center"/>
    </xf>
    <xf numFmtId="0" fontId="11" fillId="0" borderId="165" xfId="0" applyFont="1" applyBorder="1"/>
    <xf numFmtId="0" fontId="11" fillId="0" borderId="166" xfId="0" applyFont="1" applyBorder="1" applyAlignment="1">
      <alignment horizontal="center"/>
    </xf>
    <xf numFmtId="0" fontId="11" fillId="0" borderId="4" xfId="0" applyFont="1" applyBorder="1"/>
    <xf numFmtId="0" fontId="5" fillId="0" borderId="166" xfId="0" applyFont="1" applyBorder="1"/>
    <xf numFmtId="0" fontId="5" fillId="0" borderId="165" xfId="0" applyFont="1" applyBorder="1" applyAlignment="1">
      <alignment horizontal="center"/>
    </xf>
    <xf numFmtId="0" fontId="11" fillId="0" borderId="165" xfId="0" applyFont="1" applyBorder="1" applyAlignment="1">
      <alignment horizontal="center"/>
    </xf>
    <xf numFmtId="0" fontId="5" fillId="0" borderId="178" xfId="0" applyFont="1" applyBorder="1" applyAlignment="1">
      <alignment horizontal="center"/>
    </xf>
    <xf numFmtId="0" fontId="5" fillId="0" borderId="63" xfId="0" applyFont="1" applyBorder="1" applyAlignment="1">
      <alignment horizontal="center"/>
    </xf>
    <xf numFmtId="0" fontId="5" fillId="0" borderId="179" xfId="0" applyFont="1" applyBorder="1"/>
    <xf numFmtId="0" fontId="45" fillId="0" borderId="0" xfId="0" applyFont="1" applyAlignment="1">
      <alignment horizontal="center"/>
    </xf>
    <xf numFmtId="176" fontId="83" fillId="0" borderId="0" xfId="0" applyNumberFormat="1" applyFont="1"/>
    <xf numFmtId="176" fontId="45" fillId="0" borderId="0" xfId="0" applyNumberFormat="1" applyFont="1" applyAlignment="1">
      <alignment horizontal="center"/>
    </xf>
    <xf numFmtId="169" fontId="83" fillId="0" borderId="0" xfId="0" applyNumberFormat="1" applyFont="1"/>
    <xf numFmtId="0" fontId="38" fillId="26" borderId="33" xfId="0" applyFont="1" applyFill="1" applyBorder="1"/>
    <xf numFmtId="0" fontId="45" fillId="26" borderId="33" xfId="0" applyFont="1" applyFill="1" applyBorder="1"/>
    <xf numFmtId="0" fontId="45" fillId="26" borderId="33" xfId="0" applyFont="1" applyFill="1" applyBorder="1" applyAlignment="1">
      <alignment horizontal="center"/>
    </xf>
    <xf numFmtId="0" fontId="83" fillId="24" borderId="282" xfId="0" applyFont="1" applyFill="1" applyBorder="1" applyAlignment="1">
      <alignment horizontal="center"/>
    </xf>
    <xf numFmtId="0" fontId="83" fillId="24" borderId="283" xfId="0" applyFont="1" applyFill="1" applyBorder="1" applyAlignment="1">
      <alignment horizontal="center"/>
    </xf>
    <xf numFmtId="0" fontId="45" fillId="24" borderId="286" xfId="0" applyFont="1" applyFill="1" applyBorder="1"/>
    <xf numFmtId="0" fontId="45" fillId="24" borderId="200" xfId="0" applyFont="1" applyFill="1" applyBorder="1"/>
    <xf numFmtId="0" fontId="45" fillId="24" borderId="200" xfId="0" applyFont="1" applyFill="1" applyBorder="1" applyAlignment="1">
      <alignment horizontal="center" wrapText="1"/>
    </xf>
    <xf numFmtId="0" fontId="45" fillId="24" borderId="287" xfId="0" applyFont="1" applyFill="1" applyBorder="1"/>
    <xf numFmtId="0" fontId="45" fillId="0" borderId="65" xfId="0" applyFont="1" applyBorder="1" applyAlignment="1">
      <alignment vertical="top" wrapText="1"/>
    </xf>
    <xf numFmtId="176" fontId="45" fillId="0" borderId="29" xfId="0" applyNumberFormat="1" applyFont="1" applyBorder="1"/>
    <xf numFmtId="2" fontId="45" fillId="0" borderId="29" xfId="0" applyNumberFormat="1" applyFont="1" applyBorder="1"/>
    <xf numFmtId="178" fontId="45" fillId="0" borderId="29" xfId="0" applyNumberFormat="1" applyFont="1" applyBorder="1"/>
    <xf numFmtId="169" fontId="45" fillId="0" borderId="66" xfId="0" applyNumberFormat="1" applyFont="1" applyBorder="1"/>
    <xf numFmtId="0" fontId="45" fillId="0" borderId="52" xfId="0" applyFont="1" applyBorder="1" applyAlignment="1">
      <alignment vertical="top" wrapText="1"/>
    </xf>
    <xf numFmtId="176" fontId="45" fillId="0" borderId="4" xfId="0" applyNumberFormat="1" applyFont="1" applyBorder="1"/>
    <xf numFmtId="2" fontId="45" fillId="0" borderId="4" xfId="0" applyNumberFormat="1" applyFont="1" applyBorder="1"/>
    <xf numFmtId="178" fontId="45" fillId="0" borderId="4" xfId="0" applyNumberFormat="1" applyFont="1" applyBorder="1"/>
    <xf numFmtId="169" fontId="45" fillId="0" borderId="53" xfId="0" applyNumberFormat="1" applyFont="1" applyBorder="1"/>
    <xf numFmtId="0" fontId="83" fillId="0" borderId="52" xfId="0" applyFont="1" applyBorder="1"/>
    <xf numFmtId="0" fontId="45" fillId="0" borderId="2" xfId="0" applyFont="1" applyBorder="1"/>
    <xf numFmtId="0" fontId="45" fillId="0" borderId="3" xfId="0" applyFont="1" applyBorder="1"/>
    <xf numFmtId="178" fontId="83" fillId="0" borderId="4" xfId="0" applyNumberFormat="1" applyFont="1" applyBorder="1"/>
    <xf numFmtId="169" fontId="83" fillId="0" borderId="53" xfId="0" applyNumberFormat="1" applyFont="1" applyBorder="1"/>
    <xf numFmtId="0" fontId="38" fillId="27" borderId="33" xfId="0" applyFont="1" applyFill="1" applyBorder="1"/>
    <xf numFmtId="0" fontId="45" fillId="27" borderId="33" xfId="0" applyFont="1" applyFill="1" applyBorder="1"/>
    <xf numFmtId="0" fontId="45" fillId="24" borderId="45" xfId="0" applyFont="1" applyFill="1" applyBorder="1"/>
    <xf numFmtId="0" fontId="83" fillId="24" borderId="46" xfId="0" applyFont="1" applyFill="1" applyBorder="1" applyAlignment="1">
      <alignment horizontal="center"/>
    </xf>
    <xf numFmtId="0" fontId="83" fillId="24" borderId="47" xfId="0" applyFont="1" applyFill="1" applyBorder="1" applyAlignment="1">
      <alignment horizontal="center"/>
    </xf>
    <xf numFmtId="0" fontId="83" fillId="24" borderId="52" xfId="0" applyFont="1" applyFill="1" applyBorder="1" applyAlignment="1">
      <alignment horizontal="left"/>
    </xf>
    <xf numFmtId="0" fontId="45" fillId="24" borderId="4" xfId="0" applyFont="1" applyFill="1" applyBorder="1"/>
    <xf numFmtId="0" fontId="45" fillId="24" borderId="4" xfId="0" applyFont="1" applyFill="1" applyBorder="1" applyAlignment="1">
      <alignment horizontal="center" wrapText="1"/>
    </xf>
    <xf numFmtId="0" fontId="113" fillId="24" borderId="4" xfId="0" applyFont="1" applyFill="1" applyBorder="1"/>
    <xf numFmtId="0" fontId="113" fillId="24" borderId="53" xfId="0" applyFont="1" applyFill="1" applyBorder="1"/>
    <xf numFmtId="0" fontId="114" fillId="0" borderId="0" xfId="0" applyFont="1"/>
    <xf numFmtId="0" fontId="83" fillId="0" borderId="52" xfId="0" applyFont="1" applyBorder="1" applyAlignment="1">
      <alignment horizontal="left"/>
    </xf>
    <xf numFmtId="0" fontId="45" fillId="0" borderId="4" xfId="0" applyFont="1" applyBorder="1"/>
    <xf numFmtId="0" fontId="115" fillId="0" borderId="4" xfId="0" applyFont="1" applyBorder="1"/>
    <xf numFmtId="0" fontId="115" fillId="0" borderId="53" xfId="0" applyFont="1" applyBorder="1"/>
    <xf numFmtId="0" fontId="116" fillId="0" borderId="0" xfId="0" applyFont="1"/>
    <xf numFmtId="0" fontId="45" fillId="0" borderId="52" xfId="0" applyFont="1" applyBorder="1" applyAlignment="1">
      <alignment horizontal="left" vertical="top" wrapText="1"/>
    </xf>
    <xf numFmtId="176" fontId="40" fillId="0" borderId="4" xfId="0" applyNumberFormat="1" applyFont="1" applyBorder="1"/>
    <xf numFmtId="43" fontId="40" fillId="0" borderId="4" xfId="0" applyNumberFormat="1" applyFont="1" applyBorder="1"/>
    <xf numFmtId="179" fontId="40" fillId="0" borderId="53" xfId="0" applyNumberFormat="1" applyFont="1" applyBorder="1"/>
    <xf numFmtId="179" fontId="76" fillId="0" borderId="80" xfId="0" applyNumberFormat="1" applyFont="1" applyBorder="1"/>
    <xf numFmtId="169" fontId="40" fillId="0" borderId="53" xfId="0" applyNumberFormat="1" applyFont="1" applyBorder="1"/>
    <xf numFmtId="0" fontId="83" fillId="24" borderId="54" xfId="0" applyFont="1" applyFill="1" applyBorder="1"/>
    <xf numFmtId="0" fontId="45" fillId="24" borderId="55" xfId="0" applyFont="1" applyFill="1" applyBorder="1"/>
    <xf numFmtId="176" fontId="86" fillId="24" borderId="55" xfId="0" applyNumberFormat="1" applyFont="1" applyFill="1" applyBorder="1"/>
    <xf numFmtId="179" fontId="86" fillId="24" borderId="56" xfId="0" applyNumberFormat="1" applyFont="1" applyFill="1" applyBorder="1"/>
    <xf numFmtId="179" fontId="117" fillId="0" borderId="80" xfId="0" applyNumberFormat="1" applyFont="1" applyBorder="1"/>
    <xf numFmtId="0" fontId="38" fillId="12" borderId="33" xfId="0" applyFont="1" applyFill="1" applyBorder="1"/>
    <xf numFmtId="0" fontId="45" fillId="12" borderId="33" xfId="0" applyFont="1" applyFill="1" applyBorder="1" applyAlignment="1">
      <alignment horizontal="center"/>
    </xf>
    <xf numFmtId="0" fontId="45" fillId="12" borderId="33" xfId="0" applyFont="1" applyFill="1" applyBorder="1"/>
    <xf numFmtId="0" fontId="45" fillId="24" borderId="284" xfId="0" applyFont="1" applyFill="1" applyBorder="1"/>
    <xf numFmtId="0" fontId="45" fillId="24" borderId="153" xfId="0" applyFont="1" applyFill="1" applyBorder="1"/>
    <xf numFmtId="0" fontId="45" fillId="24" borderId="285" xfId="0" applyFont="1" applyFill="1" applyBorder="1"/>
    <xf numFmtId="176" fontId="45" fillId="24" borderId="200" xfId="0" applyNumberFormat="1" applyFont="1" applyFill="1" applyBorder="1"/>
    <xf numFmtId="176" fontId="45" fillId="24" borderId="287" xfId="0" applyNumberFormat="1" applyFont="1" applyFill="1" applyBorder="1"/>
    <xf numFmtId="182" fontId="45" fillId="0" borderId="29" xfId="0" applyNumberFormat="1" applyFont="1" applyBorder="1"/>
    <xf numFmtId="175" fontId="45" fillId="0" borderId="4" xfId="0" applyNumberFormat="1" applyFont="1" applyBorder="1"/>
    <xf numFmtId="0" fontId="83" fillId="24" borderId="125" xfId="0" applyFont="1" applyFill="1" applyBorder="1"/>
    <xf numFmtId="0" fontId="45" fillId="24" borderId="289" xfId="0" applyFont="1" applyFill="1" applyBorder="1"/>
    <xf numFmtId="176" fontId="83" fillId="24" borderId="4" xfId="0" applyNumberFormat="1" applyFont="1" applyFill="1" applyBorder="1"/>
    <xf numFmtId="169" fontId="83" fillId="24" borderId="53" xfId="0" applyNumberFormat="1" applyFont="1" applyFill="1" applyBorder="1"/>
    <xf numFmtId="176" fontId="83" fillId="0" borderId="0" xfId="0" applyNumberFormat="1" applyFont="1" applyAlignment="1">
      <alignment horizontal="center"/>
    </xf>
    <xf numFmtId="0" fontId="45" fillId="24" borderId="319" xfId="0" applyFont="1" applyFill="1" applyBorder="1"/>
    <xf numFmtId="0" fontId="118" fillId="24" borderId="307" xfId="0" applyFont="1" applyFill="1" applyBorder="1" applyAlignment="1">
      <alignment horizontal="center"/>
    </xf>
    <xf numFmtId="0" fontId="118" fillId="24" borderId="319" xfId="0" applyFont="1" applyFill="1" applyBorder="1" applyAlignment="1">
      <alignment horizontal="center"/>
    </xf>
    <xf numFmtId="0" fontId="118" fillId="24" borderId="307" xfId="0" applyFont="1" applyFill="1" applyBorder="1"/>
    <xf numFmtId="0" fontId="118" fillId="24" borderId="198" xfId="0" applyFont="1" applyFill="1" applyBorder="1"/>
    <xf numFmtId="0" fontId="118" fillId="24" borderId="319" xfId="0" applyFont="1" applyFill="1" applyBorder="1"/>
    <xf numFmtId="0" fontId="118" fillId="24" borderId="108" xfId="0" applyFont="1" applyFill="1" applyBorder="1" applyAlignment="1">
      <alignment horizontal="left"/>
    </xf>
    <xf numFmtId="0" fontId="45" fillId="24" borderId="11" xfId="0" applyFont="1" applyFill="1" applyBorder="1"/>
    <xf numFmtId="0" fontId="118" fillId="24" borderId="33" xfId="0" applyFont="1" applyFill="1" applyBorder="1" applyAlignment="1">
      <alignment horizontal="center"/>
    </xf>
    <xf numFmtId="0" fontId="118" fillId="24" borderId="11" xfId="0" applyFont="1" applyFill="1" applyBorder="1"/>
    <xf numFmtId="0" fontId="118" fillId="24" borderId="33" xfId="0" applyFont="1" applyFill="1" applyBorder="1"/>
    <xf numFmtId="0" fontId="118" fillId="24" borderId="108" xfId="0" applyFont="1" applyFill="1" applyBorder="1"/>
    <xf numFmtId="0" fontId="45" fillId="24" borderId="98" xfId="0" applyFont="1" applyFill="1" applyBorder="1"/>
    <xf numFmtId="0" fontId="45" fillId="24" borderId="72" xfId="0" applyFont="1" applyFill="1" applyBorder="1"/>
    <xf numFmtId="0" fontId="45" fillId="24" borderId="204" xfId="0" applyFont="1" applyFill="1" applyBorder="1" applyAlignment="1">
      <alignment horizontal="center"/>
    </xf>
    <xf numFmtId="0" fontId="45" fillId="24" borderId="204" xfId="0" applyFont="1" applyFill="1" applyBorder="1"/>
    <xf numFmtId="0" fontId="45" fillId="0" borderId="6" xfId="0" applyFont="1" applyBorder="1"/>
    <xf numFmtId="43" fontId="45" fillId="0" borderId="25" xfId="0" applyNumberFormat="1" applyFont="1" applyBorder="1"/>
    <xf numFmtId="0" fontId="45" fillId="0" borderId="25" xfId="0" applyFont="1" applyBorder="1"/>
    <xf numFmtId="174" fontId="45" fillId="0" borderId="25" xfId="0" applyNumberFormat="1" applyFont="1" applyBorder="1"/>
    <xf numFmtId="9" fontId="45" fillId="0" borderId="7" xfId="0" applyNumberFormat="1" applyFont="1" applyBorder="1" applyAlignment="1">
      <alignment horizontal="center"/>
    </xf>
    <xf numFmtId="198" fontId="45" fillId="0" borderId="24" xfId="0" applyNumberFormat="1" applyFont="1" applyBorder="1"/>
    <xf numFmtId="199" fontId="45" fillId="0" borderId="23" xfId="0" applyNumberFormat="1" applyFont="1" applyBorder="1"/>
    <xf numFmtId="198" fontId="45" fillId="0" borderId="22" xfId="0" applyNumberFormat="1" applyFont="1" applyBorder="1"/>
    <xf numFmtId="198" fontId="83" fillId="0" borderId="24" xfId="0" applyNumberFormat="1" applyFont="1" applyBorder="1"/>
    <xf numFmtId="0" fontId="83" fillId="24" borderId="90" xfId="0" applyFont="1" applyFill="1" applyBorder="1"/>
    <xf numFmtId="0" fontId="83" fillId="24" borderId="92" xfId="0" applyFont="1" applyFill="1" applyBorder="1"/>
    <xf numFmtId="178" fontId="32" fillId="0" borderId="66" xfId="0" applyNumberFormat="1" applyFont="1" applyBorder="1"/>
    <xf numFmtId="0" fontId="45" fillId="0" borderId="54" xfId="0" applyFont="1" applyBorder="1"/>
    <xf numFmtId="178" fontId="1" fillId="0" borderId="56" xfId="0" applyNumberFormat="1" applyFont="1" applyBorder="1"/>
    <xf numFmtId="0" fontId="45" fillId="0" borderId="0" xfId="0" applyFont="1" applyAlignment="1">
      <alignment horizontal="left" vertical="top" wrapText="1"/>
    </xf>
    <xf numFmtId="0" fontId="9" fillId="0" borderId="0" xfId="0" applyFont="1"/>
    <xf numFmtId="0" fontId="119" fillId="0" borderId="0" xfId="0" applyFont="1"/>
    <xf numFmtId="0" fontId="17" fillId="24" borderId="144" xfId="0" applyFont="1" applyFill="1" applyBorder="1" applyAlignment="1">
      <alignment horizontal="left"/>
    </xf>
    <xf numFmtId="0" fontId="17" fillId="24" borderId="91" xfId="0" applyFont="1" applyFill="1" applyBorder="1" applyAlignment="1">
      <alignment horizontal="center" wrapText="1"/>
    </xf>
    <xf numFmtId="0" fontId="120" fillId="24" borderId="91" xfId="0" applyFont="1" applyFill="1" applyBorder="1" applyAlignment="1">
      <alignment horizontal="center" wrapText="1"/>
    </xf>
    <xf numFmtId="0" fontId="17" fillId="24" borderId="91" xfId="0" applyFont="1" applyFill="1" applyBorder="1"/>
    <xf numFmtId="0" fontId="6" fillId="24" borderId="91" xfId="0" applyFont="1" applyFill="1" applyBorder="1"/>
    <xf numFmtId="0" fontId="120" fillId="24" borderId="146" xfId="0" applyFont="1" applyFill="1" applyBorder="1" applyAlignment="1">
      <alignment horizontal="center" wrapText="1"/>
    </xf>
    <xf numFmtId="0" fontId="120" fillId="0" borderId="132" xfId="0" applyFont="1" applyBorder="1" applyAlignment="1">
      <alignment horizontal="left"/>
    </xf>
    <xf numFmtId="0" fontId="120" fillId="0" borderId="29" xfId="0" applyFont="1" applyBorder="1"/>
    <xf numFmtId="0" fontId="121" fillId="0" borderId="29" xfId="0" applyFont="1" applyBorder="1" applyAlignment="1">
      <alignment horizontal="center"/>
    </xf>
    <xf numFmtId="0" fontId="6" fillId="0" borderId="29" xfId="0" applyFont="1" applyBorder="1" applyAlignment="1">
      <alignment horizontal="center"/>
    </xf>
    <xf numFmtId="0" fontId="6" fillId="0" borderId="29" xfId="0" applyFont="1" applyBorder="1"/>
    <xf numFmtId="0" fontId="121" fillId="0" borderId="29" xfId="0" applyFont="1" applyBorder="1"/>
    <xf numFmtId="0" fontId="6" fillId="0" borderId="133" xfId="0" applyFont="1" applyBorder="1"/>
    <xf numFmtId="0" fontId="122" fillId="0" borderId="21" xfId="0" applyFont="1" applyBorder="1" applyAlignment="1">
      <alignment horizontal="left"/>
    </xf>
    <xf numFmtId="0" fontId="120" fillId="0" borderId="4" xfId="0" applyFont="1" applyBorder="1" applyAlignment="1">
      <alignment horizontal="left"/>
    </xf>
    <xf numFmtId="3" fontId="121" fillId="22" borderId="4" xfId="0" applyNumberFormat="1" applyFont="1" applyFill="1" applyBorder="1" applyAlignment="1">
      <alignment horizontal="center"/>
    </xf>
    <xf numFmtId="4" fontId="6" fillId="0" borderId="4" xfId="0" applyNumberFormat="1" applyFont="1" applyBorder="1" applyAlignment="1">
      <alignment horizontal="center"/>
    </xf>
    <xf numFmtId="4" fontId="121" fillId="0" borderId="4" xfId="0" applyNumberFormat="1" applyFont="1" applyBorder="1"/>
    <xf numFmtId="176" fontId="121" fillId="0" borderId="4" xfId="0" applyNumberFormat="1" applyFont="1" applyBorder="1"/>
    <xf numFmtId="176" fontId="121" fillId="0" borderId="51" xfId="0" applyNumberFormat="1" applyFont="1" applyBorder="1"/>
    <xf numFmtId="0" fontId="120" fillId="0" borderId="141" xfId="0" applyFont="1" applyBorder="1" applyAlignment="1">
      <alignment horizontal="left"/>
    </xf>
    <xf numFmtId="0" fontId="120" fillId="0" borderId="49" xfId="0" applyFont="1" applyBorder="1" applyAlignment="1">
      <alignment horizontal="left"/>
    </xf>
    <xf numFmtId="3" fontId="121" fillId="0" borderId="49" xfId="0" applyNumberFormat="1" applyFont="1" applyBorder="1" applyAlignment="1">
      <alignment horizontal="center"/>
    </xf>
    <xf numFmtId="0" fontId="6" fillId="0" borderId="49" xfId="0" applyFont="1" applyBorder="1" applyAlignment="1">
      <alignment horizontal="center"/>
    </xf>
    <xf numFmtId="0" fontId="121" fillId="0" borderId="49" xfId="0" applyFont="1" applyBorder="1" applyAlignment="1">
      <alignment horizontal="center"/>
    </xf>
    <xf numFmtId="176" fontId="121" fillId="0" borderId="49" xfId="0" applyNumberFormat="1" applyFont="1" applyBorder="1"/>
    <xf numFmtId="182" fontId="121" fillId="0" borderId="49" xfId="0" applyNumberFormat="1" applyFont="1" applyBorder="1"/>
    <xf numFmtId="168" fontId="121" fillId="0" borderId="49" xfId="0" applyNumberFormat="1" applyFont="1" applyBorder="1"/>
    <xf numFmtId="168" fontId="121" fillId="0" borderId="143" xfId="0" applyNumberFormat="1" applyFont="1" applyBorder="1"/>
    <xf numFmtId="0" fontId="121" fillId="0" borderId="73" xfId="0" applyFont="1" applyBorder="1" applyAlignment="1">
      <alignment horizontal="left"/>
    </xf>
    <xf numFmtId="0" fontId="121" fillId="0" borderId="74" xfId="0" applyFont="1" applyBorder="1" applyAlignment="1">
      <alignment horizontal="left"/>
    </xf>
    <xf numFmtId="3" fontId="120" fillId="0" borderId="74" xfId="0" applyNumberFormat="1" applyFont="1" applyBorder="1" applyAlignment="1">
      <alignment horizontal="center" wrapText="1"/>
    </xf>
    <xf numFmtId="0" fontId="6" fillId="0" borderId="74" xfId="0" applyFont="1" applyBorder="1" applyAlignment="1">
      <alignment horizontal="center"/>
    </xf>
    <xf numFmtId="0" fontId="120" fillId="0" borderId="74" xfId="0" applyFont="1" applyBorder="1" applyAlignment="1">
      <alignment horizontal="center" wrapText="1"/>
    </xf>
    <xf numFmtId="0" fontId="6" fillId="0" borderId="74" xfId="0" applyFont="1" applyBorder="1"/>
    <xf numFmtId="168" fontId="121" fillId="0" borderId="75" xfId="0" applyNumberFormat="1" applyFont="1" applyBorder="1"/>
    <xf numFmtId="0" fontId="121" fillId="0" borderId="4" xfId="0" applyFont="1" applyBorder="1" applyAlignment="1">
      <alignment horizontal="left"/>
    </xf>
    <xf numFmtId="175" fontId="121" fillId="0" borderId="4" xfId="0" applyNumberFormat="1" applyFont="1" applyBorder="1" applyAlignment="1">
      <alignment horizontal="center"/>
    </xf>
    <xf numFmtId="168" fontId="121" fillId="0" borderId="51" xfId="0" applyNumberFormat="1" applyFont="1" applyBorder="1"/>
    <xf numFmtId="0" fontId="120" fillId="0" borderId="57" xfId="0" applyFont="1" applyBorder="1" applyAlignment="1">
      <alignment horizontal="left"/>
    </xf>
    <xf numFmtId="0" fontId="121" fillId="0" borderId="76" xfId="0" applyFont="1" applyBorder="1" applyAlignment="1">
      <alignment horizontal="left"/>
    </xf>
    <xf numFmtId="37" fontId="121" fillId="22" borderId="76" xfId="0" applyNumberFormat="1" applyFont="1" applyFill="1" applyBorder="1" applyAlignment="1">
      <alignment horizontal="center"/>
    </xf>
    <xf numFmtId="0" fontId="6" fillId="0" borderId="76" xfId="0" applyFont="1" applyBorder="1" applyAlignment="1">
      <alignment horizontal="center"/>
    </xf>
    <xf numFmtId="175" fontId="121" fillId="0" borderId="76" xfId="0" applyNumberFormat="1" applyFont="1" applyBorder="1" applyAlignment="1">
      <alignment horizontal="center"/>
    </xf>
    <xf numFmtId="176" fontId="121" fillId="0" borderId="76" xfId="0" applyNumberFormat="1" applyFont="1" applyBorder="1" applyAlignment="1">
      <alignment horizontal="right"/>
    </xf>
    <xf numFmtId="176" fontId="6" fillId="0" borderId="76" xfId="0" applyNumberFormat="1" applyFont="1" applyBorder="1" applyAlignment="1">
      <alignment horizontal="center"/>
    </xf>
    <xf numFmtId="168" fontId="121" fillId="0" borderId="58" xfId="0" applyNumberFormat="1" applyFont="1" applyBorder="1"/>
    <xf numFmtId="0" fontId="6" fillId="0" borderId="132" xfId="0" applyFont="1" applyBorder="1"/>
    <xf numFmtId="175" fontId="6" fillId="0" borderId="29" xfId="0" applyNumberFormat="1" applyFont="1" applyBorder="1"/>
    <xf numFmtId="0" fontId="120" fillId="24" borderId="21" xfId="0" applyFont="1" applyFill="1" applyBorder="1" applyAlignment="1">
      <alignment horizontal="left"/>
    </xf>
    <xf numFmtId="0" fontId="120" fillId="24" borderId="4" xfId="0" applyFont="1" applyFill="1" applyBorder="1"/>
    <xf numFmtId="3" fontId="120" fillId="24" borderId="4" xfId="0" applyNumberFormat="1" applyFont="1" applyFill="1" applyBorder="1" applyAlignment="1">
      <alignment horizontal="center" wrapText="1"/>
    </xf>
    <xf numFmtId="0" fontId="6" fillId="24" borderId="4" xfId="0" applyFont="1" applyFill="1" applyBorder="1" applyAlignment="1">
      <alignment horizontal="center"/>
    </xf>
    <xf numFmtId="175" fontId="120" fillId="24" borderId="4" xfId="0" applyNumberFormat="1" applyFont="1" applyFill="1" applyBorder="1" applyAlignment="1">
      <alignment horizontal="center" wrapText="1"/>
    </xf>
    <xf numFmtId="0" fontId="120" fillId="24" borderId="4" xfId="0" applyFont="1" applyFill="1" applyBorder="1" applyAlignment="1">
      <alignment horizontal="center" wrapText="1"/>
    </xf>
    <xf numFmtId="0" fontId="6" fillId="24" borderId="4" xfId="0" applyFont="1" applyFill="1" applyBorder="1"/>
    <xf numFmtId="0" fontId="120" fillId="24" borderId="51" xfId="0" applyFont="1" applyFill="1" applyBorder="1" applyAlignment="1">
      <alignment horizontal="center" wrapText="1"/>
    </xf>
    <xf numFmtId="176" fontId="6" fillId="0" borderId="4" xfId="0" applyNumberFormat="1" applyFont="1" applyBorder="1" applyAlignment="1">
      <alignment horizontal="center"/>
    </xf>
    <xf numFmtId="0" fontId="120" fillId="0" borderId="21" xfId="0" applyFont="1" applyBorder="1" applyAlignment="1">
      <alignment horizontal="left"/>
    </xf>
    <xf numFmtId="176" fontId="121" fillId="0" borderId="4" xfId="0" applyNumberFormat="1" applyFont="1" applyBorder="1" applyAlignment="1">
      <alignment horizontal="right"/>
    </xf>
    <xf numFmtId="176" fontId="121" fillId="0" borderId="4" xfId="0" quotePrefix="1" applyNumberFormat="1" applyFont="1" applyBorder="1" applyAlignment="1">
      <alignment horizontal="right"/>
    </xf>
    <xf numFmtId="0" fontId="121" fillId="0" borderId="4" xfId="0" applyFont="1" applyBorder="1" applyAlignment="1">
      <alignment horizontal="center"/>
    </xf>
    <xf numFmtId="176" fontId="121" fillId="24" borderId="4" xfId="0" applyNumberFormat="1" applyFont="1" applyFill="1" applyBorder="1"/>
    <xf numFmtId="176" fontId="6" fillId="24" borderId="4" xfId="0" applyNumberFormat="1" applyFont="1" applyFill="1" applyBorder="1" applyAlignment="1">
      <alignment horizontal="center"/>
    </xf>
    <xf numFmtId="0" fontId="6" fillId="24" borderId="51" xfId="0" applyFont="1" applyFill="1" applyBorder="1"/>
    <xf numFmtId="0" fontId="6" fillId="0" borderId="21" xfId="0" applyFont="1" applyBorder="1"/>
    <xf numFmtId="0" fontId="6" fillId="0" borderId="4" xfId="0" applyFont="1" applyBorder="1"/>
    <xf numFmtId="0" fontId="6" fillId="0" borderId="51" xfId="0" applyFont="1" applyBorder="1"/>
    <xf numFmtId="0" fontId="120" fillId="0" borderId="21" xfId="0" applyFont="1" applyBorder="1"/>
    <xf numFmtId="0" fontId="120" fillId="24" borderId="4" xfId="0" applyFont="1" applyFill="1" applyBorder="1" applyAlignment="1">
      <alignment vertical="center"/>
    </xf>
    <xf numFmtId="176" fontId="120" fillId="24" borderId="4" xfId="0" applyNumberFormat="1" applyFont="1" applyFill="1" applyBorder="1" applyAlignment="1">
      <alignment horizontal="center"/>
    </xf>
    <xf numFmtId="43" fontId="6" fillId="0" borderId="4" xfId="0" applyNumberFormat="1" applyFont="1" applyBorder="1"/>
    <xf numFmtId="0" fontId="122" fillId="0" borderId="4" xfId="0" applyFont="1" applyBorder="1" applyAlignment="1">
      <alignment horizontal="left"/>
    </xf>
    <xf numFmtId="176" fontId="121" fillId="0" borderId="4" xfId="0" applyNumberFormat="1" applyFont="1" applyBorder="1" applyAlignment="1">
      <alignment horizontal="center"/>
    </xf>
    <xf numFmtId="3" fontId="6" fillId="0" borderId="4" xfId="0" applyNumberFormat="1" applyFont="1" applyBorder="1"/>
    <xf numFmtId="0" fontId="6" fillId="0" borderId="57" xfId="0" applyFont="1" applyBorder="1"/>
    <xf numFmtId="0" fontId="121" fillId="0" borderId="76" xfId="0" applyFont="1" applyBorder="1"/>
    <xf numFmtId="0" fontId="6" fillId="0" borderId="76" xfId="0" applyFont="1" applyBorder="1"/>
    <xf numFmtId="0" fontId="6" fillId="0" borderId="58" xfId="0" applyFont="1" applyBorder="1"/>
    <xf numFmtId="0" fontId="123" fillId="0" borderId="0" xfId="0" applyFont="1"/>
    <xf numFmtId="0" fontId="6" fillId="0" borderId="162" xfId="0" applyFont="1" applyBorder="1" applyAlignment="1">
      <alignment horizontal="left" vertical="top" wrapText="1"/>
    </xf>
    <xf numFmtId="0" fontId="6" fillId="0" borderId="163" xfId="0" applyFont="1" applyBorder="1"/>
    <xf numFmtId="0" fontId="120" fillId="0" borderId="163" xfId="0" applyFont="1" applyBorder="1" applyAlignment="1">
      <alignment horizontal="center" vertical="center" wrapText="1"/>
    </xf>
    <xf numFmtId="0" fontId="17" fillId="0" borderId="163" xfId="0" applyFont="1" applyBorder="1"/>
    <xf numFmtId="0" fontId="17" fillId="0" borderId="163" xfId="0" applyFont="1" applyBorder="1" applyAlignment="1">
      <alignment horizontal="center" wrapText="1"/>
    </xf>
    <xf numFmtId="0" fontId="6" fillId="0" borderId="163" xfId="0" applyFont="1" applyBorder="1" applyAlignment="1">
      <alignment vertical="center"/>
    </xf>
    <xf numFmtId="0" fontId="6" fillId="0" borderId="164" xfId="0" applyFont="1" applyBorder="1"/>
    <xf numFmtId="0" fontId="6" fillId="0" borderId="165" xfId="0" applyFont="1" applyBorder="1"/>
    <xf numFmtId="0" fontId="17" fillId="0" borderId="4" xfId="0" applyFont="1" applyBorder="1" applyAlignment="1">
      <alignment horizontal="center" vertical="center" wrapText="1"/>
    </xf>
    <xf numFmtId="0" fontId="121" fillId="0" borderId="4" xfId="0" applyFont="1" applyBorder="1"/>
    <xf numFmtId="10" fontId="6" fillId="0" borderId="4" xfId="0" applyNumberFormat="1" applyFont="1" applyBorder="1"/>
    <xf numFmtId="4" fontId="6" fillId="0" borderId="4" xfId="0" applyNumberFormat="1" applyFont="1" applyBorder="1"/>
    <xf numFmtId="0" fontId="6" fillId="0" borderId="166" xfId="0" applyFont="1" applyBorder="1"/>
    <xf numFmtId="0" fontId="6" fillId="0" borderId="178" xfId="0" applyFont="1" applyBorder="1"/>
    <xf numFmtId="0" fontId="17" fillId="0" borderId="63" xfId="0" applyFont="1" applyBorder="1" applyAlignment="1">
      <alignment horizontal="center" vertical="center" wrapText="1"/>
    </xf>
    <xf numFmtId="0" fontId="121" fillId="0" borderId="63" xfId="0" applyFont="1" applyBorder="1"/>
    <xf numFmtId="0" fontId="6" fillId="0" borderId="63" xfId="0" applyFont="1" applyBorder="1" applyAlignment="1">
      <alignment horizontal="center"/>
    </xf>
    <xf numFmtId="10" fontId="6" fillId="0" borderId="63" xfId="0" applyNumberFormat="1" applyFont="1" applyBorder="1"/>
    <xf numFmtId="4" fontId="6" fillId="0" borderId="63" xfId="0" applyNumberFormat="1" applyFont="1" applyBorder="1"/>
    <xf numFmtId="0" fontId="6" fillId="0" borderId="63" xfId="0" applyFont="1" applyBorder="1"/>
    <xf numFmtId="0" fontId="6" fillId="0" borderId="179" xfId="0" applyFont="1" applyBorder="1"/>
    <xf numFmtId="0" fontId="6" fillId="0" borderId="0" xfId="0" applyFont="1" applyAlignment="1">
      <alignment horizontal="left" vertical="top" wrapText="1"/>
    </xf>
    <xf numFmtId="0" fontId="121" fillId="0" borderId="0" xfId="0" applyFont="1"/>
    <xf numFmtId="0" fontId="17" fillId="24" borderId="136" xfId="0" applyFont="1" applyFill="1" applyBorder="1"/>
    <xf numFmtId="0" fontId="121" fillId="24" borderId="323" xfId="0" applyFont="1" applyFill="1" applyBorder="1"/>
    <xf numFmtId="0" fontId="17" fillId="0" borderId="6" xfId="0" applyFont="1" applyBorder="1"/>
    <xf numFmtId="0" fontId="17" fillId="0" borderId="7" xfId="0" applyFont="1" applyBorder="1"/>
    <xf numFmtId="169" fontId="6" fillId="0" borderId="19" xfId="0" applyNumberFormat="1" applyFont="1" applyBorder="1"/>
    <xf numFmtId="165" fontId="6" fillId="0" borderId="0" xfId="0" applyNumberFormat="1" applyFont="1"/>
    <xf numFmtId="174" fontId="6" fillId="0" borderId="0" xfId="0" applyNumberFormat="1" applyFont="1"/>
    <xf numFmtId="0" fontId="124" fillId="0" borderId="20" xfId="0" applyFont="1" applyBorder="1" applyAlignment="1">
      <alignment horizontal="left"/>
    </xf>
    <xf numFmtId="0" fontId="6" fillId="0" borderId="22" xfId="0" applyFont="1" applyBorder="1" applyAlignment="1">
      <alignment horizontal="left" vertical="top" wrapText="1"/>
    </xf>
    <xf numFmtId="0" fontId="121" fillId="0" borderId="32" xfId="0" applyFont="1" applyBorder="1"/>
    <xf numFmtId="176" fontId="6" fillId="0" borderId="19" xfId="0" applyNumberFormat="1" applyFont="1" applyBorder="1"/>
    <xf numFmtId="0" fontId="17" fillId="0" borderId="22" xfId="0" applyFont="1" applyBorder="1"/>
    <xf numFmtId="176" fontId="6" fillId="0" borderId="32" xfId="0" applyNumberFormat="1" applyFont="1" applyBorder="1"/>
    <xf numFmtId="0" fontId="17" fillId="24" borderId="324" xfId="0" applyFont="1" applyFill="1" applyBorder="1"/>
    <xf numFmtId="0" fontId="124" fillId="0" borderId="22" xfId="0" applyFont="1" applyBorder="1" applyAlignment="1">
      <alignment horizontal="left"/>
    </xf>
    <xf numFmtId="0" fontId="125" fillId="0" borderId="0" xfId="0" applyFont="1"/>
    <xf numFmtId="0" fontId="125" fillId="0" borderId="0" xfId="0" applyFont="1" applyAlignment="1">
      <alignment vertical="center"/>
    </xf>
    <xf numFmtId="0" fontId="126" fillId="0" borderId="0" xfId="0" applyFont="1"/>
    <xf numFmtId="0" fontId="1" fillId="24" borderId="304" xfId="0" applyFont="1" applyFill="1" applyBorder="1"/>
    <xf numFmtId="0" fontId="1" fillId="24" borderId="305" xfId="0" applyFont="1" applyFill="1" applyBorder="1"/>
    <xf numFmtId="0" fontId="120" fillId="0" borderId="162" xfId="0" applyFont="1" applyBorder="1" applyAlignment="1">
      <alignment horizontal="center" wrapText="1"/>
    </xf>
    <xf numFmtId="0" fontId="120" fillId="0" borderId="163" xfId="0" applyFont="1" applyBorder="1" applyAlignment="1">
      <alignment horizontal="center" wrapText="1"/>
    </xf>
    <xf numFmtId="0" fontId="121" fillId="0" borderId="163" xfId="0" applyFont="1" applyBorder="1" applyAlignment="1">
      <alignment horizontal="center" wrapText="1"/>
    </xf>
    <xf numFmtId="0" fontId="120" fillId="0" borderId="164" xfId="0" applyFont="1" applyBorder="1" applyAlignment="1">
      <alignment horizontal="center" wrapText="1"/>
    </xf>
    <xf numFmtId="0" fontId="17" fillId="0" borderId="0" xfId="0" applyFont="1"/>
    <xf numFmtId="0" fontId="17" fillId="0" borderId="165" xfId="0" applyFont="1" applyBorder="1" applyAlignment="1">
      <alignment horizontal="center"/>
    </xf>
    <xf numFmtId="176" fontId="17" fillId="0" borderId="4" xfId="0" applyNumberFormat="1" applyFont="1" applyBorder="1"/>
    <xf numFmtId="0" fontId="17" fillId="0" borderId="4" xfId="0" applyFont="1" applyBorder="1" applyAlignment="1">
      <alignment horizontal="center"/>
    </xf>
    <xf numFmtId="182" fontId="17" fillId="0" borderId="4" xfId="0" applyNumberFormat="1" applyFont="1" applyBorder="1"/>
    <xf numFmtId="1" fontId="17" fillId="0" borderId="4" xfId="0" applyNumberFormat="1" applyFont="1" applyBorder="1"/>
    <xf numFmtId="179" fontId="17" fillId="0" borderId="4" xfId="0" applyNumberFormat="1" applyFont="1" applyBorder="1"/>
    <xf numFmtId="43" fontId="17" fillId="0" borderId="4" xfId="0" applyNumberFormat="1" applyFont="1" applyBorder="1"/>
    <xf numFmtId="10" fontId="17" fillId="0" borderId="4" xfId="0" applyNumberFormat="1" applyFont="1" applyBorder="1"/>
    <xf numFmtId="0" fontId="17" fillId="0" borderId="4" xfId="0" quotePrefix="1" applyFont="1" applyBorder="1" applyAlignment="1">
      <alignment horizontal="center"/>
    </xf>
    <xf numFmtId="198" fontId="17" fillId="0" borderId="4" xfId="0" applyNumberFormat="1" applyFont="1" applyBorder="1"/>
    <xf numFmtId="0" fontId="17" fillId="0" borderId="4" xfId="0" applyFont="1" applyBorder="1"/>
    <xf numFmtId="182" fontId="17" fillId="0" borderId="166" xfId="0" applyNumberFormat="1" applyFont="1" applyBorder="1"/>
    <xf numFmtId="0" fontId="127" fillId="24" borderId="328" xfId="0" applyFont="1" applyFill="1" applyBorder="1" applyAlignment="1">
      <alignment vertical="center"/>
    </xf>
    <xf numFmtId="0" fontId="121" fillId="0" borderId="163" xfId="0" applyFont="1" applyBorder="1"/>
    <xf numFmtId="0" fontId="6" fillId="0" borderId="188" xfId="0" applyFont="1" applyBorder="1"/>
    <xf numFmtId="0" fontId="32" fillId="0" borderId="0" xfId="0" applyFont="1"/>
    <xf numFmtId="9" fontId="17" fillId="0" borderId="4" xfId="0" applyNumberFormat="1" applyFont="1" applyBorder="1"/>
    <xf numFmtId="177" fontId="17" fillId="0" borderId="4" xfId="0" applyNumberFormat="1" applyFont="1" applyBorder="1"/>
    <xf numFmtId="200" fontId="17" fillId="0" borderId="4" xfId="0" applyNumberFormat="1" applyFont="1" applyBorder="1"/>
    <xf numFmtId="2" fontId="17" fillId="0" borderId="4" xfId="0" applyNumberFormat="1" applyFont="1" applyBorder="1"/>
    <xf numFmtId="168" fontId="17" fillId="0" borderId="4" xfId="0" applyNumberFormat="1" applyFont="1" applyBorder="1"/>
    <xf numFmtId="0" fontId="17" fillId="0" borderId="188" xfId="0" applyFont="1" applyBorder="1"/>
    <xf numFmtId="0" fontId="6" fillId="0" borderId="212" xfId="0" applyFont="1" applyBorder="1"/>
    <xf numFmtId="0" fontId="6" fillId="0" borderId="213" xfId="0" applyFont="1" applyBorder="1"/>
    <xf numFmtId="0" fontId="6" fillId="0" borderId="214" xfId="0" applyFont="1" applyBorder="1"/>
    <xf numFmtId="0" fontId="48" fillId="0" borderId="163" xfId="0" applyFont="1" applyBorder="1" applyAlignment="1">
      <alignment horizontal="center" wrapText="1"/>
    </xf>
    <xf numFmtId="0" fontId="90" fillId="0" borderId="163" xfId="0" applyFont="1" applyBorder="1"/>
    <xf numFmtId="0" fontId="90" fillId="0" borderId="163" xfId="0" applyFont="1" applyBorder="1" applyAlignment="1">
      <alignment horizontal="center" wrapText="1"/>
    </xf>
    <xf numFmtId="0" fontId="48" fillId="0" borderId="164" xfId="0" applyFont="1" applyBorder="1" applyAlignment="1">
      <alignment horizontal="center" wrapText="1"/>
    </xf>
    <xf numFmtId="0" fontId="90" fillId="0" borderId="4" xfId="0" applyFont="1" applyBorder="1" applyAlignment="1">
      <alignment horizontal="center"/>
    </xf>
    <xf numFmtId="0" fontId="90" fillId="0" borderId="4" xfId="0" applyFont="1" applyBorder="1" applyAlignment="1">
      <alignment horizontal="center" vertical="top" wrapText="1"/>
    </xf>
    <xf numFmtId="0" fontId="90" fillId="0" borderId="4" xfId="0" applyFont="1" applyBorder="1" applyAlignment="1">
      <alignment horizontal="center" vertical="top"/>
    </xf>
    <xf numFmtId="0" fontId="90" fillId="0" borderId="166" xfId="0" applyFont="1" applyBorder="1" applyAlignment="1">
      <alignment horizontal="center" vertical="top"/>
    </xf>
    <xf numFmtId="176" fontId="17" fillId="0" borderId="4" xfId="0" quotePrefix="1" applyNumberFormat="1" applyFont="1" applyBorder="1" applyAlignment="1">
      <alignment horizontal="center"/>
    </xf>
    <xf numFmtId="168" fontId="17" fillId="0" borderId="4" xfId="0" quotePrefix="1" applyNumberFormat="1" applyFont="1" applyBorder="1" applyAlignment="1">
      <alignment horizontal="center"/>
    </xf>
    <xf numFmtId="168" fontId="17" fillId="0" borderId="4" xfId="0" applyNumberFormat="1" applyFont="1" applyBorder="1" applyAlignment="1">
      <alignment horizontal="center"/>
    </xf>
    <xf numFmtId="0" fontId="17" fillId="0" borderId="212" xfId="0" applyFont="1" applyBorder="1" applyAlignment="1">
      <alignment horizontal="center"/>
    </xf>
    <xf numFmtId="176" fontId="17" fillId="0" borderId="213" xfId="0" applyNumberFormat="1" applyFont="1" applyBorder="1"/>
    <xf numFmtId="0" fontId="17" fillId="0" borderId="213" xfId="0" applyFont="1" applyBorder="1" applyAlignment="1">
      <alignment horizontal="center"/>
    </xf>
    <xf numFmtId="43" fontId="17" fillId="0" borderId="213" xfId="0" applyNumberFormat="1" applyFont="1" applyBorder="1"/>
    <xf numFmtId="9" fontId="17" fillId="0" borderId="213" xfId="0" applyNumberFormat="1" applyFont="1" applyBorder="1"/>
    <xf numFmtId="2" fontId="17" fillId="0" borderId="213" xfId="0" applyNumberFormat="1" applyFont="1" applyBorder="1"/>
    <xf numFmtId="179" fontId="17" fillId="0" borderId="213" xfId="0" applyNumberFormat="1" applyFont="1" applyBorder="1"/>
    <xf numFmtId="176" fontId="17" fillId="0" borderId="213" xfId="0" applyNumberFormat="1" applyFont="1" applyBorder="1" applyAlignment="1">
      <alignment horizontal="center"/>
    </xf>
    <xf numFmtId="168" fontId="17" fillId="0" borderId="213" xfId="0" applyNumberFormat="1" applyFont="1" applyBorder="1"/>
    <xf numFmtId="198" fontId="17" fillId="0" borderId="213" xfId="0" applyNumberFormat="1" applyFont="1" applyBorder="1"/>
    <xf numFmtId="168" fontId="17" fillId="0" borderId="213" xfId="0" applyNumberFormat="1" applyFont="1" applyBorder="1" applyAlignment="1">
      <alignment horizontal="center"/>
    </xf>
    <xf numFmtId="193" fontId="17" fillId="0" borderId="214" xfId="0" applyNumberFormat="1" applyFont="1" applyBorder="1"/>
    <xf numFmtId="0" fontId="6" fillId="24" borderId="304" xfId="0" applyFont="1" applyFill="1" applyBorder="1"/>
    <xf numFmtId="0" fontId="6" fillId="24" borderId="305" xfId="0" applyFont="1" applyFill="1" applyBorder="1"/>
    <xf numFmtId="0" fontId="90" fillId="0" borderId="4" xfId="0" applyFont="1" applyBorder="1"/>
    <xf numFmtId="0" fontId="90" fillId="0" borderId="166" xfId="0" applyFont="1" applyBorder="1" applyAlignment="1">
      <alignment horizontal="center"/>
    </xf>
    <xf numFmtId="175" fontId="17" fillId="0" borderId="4" xfId="0" applyNumberFormat="1" applyFont="1" applyBorder="1"/>
    <xf numFmtId="176" fontId="17" fillId="0" borderId="4" xfId="0" applyNumberFormat="1" applyFont="1" applyBorder="1" applyAlignment="1">
      <alignment horizontal="left"/>
    </xf>
    <xf numFmtId="0" fontId="17" fillId="0" borderId="4" xfId="0" applyFont="1" applyBorder="1" applyAlignment="1">
      <alignment horizontal="right"/>
    </xf>
    <xf numFmtId="164" fontId="17" fillId="0" borderId="166" xfId="0" applyNumberFormat="1" applyFont="1" applyBorder="1"/>
    <xf numFmtId="0" fontId="83" fillId="24" borderId="45" xfId="0" applyFont="1" applyFill="1" applyBorder="1"/>
    <xf numFmtId="0" fontId="83" fillId="24" borderId="47" xfId="0" applyFont="1" applyFill="1" applyBorder="1"/>
    <xf numFmtId="193" fontId="45" fillId="0" borderId="53" xfId="0" applyNumberFormat="1" applyFont="1" applyBorder="1"/>
    <xf numFmtId="193" fontId="1" fillId="0" borderId="0" xfId="0" applyNumberFormat="1" applyFont="1"/>
    <xf numFmtId="193" fontId="40" fillId="0" borderId="53" xfId="0" applyNumberFormat="1" applyFont="1" applyBorder="1"/>
    <xf numFmtId="193" fontId="83" fillId="24" borderId="56" xfId="0" applyNumberFormat="1" applyFont="1" applyFill="1" applyBorder="1"/>
    <xf numFmtId="201" fontId="1" fillId="0" borderId="0" xfId="0" applyNumberFormat="1" applyFont="1"/>
    <xf numFmtId="0" fontId="128" fillId="26" borderId="73" xfId="0" applyFont="1" applyFill="1" applyBorder="1"/>
    <xf numFmtId="0" fontId="1" fillId="26" borderId="74" xfId="0" applyFont="1" applyFill="1" applyBorder="1"/>
    <xf numFmtId="0" fontId="1" fillId="26" borderId="75" xfId="0" applyFont="1" applyFill="1" applyBorder="1"/>
    <xf numFmtId="0" fontId="84" fillId="10" borderId="4" xfId="0" applyFont="1" applyFill="1" applyBorder="1" applyAlignment="1">
      <alignment horizontal="center" wrapText="1"/>
    </xf>
    <xf numFmtId="0" fontId="34" fillId="10" borderId="4" xfId="0" applyFont="1" applyFill="1" applyBorder="1"/>
    <xf numFmtId="0" fontId="84" fillId="10" borderId="51" xfId="0" applyFont="1" applyFill="1" applyBorder="1" applyAlignment="1">
      <alignment horizontal="center" wrapText="1"/>
    </xf>
    <xf numFmtId="0" fontId="48" fillId="0" borderId="21" xfId="0" applyFont="1" applyBorder="1"/>
    <xf numFmtId="0" fontId="9" fillId="0" borderId="4" xfId="0" applyFont="1" applyBorder="1" applyAlignment="1">
      <alignment horizontal="center"/>
    </xf>
    <xf numFmtId="0" fontId="90" fillId="0" borderId="21" xfId="0" applyFont="1" applyBorder="1" applyAlignment="1">
      <alignment horizontal="left"/>
    </xf>
    <xf numFmtId="172" fontId="129" fillId="26" borderId="4" xfId="0" applyNumberFormat="1" applyFont="1" applyFill="1" applyBorder="1" applyAlignment="1">
      <alignment horizontal="center"/>
    </xf>
    <xf numFmtId="175" fontId="90" fillId="0" borderId="4" xfId="0" applyNumberFormat="1" applyFont="1" applyBorder="1" applyAlignment="1">
      <alignment horizontal="center"/>
    </xf>
    <xf numFmtId="176" fontId="90" fillId="0" borderId="4" xfId="0" applyNumberFormat="1" applyFont="1" applyBorder="1"/>
    <xf numFmtId="182" fontId="90" fillId="0" borderId="4" xfId="0" applyNumberFormat="1" applyFont="1" applyBorder="1"/>
    <xf numFmtId="168" fontId="90" fillId="0" borderId="4" xfId="0" applyNumberFormat="1" applyFont="1" applyBorder="1"/>
    <xf numFmtId="168" fontId="90" fillId="0" borderId="51" xfId="0" applyNumberFormat="1" applyFont="1" applyBorder="1"/>
    <xf numFmtId="172" fontId="9" fillId="26" borderId="4" xfId="0" applyNumberFormat="1" applyFont="1" applyFill="1" applyBorder="1" applyAlignment="1">
      <alignment horizontal="center"/>
    </xf>
    <xf numFmtId="3" fontId="9" fillId="0" borderId="4" xfId="0" applyNumberFormat="1" applyFont="1" applyBorder="1" applyAlignment="1">
      <alignment horizontal="center"/>
    </xf>
    <xf numFmtId="172" fontId="9" fillId="40" borderId="4" xfId="0" applyNumberFormat="1" applyFont="1" applyFill="1" applyBorder="1" applyAlignment="1">
      <alignment horizontal="center"/>
    </xf>
    <xf numFmtId="172" fontId="9" fillId="0" borderId="4" xfId="0" applyNumberFormat="1" applyFont="1" applyBorder="1" applyAlignment="1">
      <alignment horizontal="center"/>
    </xf>
    <xf numFmtId="0" fontId="48" fillId="10" borderId="57" xfId="0" applyFont="1" applyFill="1" applyBorder="1"/>
    <xf numFmtId="0" fontId="9" fillId="10" borderId="76" xfId="0" applyFont="1" applyFill="1" applyBorder="1" applyAlignment="1">
      <alignment horizontal="center"/>
    </xf>
    <xf numFmtId="0" fontId="90" fillId="10" borderId="76" xfId="0" applyFont="1" applyFill="1" applyBorder="1" applyAlignment="1">
      <alignment horizontal="center"/>
    </xf>
    <xf numFmtId="176" fontId="48" fillId="10" borderId="76" xfId="0" applyNumberFormat="1" applyFont="1" applyFill="1" applyBorder="1"/>
    <xf numFmtId="0" fontId="48" fillId="10" borderId="76" xfId="0" applyFont="1" applyFill="1" applyBorder="1" applyAlignment="1">
      <alignment horizontal="center"/>
    </xf>
    <xf numFmtId="182" fontId="48" fillId="10" borderId="76" xfId="0" applyNumberFormat="1" applyFont="1" applyFill="1" applyBorder="1"/>
    <xf numFmtId="168" fontId="48" fillId="10" borderId="76" xfId="0" applyNumberFormat="1" applyFont="1" applyFill="1" applyBorder="1"/>
    <xf numFmtId="0" fontId="1" fillId="10" borderId="76" xfId="0" applyFont="1" applyFill="1" applyBorder="1"/>
    <xf numFmtId="168" fontId="48" fillId="10" borderId="58" xfId="0" applyNumberFormat="1" applyFont="1" applyFill="1" applyBorder="1"/>
    <xf numFmtId="0" fontId="48" fillId="0" borderId="0" xfId="0" applyFont="1"/>
    <xf numFmtId="176" fontId="48" fillId="0" borderId="0" xfId="0" applyNumberFormat="1" applyFont="1"/>
    <xf numFmtId="182" fontId="48" fillId="0" borderId="0" xfId="0" applyNumberFormat="1" applyFont="1"/>
    <xf numFmtId="168" fontId="48" fillId="0" borderId="0" xfId="0" applyNumberFormat="1" applyFont="1"/>
    <xf numFmtId="0" fontId="48" fillId="0" borderId="23" xfId="0" applyFont="1" applyBorder="1"/>
    <xf numFmtId="0" fontId="9" fillId="0" borderId="23" xfId="0" applyFont="1" applyBorder="1" applyAlignment="1">
      <alignment horizontal="center"/>
    </xf>
    <xf numFmtId="0" fontId="90" fillId="0" borderId="23" xfId="0" applyFont="1" applyBorder="1" applyAlignment="1">
      <alignment horizontal="center"/>
    </xf>
    <xf numFmtId="176" fontId="48" fillId="0" borderId="23" xfId="0" applyNumberFormat="1" applyFont="1" applyBorder="1"/>
    <xf numFmtId="0" fontId="48" fillId="0" borderId="23" xfId="0" applyFont="1" applyBorder="1" applyAlignment="1">
      <alignment horizontal="center"/>
    </xf>
    <xf numFmtId="182" fontId="48" fillId="0" borderId="23" xfId="0" applyNumberFormat="1" applyFont="1" applyBorder="1"/>
    <xf numFmtId="168" fontId="48" fillId="0" borderId="23" xfId="0" applyNumberFormat="1" applyFont="1" applyBorder="1"/>
    <xf numFmtId="0" fontId="9" fillId="26" borderId="74" xfId="0" applyFont="1" applyFill="1" applyBorder="1" applyAlignment="1">
      <alignment horizontal="center"/>
    </xf>
    <xf numFmtId="0" fontId="90" fillId="26" borderId="74" xfId="0" applyFont="1" applyFill="1" applyBorder="1" applyAlignment="1">
      <alignment horizontal="center"/>
    </xf>
    <xf numFmtId="176" fontId="48" fillId="26" borderId="74" xfId="0" applyNumberFormat="1" applyFont="1" applyFill="1" applyBorder="1"/>
    <xf numFmtId="0" fontId="48" fillId="26" borderId="74" xfId="0" applyFont="1" applyFill="1" applyBorder="1" applyAlignment="1">
      <alignment horizontal="center"/>
    </xf>
    <xf numFmtId="182" fontId="48" fillId="26" borderId="74" xfId="0" applyNumberFormat="1" applyFont="1" applyFill="1" applyBorder="1"/>
    <xf numFmtId="168" fontId="48" fillId="26" borderId="74" xfId="0" applyNumberFormat="1" applyFont="1" applyFill="1" applyBorder="1"/>
    <xf numFmtId="0" fontId="48" fillId="10" borderId="76" xfId="0" applyFont="1" applyFill="1" applyBorder="1" applyAlignment="1">
      <alignment horizontal="center" vertical="center" wrapText="1"/>
    </xf>
    <xf numFmtId="0" fontId="118" fillId="10" borderId="76" xfId="0" applyFont="1" applyFill="1" applyBorder="1" applyAlignment="1">
      <alignment vertical="center"/>
    </xf>
    <xf numFmtId="0" fontId="84" fillId="10" borderId="76" xfId="0" applyFont="1" applyFill="1" applyBorder="1" applyAlignment="1">
      <alignment horizontal="center" wrapText="1"/>
    </xf>
    <xf numFmtId="0" fontId="48" fillId="10" borderId="58" xfId="0" applyFont="1" applyFill="1" applyBorder="1" applyAlignment="1">
      <alignment horizontal="center" vertical="center" wrapText="1"/>
    </xf>
    <xf numFmtId="0" fontId="84" fillId="0" borderId="132" xfId="0" applyFont="1" applyBorder="1"/>
    <xf numFmtId="0" fontId="48" fillId="0" borderId="138" xfId="0" applyFont="1" applyBorder="1" applyAlignment="1">
      <alignment horizontal="center" vertical="center" wrapText="1"/>
    </xf>
    <xf numFmtId="0" fontId="130" fillId="0" borderId="68" xfId="0" applyFont="1" applyBorder="1" applyAlignment="1">
      <alignment vertical="center"/>
    </xf>
    <xf numFmtId="0" fontId="130" fillId="0" borderId="68" xfId="0" applyFont="1" applyBorder="1" applyAlignment="1">
      <alignment horizontal="center" vertical="center"/>
    </xf>
    <xf numFmtId="0" fontId="48" fillId="0" borderId="68" xfId="0" applyFont="1" applyBorder="1" applyAlignment="1">
      <alignment horizontal="center" vertical="center" wrapText="1"/>
    </xf>
    <xf numFmtId="0" fontId="90" fillId="0" borderId="68" xfId="0" applyFont="1" applyBorder="1" applyAlignment="1">
      <alignment horizontal="center"/>
    </xf>
    <xf numFmtId="168" fontId="114" fillId="0" borderId="68" xfId="0" applyNumberFormat="1" applyFont="1" applyBorder="1" applyAlignment="1">
      <alignment horizontal="center" vertical="center" wrapText="1"/>
    </xf>
    <xf numFmtId="0" fontId="90" fillId="0" borderId="68" xfId="0" applyFont="1" applyBorder="1" applyAlignment="1">
      <alignment horizontal="center" vertical="center" wrapText="1"/>
    </xf>
    <xf numFmtId="0" fontId="9" fillId="0" borderId="68" xfId="0" applyFont="1" applyBorder="1" applyAlignment="1">
      <alignment horizontal="center"/>
    </xf>
    <xf numFmtId="0" fontId="48" fillId="0" borderId="10" xfId="0" applyFont="1" applyBorder="1" applyAlignment="1">
      <alignment horizontal="center" vertical="center" wrapText="1"/>
    </xf>
    <xf numFmtId="172" fontId="90" fillId="26" borderId="4" xfId="0" applyNumberFormat="1" applyFont="1" applyFill="1" applyBorder="1" applyAlignment="1">
      <alignment horizontal="center"/>
    </xf>
    <xf numFmtId="3" fontId="90" fillId="0" borderId="4" xfId="0" applyNumberFormat="1" applyFont="1" applyBorder="1" applyAlignment="1">
      <alignment horizontal="center"/>
    </xf>
    <xf numFmtId="176" fontId="90" fillId="0" borderId="4" xfId="0" applyNumberFormat="1" applyFont="1" applyBorder="1" applyAlignment="1">
      <alignment horizontal="center"/>
    </xf>
    <xf numFmtId="2" fontId="90" fillId="0" borderId="4" xfId="0" applyNumberFormat="1" applyFont="1" applyBorder="1" applyAlignment="1">
      <alignment horizontal="center"/>
    </xf>
    <xf numFmtId="0" fontId="90" fillId="0" borderId="4" xfId="0" applyFont="1" applyBorder="1" applyAlignment="1">
      <alignment horizontal="center" vertical="center"/>
    </xf>
    <xf numFmtId="168" fontId="90" fillId="0" borderId="4" xfId="0" applyNumberFormat="1" applyFont="1" applyBorder="1" applyAlignment="1">
      <alignment horizontal="center" vertical="center"/>
    </xf>
    <xf numFmtId="176" fontId="9" fillId="0" borderId="4" xfId="0" applyNumberFormat="1" applyFont="1" applyBorder="1" applyAlignment="1">
      <alignment horizontal="center"/>
    </xf>
    <xf numFmtId="168" fontId="9" fillId="0" borderId="4" xfId="0" applyNumberFormat="1" applyFont="1" applyBorder="1" applyAlignment="1">
      <alignment horizontal="right"/>
    </xf>
    <xf numFmtId="168" fontId="9" fillId="0" borderId="51" xfId="0" applyNumberFormat="1" applyFont="1" applyBorder="1" applyAlignment="1">
      <alignment horizontal="right"/>
    </xf>
    <xf numFmtId="0" fontId="9" fillId="0" borderId="21" xfId="0" applyFont="1" applyBorder="1" applyAlignment="1">
      <alignment horizontal="left"/>
    </xf>
    <xf numFmtId="0" fontId="84" fillId="0" borderId="21" xfId="0" applyFont="1" applyBorder="1"/>
    <xf numFmtId="3" fontId="90" fillId="26" borderId="154" xfId="0" applyNumberFormat="1" applyFont="1" applyFill="1" applyBorder="1" applyAlignment="1">
      <alignment horizontal="center"/>
    </xf>
    <xf numFmtId="0" fontId="90" fillId="0" borderId="28" xfId="0" applyFont="1" applyBorder="1" applyAlignment="1">
      <alignment horizontal="center"/>
    </xf>
    <xf numFmtId="3" fontId="90" fillId="0" borderId="28" xfId="0" applyNumberFormat="1" applyFont="1" applyBorder="1" applyAlignment="1">
      <alignment horizontal="center"/>
    </xf>
    <xf numFmtId="175" fontId="90" fillId="0" borderId="28" xfId="0" applyNumberFormat="1" applyFont="1" applyBorder="1" applyAlignment="1">
      <alignment horizontal="center"/>
    </xf>
    <xf numFmtId="176" fontId="90" fillId="0" borderId="28" xfId="0" applyNumberFormat="1" applyFont="1" applyBorder="1" applyAlignment="1">
      <alignment horizontal="center"/>
    </xf>
    <xf numFmtId="2" fontId="90" fillId="0" borderId="28" xfId="0" applyNumberFormat="1" applyFont="1" applyBorder="1" applyAlignment="1">
      <alignment horizontal="center"/>
    </xf>
    <xf numFmtId="176" fontId="9" fillId="0" borderId="28" xfId="0" applyNumberFormat="1" applyFont="1" applyBorder="1" applyAlignment="1">
      <alignment horizontal="center"/>
    </xf>
    <xf numFmtId="168" fontId="9" fillId="0" borderId="28" xfId="0" applyNumberFormat="1" applyFont="1" applyBorder="1" applyAlignment="1">
      <alignment horizontal="right"/>
    </xf>
    <xf numFmtId="168" fontId="9" fillId="0" borderId="18" xfId="0" applyNumberFormat="1" applyFont="1" applyBorder="1" applyAlignment="1">
      <alignment horizontal="right"/>
    </xf>
    <xf numFmtId="172" fontId="90" fillId="40" borderId="4" xfId="0" applyNumberFormat="1" applyFont="1" applyFill="1" applyBorder="1" applyAlignment="1">
      <alignment horizontal="center"/>
    </xf>
    <xf numFmtId="187" fontId="90" fillId="0" borderId="4" xfId="0" applyNumberFormat="1" applyFont="1" applyBorder="1" applyAlignment="1">
      <alignment horizontal="center"/>
    </xf>
    <xf numFmtId="187" fontId="90" fillId="0" borderId="28" xfId="0" applyNumberFormat="1" applyFont="1" applyBorder="1" applyAlignment="1">
      <alignment horizontal="center"/>
    </xf>
    <xf numFmtId="3" fontId="90" fillId="26" borderId="4" xfId="0" applyNumberFormat="1" applyFont="1" applyFill="1" applyBorder="1" applyAlignment="1">
      <alignment horizontal="center"/>
    </xf>
    <xf numFmtId="0" fontId="90" fillId="0" borderId="2" xfId="0" applyFont="1" applyBorder="1" applyAlignment="1">
      <alignment horizontal="center"/>
    </xf>
    <xf numFmtId="168" fontId="90" fillId="0" borderId="28" xfId="0" applyNumberFormat="1" applyFont="1" applyBorder="1" applyAlignment="1">
      <alignment horizontal="center"/>
    </xf>
    <xf numFmtId="3" fontId="131" fillId="26" borderId="4" xfId="0" applyNumberFormat="1" applyFont="1" applyFill="1" applyBorder="1" applyAlignment="1">
      <alignment horizontal="center"/>
    </xf>
    <xf numFmtId="0" fontId="131" fillId="2" borderId="4" xfId="0" applyFont="1" applyFill="1" applyBorder="1" applyAlignment="1">
      <alignment horizontal="center"/>
    </xf>
    <xf numFmtId="3" fontId="131" fillId="2" borderId="4" xfId="0" applyNumberFormat="1" applyFont="1" applyFill="1" applyBorder="1" applyAlignment="1">
      <alignment horizontal="center"/>
    </xf>
    <xf numFmtId="176" fontId="131" fillId="2" borderId="4" xfId="0" applyNumberFormat="1" applyFont="1" applyFill="1" applyBorder="1" applyAlignment="1">
      <alignment horizontal="center"/>
    </xf>
    <xf numFmtId="2" fontId="131" fillId="2" borderId="4" xfId="0" applyNumberFormat="1" applyFont="1" applyFill="1" applyBorder="1" applyAlignment="1">
      <alignment horizontal="center"/>
    </xf>
    <xf numFmtId="168" fontId="131" fillId="2" borderId="4" xfId="0" applyNumberFormat="1" applyFont="1" applyFill="1" applyBorder="1" applyAlignment="1">
      <alignment horizontal="center" vertical="center"/>
    </xf>
    <xf numFmtId="176" fontId="75" fillId="2" borderId="4" xfId="0" applyNumberFormat="1" applyFont="1" applyFill="1" applyBorder="1" applyAlignment="1">
      <alignment horizontal="center"/>
    </xf>
    <xf numFmtId="168" fontId="75" fillId="2" borderId="4" xfId="0" applyNumberFormat="1" applyFont="1" applyFill="1" applyBorder="1" applyAlignment="1">
      <alignment horizontal="right"/>
    </xf>
    <xf numFmtId="168" fontId="75" fillId="2" borderId="51" xfId="0" applyNumberFormat="1" applyFont="1" applyFill="1" applyBorder="1" applyAlignment="1">
      <alignment horizontal="right"/>
    </xf>
    <xf numFmtId="168" fontId="90" fillId="0" borderId="4" xfId="0" applyNumberFormat="1" applyFont="1" applyBorder="1" applyAlignment="1">
      <alignment horizontal="center"/>
    </xf>
    <xf numFmtId="0" fontId="9" fillId="0" borderId="2" xfId="0" applyFont="1" applyBorder="1" applyAlignment="1">
      <alignment horizontal="center"/>
    </xf>
    <xf numFmtId="0" fontId="9" fillId="0" borderId="28" xfId="0" applyFont="1" applyBorder="1" applyAlignment="1">
      <alignment horizontal="center"/>
    </xf>
    <xf numFmtId="0" fontId="33" fillId="10" borderId="76" xfId="0" applyFont="1" applyFill="1" applyBorder="1"/>
    <xf numFmtId="0" fontId="33" fillId="10" borderId="76" xfId="0" applyFont="1" applyFill="1" applyBorder="1" applyAlignment="1">
      <alignment horizontal="center"/>
    </xf>
    <xf numFmtId="176" fontId="48" fillId="10" borderId="76" xfId="0" applyNumberFormat="1" applyFont="1" applyFill="1" applyBorder="1" applyAlignment="1">
      <alignment horizontal="center"/>
    </xf>
    <xf numFmtId="176" fontId="84" fillId="10" borderId="76" xfId="0" applyNumberFormat="1" applyFont="1" applyFill="1" applyBorder="1" applyAlignment="1">
      <alignment horizontal="center"/>
    </xf>
    <xf numFmtId="168" fontId="84" fillId="10" borderId="76" xfId="0" applyNumberFormat="1" applyFont="1" applyFill="1" applyBorder="1" applyAlignment="1">
      <alignment horizontal="right"/>
    </xf>
    <xf numFmtId="168" fontId="84" fillId="10" borderId="58" xfId="0" applyNumberFormat="1" applyFont="1" applyFill="1" applyBorder="1" applyAlignment="1">
      <alignment horizontal="right"/>
    </xf>
    <xf numFmtId="0" fontId="33" fillId="0" borderId="0" xfId="0" applyFont="1" applyAlignment="1">
      <alignment horizontal="center"/>
    </xf>
    <xf numFmtId="176" fontId="48" fillId="0" borderId="0" xfId="0" applyNumberFormat="1" applyFont="1" applyAlignment="1">
      <alignment horizontal="center"/>
    </xf>
    <xf numFmtId="176" fontId="84" fillId="0" borderId="0" xfId="0" applyNumberFormat="1" applyFont="1" applyAlignment="1">
      <alignment horizontal="center"/>
    </xf>
    <xf numFmtId="168" fontId="84" fillId="0" borderId="0" xfId="0" applyNumberFormat="1" applyFont="1" applyAlignment="1">
      <alignment horizontal="right"/>
    </xf>
    <xf numFmtId="172" fontId="84" fillId="10" borderId="4" xfId="0" applyNumberFormat="1" applyFont="1" applyFill="1" applyBorder="1" applyAlignment="1">
      <alignment horizontal="center" wrapText="1"/>
    </xf>
    <xf numFmtId="0" fontId="118" fillId="10" borderId="4" xfId="0" applyFont="1" applyFill="1" applyBorder="1" applyAlignment="1">
      <alignment vertical="center"/>
    </xf>
    <xf numFmtId="0" fontId="34" fillId="10" borderId="4" xfId="0" applyFont="1" applyFill="1" applyBorder="1" applyAlignment="1">
      <alignment horizontal="center"/>
    </xf>
    <xf numFmtId="172" fontId="48" fillId="0" borderId="2" xfId="0" applyNumberFormat="1" applyFont="1" applyBorder="1" applyAlignment="1">
      <alignment horizontal="center" vertical="center" wrapText="1"/>
    </xf>
    <xf numFmtId="0" fontId="130" fillId="0" borderId="28" xfId="0" applyFont="1" applyBorder="1" applyAlignment="1">
      <alignment vertical="center"/>
    </xf>
    <xf numFmtId="0" fontId="48" fillId="0" borderId="28" xfId="0" applyFont="1" applyBorder="1"/>
    <xf numFmtId="0" fontId="33" fillId="0" borderId="28" xfId="0" applyFont="1" applyBorder="1"/>
    <xf numFmtId="0" fontId="83" fillId="0" borderId="28" xfId="0" applyFont="1" applyBorder="1"/>
    <xf numFmtId="0" fontId="33" fillId="0" borderId="28" xfId="0" applyFont="1" applyBorder="1" applyAlignment="1">
      <alignment horizontal="center"/>
    </xf>
    <xf numFmtId="43" fontId="33" fillId="0" borderId="28" xfId="0" applyNumberFormat="1" applyFont="1" applyBorder="1"/>
    <xf numFmtId="43" fontId="33" fillId="0" borderId="18" xfId="0" applyNumberFormat="1" applyFont="1" applyBorder="1"/>
    <xf numFmtId="169" fontId="90" fillId="0" borderId="4" xfId="0" applyNumberFormat="1" applyFont="1" applyBorder="1" applyAlignment="1">
      <alignment horizontal="center"/>
    </xf>
    <xf numFmtId="169" fontId="90" fillId="0" borderId="51" xfId="0" applyNumberFormat="1" applyFont="1" applyBorder="1" applyAlignment="1">
      <alignment horizontal="center"/>
    </xf>
    <xf numFmtId="172" fontId="90" fillId="0" borderId="2" xfId="0" applyNumberFormat="1" applyFont="1" applyBorder="1" applyAlignment="1">
      <alignment horizontal="center"/>
    </xf>
    <xf numFmtId="176" fontId="90" fillId="0" borderId="28" xfId="0" applyNumberFormat="1" applyFont="1" applyBorder="1"/>
    <xf numFmtId="176" fontId="90" fillId="0" borderId="18" xfId="0" applyNumberFormat="1" applyFont="1" applyBorder="1" applyAlignment="1">
      <alignment horizontal="center"/>
    </xf>
    <xf numFmtId="169" fontId="90" fillId="0" borderId="28" xfId="0" applyNumberFormat="1" applyFont="1" applyBorder="1" applyAlignment="1">
      <alignment horizontal="center"/>
    </xf>
    <xf numFmtId="172" fontId="131" fillId="2" borderId="4" xfId="0" applyNumberFormat="1" applyFont="1" applyFill="1" applyBorder="1" applyAlignment="1">
      <alignment horizontal="center"/>
    </xf>
    <xf numFmtId="0" fontId="132" fillId="2" borderId="4" xfId="0" applyFont="1" applyFill="1" applyBorder="1"/>
    <xf numFmtId="176" fontId="131" fillId="2" borderId="4" xfId="0" applyNumberFormat="1" applyFont="1" applyFill="1" applyBorder="1"/>
    <xf numFmtId="176" fontId="131" fillId="2" borderId="51" xfId="0" applyNumberFormat="1" applyFont="1" applyFill="1" applyBorder="1" applyAlignment="1">
      <alignment horizontal="center"/>
    </xf>
    <xf numFmtId="0" fontId="48" fillId="10" borderId="21" xfId="0" applyFont="1" applyFill="1" applyBorder="1"/>
    <xf numFmtId="3" fontId="33" fillId="10" borderId="4" xfId="0" applyNumberFormat="1" applyFont="1" applyFill="1" applyBorder="1" applyAlignment="1">
      <alignment horizontal="center"/>
    </xf>
    <xf numFmtId="0" fontId="33" fillId="10" borderId="4" xfId="0" applyFont="1" applyFill="1" applyBorder="1"/>
    <xf numFmtId="176" fontId="48" fillId="10" borderId="4" xfId="0" applyNumberFormat="1" applyFont="1" applyFill="1" applyBorder="1" applyAlignment="1">
      <alignment horizontal="center"/>
    </xf>
    <xf numFmtId="176" fontId="90" fillId="10" borderId="4" xfId="0" applyNumberFormat="1" applyFont="1" applyFill="1" applyBorder="1"/>
    <xf numFmtId="176" fontId="90" fillId="10" borderId="4" xfId="0" applyNumberFormat="1" applyFont="1" applyFill="1" applyBorder="1" applyAlignment="1">
      <alignment horizontal="center"/>
    </xf>
    <xf numFmtId="169" fontId="48" fillId="10" borderId="4" xfId="0" applyNumberFormat="1" applyFont="1" applyFill="1" applyBorder="1" applyAlignment="1">
      <alignment horizontal="center"/>
    </xf>
    <xf numFmtId="169" fontId="48" fillId="10" borderId="51" xfId="0" applyNumberFormat="1" applyFont="1" applyFill="1" applyBorder="1" applyAlignment="1">
      <alignment horizontal="center"/>
    </xf>
    <xf numFmtId="0" fontId="48" fillId="0" borderId="57" xfId="0" applyFont="1" applyBorder="1"/>
    <xf numFmtId="0" fontId="9" fillId="0" borderId="76" xfId="0" applyFont="1" applyBorder="1" applyAlignment="1">
      <alignment horizontal="center"/>
    </xf>
    <xf numFmtId="0" fontId="90" fillId="0" borderId="76" xfId="0" applyFont="1" applyBorder="1" applyAlignment="1">
      <alignment horizontal="center"/>
    </xf>
    <xf numFmtId="176" fontId="48" fillId="0" borderId="76" xfId="0" applyNumberFormat="1" applyFont="1" applyBorder="1"/>
    <xf numFmtId="0" fontId="48" fillId="0" borderId="76" xfId="0" applyFont="1" applyBorder="1" applyAlignment="1">
      <alignment horizontal="center"/>
    </xf>
    <xf numFmtId="182" fontId="48" fillId="0" borderId="76" xfId="0" applyNumberFormat="1" applyFont="1" applyBorder="1"/>
    <xf numFmtId="168" fontId="48" fillId="0" borderId="76" xfId="0" applyNumberFormat="1" applyFont="1" applyBorder="1"/>
    <xf numFmtId="0" fontId="128" fillId="26" borderId="136" xfId="0" applyFont="1" applyFill="1" applyBorder="1" applyAlignment="1">
      <alignment horizontal="left"/>
    </xf>
    <xf numFmtId="0" fontId="9" fillId="26" borderId="118" xfId="0" applyFont="1" applyFill="1" applyBorder="1" applyAlignment="1">
      <alignment horizontal="center"/>
    </xf>
    <xf numFmtId="0" fontId="90" fillId="26" borderId="118" xfId="0" applyFont="1" applyFill="1" applyBorder="1" applyAlignment="1">
      <alignment horizontal="center"/>
    </xf>
    <xf numFmtId="0" fontId="90" fillId="26" borderId="137" xfId="0" applyFont="1" applyFill="1" applyBorder="1" applyAlignment="1">
      <alignment horizontal="center"/>
    </xf>
    <xf numFmtId="176" fontId="48" fillId="26" borderId="118" xfId="0" applyNumberFormat="1" applyFont="1" applyFill="1" applyBorder="1"/>
    <xf numFmtId="0" fontId="48" fillId="26" borderId="118" xfId="0" applyFont="1" applyFill="1" applyBorder="1" applyAlignment="1">
      <alignment horizontal="center"/>
    </xf>
    <xf numFmtId="182" fontId="48" fillId="26" borderId="118" xfId="0" applyNumberFormat="1" applyFont="1" applyFill="1" applyBorder="1"/>
    <xf numFmtId="168" fontId="48" fillId="26" borderId="118" xfId="0" applyNumberFormat="1" applyFont="1" applyFill="1" applyBorder="1"/>
    <xf numFmtId="0" fontId="1" fillId="26" borderId="118" xfId="0" applyFont="1" applyFill="1" applyBorder="1"/>
    <xf numFmtId="0" fontId="1" fillId="26" borderId="137" xfId="0" applyFont="1" applyFill="1" applyBorder="1"/>
    <xf numFmtId="0" fontId="17" fillId="4" borderId="11" xfId="0" applyFont="1" applyFill="1" applyBorder="1"/>
    <xf numFmtId="176" fontId="6" fillId="0" borderId="23" xfId="0" applyNumberFormat="1" applyFont="1" applyBorder="1"/>
    <xf numFmtId="177" fontId="6" fillId="0" borderId="23" xfId="0" applyNumberFormat="1" applyFont="1" applyBorder="1"/>
    <xf numFmtId="0" fontId="133" fillId="10" borderId="144" xfId="0" applyFont="1" applyFill="1" applyBorder="1" applyAlignment="1">
      <alignment wrapText="1"/>
    </xf>
    <xf numFmtId="0" fontId="17" fillId="10" borderId="91" xfId="0" applyFont="1" applyFill="1" applyBorder="1" applyAlignment="1">
      <alignment horizontal="center" wrapText="1"/>
    </xf>
    <xf numFmtId="0" fontId="17" fillId="10" borderId="91" xfId="0" applyFont="1" applyFill="1" applyBorder="1"/>
    <xf numFmtId="0" fontId="17" fillId="10" borderId="91" xfId="0" applyFont="1" applyFill="1" applyBorder="1" applyAlignment="1">
      <alignment horizontal="center"/>
    </xf>
    <xf numFmtId="0" fontId="6" fillId="0" borderId="91" xfId="0" applyFont="1" applyBorder="1"/>
    <xf numFmtId="0" fontId="6" fillId="10" borderId="91" xfId="0" applyFont="1" applyFill="1" applyBorder="1"/>
    <xf numFmtId="0" fontId="6" fillId="10" borderId="91" xfId="0" applyFont="1" applyFill="1" applyBorder="1" applyAlignment="1">
      <alignment horizontal="center"/>
    </xf>
    <xf numFmtId="177" fontId="17" fillId="10" borderId="91" xfId="0" applyNumberFormat="1" applyFont="1" applyFill="1" applyBorder="1" applyAlignment="1">
      <alignment horizontal="center" wrapText="1"/>
    </xf>
    <xf numFmtId="0" fontId="17" fillId="10" borderId="146" xfId="0" applyFont="1" applyFill="1" applyBorder="1" applyAlignment="1">
      <alignment horizontal="center" wrapText="1"/>
    </xf>
    <xf numFmtId="0" fontId="1" fillId="0" borderId="73" xfId="0" applyFont="1" applyBorder="1" applyAlignment="1">
      <alignment vertical="center" wrapText="1"/>
    </xf>
    <xf numFmtId="0" fontId="1" fillId="0" borderId="74" xfId="0" quotePrefix="1" applyFont="1" applyBorder="1" applyAlignment="1">
      <alignment horizontal="left" wrapText="1"/>
    </xf>
    <xf numFmtId="0" fontId="32" fillId="0" borderId="74" xfId="0" applyFont="1" applyBorder="1" applyAlignment="1">
      <alignment horizontal="center" wrapText="1"/>
    </xf>
    <xf numFmtId="176" fontId="1" fillId="31" borderId="74" xfId="0" applyNumberFormat="1" applyFont="1" applyFill="1" applyBorder="1" applyAlignment="1">
      <alignment horizontal="center" vertical="center" wrapText="1"/>
    </xf>
    <xf numFmtId="0" fontId="32" fillId="0" borderId="74" xfId="0" applyFont="1" applyBorder="1" applyAlignment="1">
      <alignment wrapText="1"/>
    </xf>
    <xf numFmtId="176" fontId="1" fillId="0" borderId="74" xfId="0" applyNumberFormat="1" applyFont="1" applyBorder="1" applyAlignment="1">
      <alignment horizontal="center"/>
    </xf>
    <xf numFmtId="176" fontId="32" fillId="0" borderId="74" xfId="0" applyNumberFormat="1" applyFont="1" applyBorder="1" applyAlignment="1">
      <alignment horizontal="center" wrapText="1"/>
    </xf>
    <xf numFmtId="0" fontId="1" fillId="0" borderId="74" xfId="0" applyFont="1" applyBorder="1" applyAlignment="1">
      <alignment horizontal="center"/>
    </xf>
    <xf numFmtId="0" fontId="32" fillId="10" borderId="74" xfId="0" applyFont="1" applyFill="1" applyBorder="1" applyAlignment="1">
      <alignment horizontal="right"/>
    </xf>
    <xf numFmtId="177" fontId="32" fillId="0" borderId="74" xfId="0" applyNumberFormat="1" applyFont="1" applyBorder="1" applyAlignment="1">
      <alignment horizontal="center"/>
    </xf>
    <xf numFmtId="178" fontId="32" fillId="0" borderId="74" xfId="0" applyNumberFormat="1" applyFont="1" applyBorder="1" applyAlignment="1">
      <alignment horizontal="center"/>
    </xf>
    <xf numFmtId="178" fontId="32" fillId="10" borderId="75" xfId="0" applyNumberFormat="1" applyFont="1" applyFill="1" applyBorder="1" applyAlignment="1">
      <alignment horizontal="center"/>
    </xf>
    <xf numFmtId="0" fontId="1" fillId="0" borderId="4" xfId="0" quotePrefix="1" applyFont="1" applyBorder="1" applyAlignment="1">
      <alignment horizontal="left" wrapText="1"/>
    </xf>
    <xf numFmtId="0" fontId="1" fillId="0" borderId="4" xfId="0" applyFont="1" applyBorder="1" applyAlignment="1">
      <alignment horizontal="left" wrapText="1"/>
    </xf>
    <xf numFmtId="176" fontId="1" fillId="31" borderId="4" xfId="0" applyNumberFormat="1" applyFont="1" applyFill="1" applyBorder="1" applyAlignment="1">
      <alignment horizontal="center" vertical="center"/>
    </xf>
    <xf numFmtId="176" fontId="1" fillId="0" borderId="4" xfId="0" applyNumberFormat="1" applyFont="1" applyBorder="1" applyAlignment="1">
      <alignment horizontal="center"/>
    </xf>
    <xf numFmtId="0" fontId="32" fillId="10" borderId="4" xfId="0" applyFont="1" applyFill="1" applyBorder="1" applyAlignment="1">
      <alignment horizontal="right"/>
    </xf>
    <xf numFmtId="177" fontId="32" fillId="0" borderId="4" xfId="0" applyNumberFormat="1" applyFont="1" applyBorder="1" applyAlignment="1">
      <alignment horizontal="center"/>
    </xf>
    <xf numFmtId="178" fontId="32" fillId="0" borderId="4" xfId="0" applyNumberFormat="1" applyFont="1" applyBorder="1" applyAlignment="1">
      <alignment horizontal="center"/>
    </xf>
    <xf numFmtId="178" fontId="32" fillId="10" borderId="51" xfId="0" applyNumberFormat="1" applyFont="1" applyFill="1" applyBorder="1" applyAlignment="1">
      <alignment horizontal="center"/>
    </xf>
    <xf numFmtId="176" fontId="1" fillId="31" borderId="4" xfId="0" applyNumberFormat="1" applyFont="1" applyFill="1" applyBorder="1" applyAlignment="1">
      <alignment horizontal="center" vertical="center" wrapText="1"/>
    </xf>
    <xf numFmtId="0" fontId="1" fillId="0" borderId="4" xfId="0" applyFont="1" applyBorder="1" applyAlignment="1">
      <alignment vertical="top" wrapText="1"/>
    </xf>
    <xf numFmtId="0" fontId="17" fillId="10" borderId="57" xfId="0" applyFont="1" applyFill="1" applyBorder="1"/>
    <xf numFmtId="0" fontId="17" fillId="10" borderId="76" xfId="0" applyFont="1" applyFill="1" applyBorder="1"/>
    <xf numFmtId="0" fontId="6" fillId="10" borderId="76" xfId="0" applyFont="1" applyFill="1" applyBorder="1"/>
    <xf numFmtId="176" fontId="17" fillId="10" borderId="76" xfId="0" applyNumberFormat="1" applyFont="1" applyFill="1" applyBorder="1" applyAlignment="1">
      <alignment horizontal="center" vertical="center"/>
    </xf>
    <xf numFmtId="0" fontId="17" fillId="10" borderId="76" xfId="0" applyFont="1" applyFill="1" applyBorder="1" applyAlignment="1">
      <alignment horizontal="center" vertical="center"/>
    </xf>
    <xf numFmtId="176" fontId="17" fillId="10" borderId="76" xfId="0" applyNumberFormat="1" applyFont="1" applyFill="1" applyBorder="1" applyAlignment="1">
      <alignment horizontal="center" vertical="center" wrapText="1"/>
    </xf>
    <xf numFmtId="177" fontId="6" fillId="10" borderId="76" xfId="0" applyNumberFormat="1" applyFont="1" applyFill="1" applyBorder="1"/>
    <xf numFmtId="0" fontId="6" fillId="10" borderId="58" xfId="0" applyFont="1" applyFill="1" applyBorder="1"/>
    <xf numFmtId="176" fontId="17" fillId="0" borderId="0" xfId="0" applyNumberFormat="1" applyFont="1" applyAlignment="1">
      <alignment horizontal="center" vertical="center"/>
    </xf>
    <xf numFmtId="0" fontId="17" fillId="0" borderId="0" xfId="0" applyFont="1" applyAlignment="1">
      <alignment horizontal="center" vertical="center"/>
    </xf>
    <xf numFmtId="176" fontId="17" fillId="0" borderId="0" xfId="0" applyNumberFormat="1" applyFont="1" applyAlignment="1">
      <alignment horizontal="center" vertical="center" wrapText="1"/>
    </xf>
    <xf numFmtId="0" fontId="17" fillId="4" borderId="98" xfId="0" applyFont="1" applyFill="1" applyBorder="1" applyAlignment="1">
      <alignment vertical="center"/>
    </xf>
    <xf numFmtId="1" fontId="17" fillId="4" borderId="324" xfId="0" applyNumberFormat="1" applyFont="1" applyFill="1" applyBorder="1" applyAlignment="1">
      <alignment horizontal="center"/>
    </xf>
    <xf numFmtId="176" fontId="6" fillId="0" borderId="0" xfId="0" applyNumberFormat="1" applyFont="1"/>
    <xf numFmtId="0" fontId="6" fillId="0" borderId="0" xfId="0" applyFont="1" applyAlignment="1">
      <alignment horizontal="center"/>
    </xf>
    <xf numFmtId="0" fontId="6" fillId="0" borderId="0" xfId="0" applyFont="1" applyAlignment="1">
      <alignment vertical="center"/>
    </xf>
    <xf numFmtId="0" fontId="17" fillId="10" borderId="73" xfId="0" applyFont="1" applyFill="1" applyBorder="1" applyAlignment="1">
      <alignment horizontal="left" vertical="center"/>
    </xf>
    <xf numFmtId="176" fontId="17" fillId="10" borderId="74" xfId="0" applyNumberFormat="1" applyFont="1" applyFill="1" applyBorder="1" applyAlignment="1">
      <alignment horizontal="center" vertical="center" wrapText="1"/>
    </xf>
    <xf numFmtId="176" fontId="17" fillId="10" borderId="75" xfId="0" applyNumberFormat="1" applyFont="1" applyFill="1" applyBorder="1" applyAlignment="1">
      <alignment horizontal="center" vertical="center" wrapText="1"/>
    </xf>
    <xf numFmtId="176" fontId="17" fillId="10" borderId="329" xfId="0" applyNumberFormat="1" applyFont="1" applyFill="1" applyBorder="1" applyAlignment="1">
      <alignment horizontal="center" vertical="center" wrapText="1"/>
    </xf>
    <xf numFmtId="0" fontId="17" fillId="10" borderId="74" xfId="0" applyFont="1" applyFill="1" applyBorder="1" applyAlignment="1">
      <alignment horizontal="center" vertical="center" wrapText="1"/>
    </xf>
    <xf numFmtId="0" fontId="6" fillId="10" borderId="74" xfId="0" applyFont="1" applyFill="1" applyBorder="1" applyAlignment="1">
      <alignment vertical="center"/>
    </xf>
    <xf numFmtId="0" fontId="6" fillId="10" borderId="74" xfId="0" applyFont="1" applyFill="1" applyBorder="1" applyAlignment="1">
      <alignment vertical="center" wrapText="1"/>
    </xf>
    <xf numFmtId="0" fontId="17" fillId="10" borderId="74" xfId="0" applyFont="1" applyFill="1" applyBorder="1" applyAlignment="1">
      <alignment horizontal="left" vertical="center" wrapText="1"/>
    </xf>
    <xf numFmtId="177" fontId="17" fillId="10" borderId="74" xfId="0" applyNumberFormat="1" applyFont="1" applyFill="1" applyBorder="1" applyAlignment="1">
      <alignment horizontal="center" vertical="center" wrapText="1"/>
    </xf>
    <xf numFmtId="0" fontId="17" fillId="10" borderId="75" xfId="0" applyFont="1" applyFill="1" applyBorder="1" applyAlignment="1">
      <alignment horizontal="center" vertical="center" wrapText="1"/>
    </xf>
    <xf numFmtId="0" fontId="17" fillId="0" borderId="21" xfId="0" applyFont="1" applyBorder="1" applyAlignment="1">
      <alignment horizontal="left" wrapText="1"/>
    </xf>
    <xf numFmtId="176" fontId="6" fillId="31" borderId="4" xfId="0" applyNumberFormat="1" applyFont="1" applyFill="1" applyBorder="1"/>
    <xf numFmtId="176" fontId="6" fillId="0" borderId="4" xfId="0" applyNumberFormat="1" applyFont="1" applyBorder="1"/>
    <xf numFmtId="176" fontId="112" fillId="0" borderId="51" xfId="0" applyNumberFormat="1" applyFont="1" applyBorder="1" applyAlignment="1">
      <alignment horizontal="center"/>
    </xf>
    <xf numFmtId="176" fontId="6" fillId="0" borderId="3" xfId="0" applyNumberFormat="1" applyFont="1" applyBorder="1"/>
    <xf numFmtId="176" fontId="6" fillId="0" borderId="4" xfId="0" applyNumberFormat="1" applyFont="1" applyBorder="1" applyAlignment="1">
      <alignment horizontal="center" wrapText="1"/>
    </xf>
    <xf numFmtId="176" fontId="17" fillId="0" borderId="4" xfId="0" applyNumberFormat="1" applyFont="1" applyBorder="1" applyAlignment="1">
      <alignment horizontal="center"/>
    </xf>
    <xf numFmtId="0" fontId="6" fillId="0" borderId="4" xfId="0" applyFont="1" applyBorder="1" applyAlignment="1">
      <alignment horizontal="center" wrapText="1"/>
    </xf>
    <xf numFmtId="169" fontId="17" fillId="0" borderId="4" xfId="0" applyNumberFormat="1" applyFont="1" applyBorder="1" applyAlignment="1">
      <alignment horizontal="center"/>
    </xf>
    <xf numFmtId="169" fontId="6" fillId="0" borderId="4" xfId="0" applyNumberFormat="1" applyFont="1" applyBorder="1" applyAlignment="1">
      <alignment horizontal="center" wrapText="1"/>
    </xf>
    <xf numFmtId="178" fontId="17" fillId="10" borderId="4" xfId="0" applyNumberFormat="1" applyFont="1" applyFill="1" applyBorder="1" applyAlignment="1">
      <alignment horizontal="center"/>
    </xf>
    <xf numFmtId="0" fontId="6" fillId="10" borderId="4" xfId="0" applyFont="1" applyFill="1" applyBorder="1"/>
    <xf numFmtId="178" fontId="17" fillId="10" borderId="51" xfId="0" applyNumberFormat="1" applyFont="1" applyFill="1" applyBorder="1" applyAlignment="1">
      <alignment horizontal="center"/>
    </xf>
    <xf numFmtId="176" fontId="6" fillId="0" borderId="183" xfId="0" applyNumberFormat="1" applyFont="1" applyBorder="1" applyAlignment="1">
      <alignment horizontal="center"/>
    </xf>
    <xf numFmtId="9" fontId="6" fillId="0" borderId="76" xfId="0" applyNumberFormat="1" applyFont="1" applyBorder="1" applyAlignment="1">
      <alignment horizontal="center"/>
    </xf>
    <xf numFmtId="176" fontId="6" fillId="0" borderId="76" xfId="0" applyNumberFormat="1" applyFont="1" applyBorder="1" applyAlignment="1">
      <alignment horizontal="center" wrapText="1"/>
    </xf>
    <xf numFmtId="0" fontId="6" fillId="0" borderId="76" xfId="0" applyFont="1" applyBorder="1" applyAlignment="1">
      <alignment horizontal="center" wrapText="1"/>
    </xf>
    <xf numFmtId="0" fontId="6" fillId="0" borderId="21" xfId="0" applyFont="1" applyBorder="1" applyAlignment="1">
      <alignment horizontal="left"/>
    </xf>
    <xf numFmtId="176" fontId="6" fillId="0" borderId="0" xfId="0" applyNumberFormat="1" applyFont="1" applyAlignment="1">
      <alignment horizontal="center"/>
    </xf>
    <xf numFmtId="9" fontId="6" fillId="0" borderId="0" xfId="0" applyNumberFormat="1" applyFont="1" applyAlignment="1">
      <alignment horizontal="center"/>
    </xf>
    <xf numFmtId="0" fontId="124" fillId="0" borderId="21" xfId="0" applyFont="1" applyBorder="1"/>
    <xf numFmtId="9" fontId="6" fillId="0" borderId="4" xfId="0" applyNumberFormat="1" applyFont="1" applyBorder="1"/>
    <xf numFmtId="9" fontId="112" fillId="0" borderId="51" xfId="0" applyNumberFormat="1" applyFont="1" applyBorder="1"/>
    <xf numFmtId="176" fontId="112" fillId="0" borderId="51" xfId="0" applyNumberFormat="1" applyFont="1" applyBorder="1"/>
    <xf numFmtId="176" fontId="6" fillId="0" borderId="51" xfId="0" applyNumberFormat="1" applyFont="1" applyBorder="1"/>
    <xf numFmtId="0" fontId="6" fillId="0" borderId="141" xfId="0" applyFont="1" applyBorder="1"/>
    <xf numFmtId="0" fontId="6" fillId="0" borderId="49" xfId="0" applyFont="1" applyBorder="1"/>
    <xf numFmtId="0" fontId="17" fillId="4" borderId="144" xfId="0" applyFont="1" applyFill="1" applyBorder="1" applyAlignment="1">
      <alignment vertical="center"/>
    </xf>
    <xf numFmtId="1" fontId="17" fillId="4" borderId="146" xfId="0" applyNumberFormat="1" applyFont="1" applyFill="1" applyBorder="1" applyAlignment="1">
      <alignment horizontal="center"/>
    </xf>
    <xf numFmtId="0" fontId="6" fillId="0" borderId="3" xfId="0" applyFont="1" applyBorder="1" applyAlignment="1">
      <alignment horizontal="center"/>
    </xf>
    <xf numFmtId="0" fontId="6" fillId="0" borderId="51" xfId="0" applyFont="1" applyBorder="1" applyAlignment="1">
      <alignment horizontal="center"/>
    </xf>
    <xf numFmtId="0" fontId="17" fillId="0" borderId="132" xfId="0" applyFont="1" applyBorder="1" applyAlignment="1">
      <alignment horizontal="left" vertical="center"/>
    </xf>
    <xf numFmtId="176" fontId="17" fillId="0" borderId="29" xfId="0" applyNumberFormat="1" applyFont="1" applyBorder="1" applyAlignment="1">
      <alignment horizontal="center" vertical="center" wrapText="1"/>
    </xf>
    <xf numFmtId="176" fontId="17" fillId="0" borderId="4" xfId="0" applyNumberFormat="1" applyFont="1" applyBorder="1" applyAlignment="1">
      <alignment horizontal="center" vertical="center" wrapText="1"/>
    </xf>
    <xf numFmtId="176" fontId="17" fillId="0" borderId="51" xfId="0" applyNumberFormat="1" applyFont="1" applyBorder="1" applyAlignment="1">
      <alignment horizontal="center" wrapText="1"/>
    </xf>
    <xf numFmtId="176" fontId="6" fillId="0" borderId="51" xfId="0" applyNumberFormat="1" applyFont="1" applyBorder="1" applyAlignment="1">
      <alignment horizontal="center"/>
    </xf>
    <xf numFmtId="0" fontId="124" fillId="0" borderId="57" xfId="0" applyFont="1" applyBorder="1"/>
    <xf numFmtId="176" fontId="6" fillId="0" borderId="76" xfId="0" applyNumberFormat="1" applyFont="1" applyBorder="1"/>
    <xf numFmtId="176" fontId="6" fillId="0" borderId="58" xfId="0" applyNumberFormat="1" applyFont="1" applyBorder="1"/>
    <xf numFmtId="0" fontId="128" fillId="26" borderId="319" xfId="0" applyFont="1" applyFill="1" applyBorder="1" applyAlignment="1">
      <alignment horizontal="left"/>
    </xf>
    <xf numFmtId="0" fontId="9" fillId="26" borderId="198" xfId="0" applyFont="1" applyFill="1" applyBorder="1" applyAlignment="1">
      <alignment horizontal="center"/>
    </xf>
    <xf numFmtId="0" fontId="90" fillId="26" borderId="198" xfId="0" applyFont="1" applyFill="1" applyBorder="1" applyAlignment="1">
      <alignment horizontal="center"/>
    </xf>
    <xf numFmtId="176" fontId="48" fillId="26" borderId="198" xfId="0" applyNumberFormat="1" applyFont="1" applyFill="1" applyBorder="1"/>
    <xf numFmtId="0" fontId="6" fillId="0" borderId="6" xfId="0" applyFont="1" applyBorder="1" applyAlignment="1">
      <alignment horizontal="left"/>
    </xf>
    <xf numFmtId="176" fontId="6" fillId="0" borderId="114" xfId="0" applyNumberFormat="1" applyFont="1" applyBorder="1"/>
    <xf numFmtId="0" fontId="6" fillId="0" borderId="114" xfId="0" applyFont="1" applyBorder="1" applyAlignment="1">
      <alignment horizontal="center"/>
    </xf>
    <xf numFmtId="0" fontId="6" fillId="0" borderId="114" xfId="0" applyFont="1" applyBorder="1"/>
    <xf numFmtId="0" fontId="6" fillId="10" borderId="136" xfId="0" applyFont="1" applyFill="1" applyBorder="1"/>
    <xf numFmtId="0" fontId="6" fillId="10" borderId="118" xfId="0" applyFont="1" applyFill="1" applyBorder="1"/>
    <xf numFmtId="0" fontId="17" fillId="10" borderId="118" xfId="0" applyFont="1" applyFill="1" applyBorder="1" applyAlignment="1">
      <alignment horizontal="center"/>
    </xf>
    <xf numFmtId="0" fontId="17" fillId="10" borderId="137" xfId="0" applyFont="1" applyFill="1" applyBorder="1" applyAlignment="1">
      <alignment horizontal="center"/>
    </xf>
    <xf numFmtId="0" fontId="17" fillId="0" borderId="114" xfId="0" applyFont="1" applyBorder="1" applyAlignment="1">
      <alignment horizontal="center"/>
    </xf>
    <xf numFmtId="0" fontId="17" fillId="10" borderId="144" xfId="0" applyFont="1" applyFill="1" applyBorder="1" applyAlignment="1">
      <alignment horizontal="center"/>
    </xf>
    <xf numFmtId="0" fontId="6" fillId="10" borderId="146" xfId="0" applyFont="1" applyFill="1" applyBorder="1"/>
    <xf numFmtId="0" fontId="6" fillId="0" borderId="7" xfId="0" applyFont="1" applyBorder="1"/>
    <xf numFmtId="202" fontId="1" fillId="0" borderId="0" xfId="0" applyNumberFormat="1" applyFont="1" applyAlignment="1">
      <alignment horizontal="left"/>
    </xf>
    <xf numFmtId="0" fontId="6" fillId="0" borderId="330" xfId="0" applyFont="1" applyBorder="1" applyAlignment="1">
      <alignment horizontal="center" wrapText="1"/>
    </xf>
    <xf numFmtId="176" fontId="17" fillId="0" borderId="149" xfId="0" applyNumberFormat="1" applyFont="1" applyBorder="1" applyAlignment="1">
      <alignment horizontal="center" wrapText="1"/>
    </xf>
    <xf numFmtId="0" fontId="17" fillId="0" borderId="149" xfId="0" applyFont="1" applyBorder="1" applyAlignment="1">
      <alignment horizontal="center" wrapText="1"/>
    </xf>
    <xf numFmtId="0" fontId="6" fillId="0" borderId="149" xfId="0" applyFont="1" applyBorder="1"/>
    <xf numFmtId="0" fontId="6" fillId="0" borderId="150" xfId="0" applyFont="1" applyBorder="1" applyAlignment="1">
      <alignment horizontal="center" wrapText="1"/>
    </xf>
    <xf numFmtId="0" fontId="17" fillId="10" borderId="144" xfId="0" applyFont="1" applyFill="1" applyBorder="1" applyAlignment="1">
      <alignment horizontal="center" wrapText="1"/>
    </xf>
    <xf numFmtId="0" fontId="6" fillId="10" borderId="91" xfId="0" applyFont="1" applyFill="1" applyBorder="1" applyAlignment="1">
      <alignment horizontal="center" wrapText="1"/>
    </xf>
    <xf numFmtId="0" fontId="17" fillId="0" borderId="0" xfId="0" applyFont="1" applyAlignment="1">
      <alignment horizontal="center" wrapText="1"/>
    </xf>
    <xf numFmtId="0" fontId="6" fillId="0" borderId="331" xfId="0" applyFont="1" applyBorder="1" applyAlignment="1">
      <alignment horizontal="center" wrapText="1"/>
    </xf>
    <xf numFmtId="0" fontId="6" fillId="0" borderId="149" xfId="0" applyFont="1" applyBorder="1" applyAlignment="1">
      <alignment horizontal="center" wrapText="1"/>
    </xf>
    <xf numFmtId="0" fontId="6" fillId="0" borderId="332" xfId="0" applyFont="1" applyBorder="1"/>
    <xf numFmtId="0" fontId="32" fillId="0" borderId="0" xfId="0" applyFont="1" applyAlignment="1">
      <alignment horizontal="center" vertical="top" wrapText="1"/>
    </xf>
    <xf numFmtId="0" fontId="17" fillId="0" borderId="73" xfId="0" applyFont="1" applyBorder="1"/>
    <xf numFmtId="176" fontId="17" fillId="0" borderId="138" xfId="0" applyNumberFormat="1" applyFont="1" applyBorder="1" applyAlignment="1">
      <alignment horizontal="center" wrapText="1"/>
    </xf>
    <xf numFmtId="0" fontId="17" fillId="0" borderId="68" xfId="0" applyFont="1" applyBorder="1" applyAlignment="1">
      <alignment horizontal="center" vertical="center" wrapText="1"/>
    </xf>
    <xf numFmtId="0" fontId="6" fillId="0" borderId="68" xfId="0" applyFont="1" applyBorder="1"/>
    <xf numFmtId="0" fontId="17" fillId="0" borderId="68" xfId="0" applyFont="1" applyBorder="1" applyAlignment="1">
      <alignment horizontal="center" wrapText="1"/>
    </xf>
    <xf numFmtId="0" fontId="6" fillId="0" borderId="68" xfId="0" applyFont="1" applyBorder="1" applyAlignment="1">
      <alignment horizontal="center" wrapText="1"/>
    </xf>
    <xf numFmtId="0" fontId="6" fillId="0" borderId="68" xfId="0" applyFont="1" applyBorder="1" applyAlignment="1">
      <alignment horizontal="left"/>
    </xf>
    <xf numFmtId="0" fontId="6" fillId="0" borderId="26" xfId="0" applyFont="1" applyBorder="1" applyAlignment="1">
      <alignment horizontal="center" wrapText="1"/>
    </xf>
    <xf numFmtId="0" fontId="6" fillId="0" borderId="26" xfId="0" applyFont="1" applyBorder="1" applyAlignment="1">
      <alignment horizontal="left"/>
    </xf>
    <xf numFmtId="0" fontId="6" fillId="0" borderId="28" xfId="0" applyFont="1" applyBorder="1"/>
    <xf numFmtId="0" fontId="6" fillId="0" borderId="18" xfId="0" applyFont="1" applyBorder="1"/>
    <xf numFmtId="9" fontId="32" fillId="0" borderId="275" xfId="0" applyNumberFormat="1" applyFont="1" applyBorder="1" applyAlignment="1">
      <alignment horizontal="left" wrapText="1"/>
    </xf>
    <xf numFmtId="9" fontId="32" fillId="0" borderId="313" xfId="0" applyNumberFormat="1" applyFont="1" applyBorder="1" applyAlignment="1">
      <alignment horizontal="center" wrapText="1"/>
    </xf>
    <xf numFmtId="9" fontId="32" fillId="0" borderId="335" xfId="0" applyNumberFormat="1" applyFont="1" applyBorder="1" applyAlignment="1">
      <alignment horizontal="center" wrapText="1"/>
    </xf>
    <xf numFmtId="0" fontId="32" fillId="0" borderId="275" xfId="0" applyFont="1" applyBorder="1" applyAlignment="1">
      <alignment horizontal="center" wrapText="1"/>
    </xf>
    <xf numFmtId="9" fontId="32" fillId="0" borderId="275" xfId="0" applyNumberFormat="1" applyFont="1" applyBorder="1" applyAlignment="1">
      <alignment horizontal="center" wrapText="1"/>
    </xf>
    <xf numFmtId="0" fontId="32" fillId="0" borderId="80" xfId="0" applyFont="1" applyBorder="1" applyAlignment="1">
      <alignment horizontal="center" wrapText="1"/>
    </xf>
    <xf numFmtId="0" fontId="32" fillId="0" borderId="313" xfId="0" applyFont="1" applyBorder="1" applyAlignment="1">
      <alignment horizontal="center" wrapText="1"/>
    </xf>
    <xf numFmtId="0" fontId="32" fillId="0" borderId="335" xfId="0" applyFont="1" applyBorder="1" applyAlignment="1">
      <alignment horizontal="center" wrapText="1"/>
    </xf>
    <xf numFmtId="0" fontId="32" fillId="0" borderId="313" xfId="0" applyFont="1" applyBorder="1" applyAlignment="1">
      <alignment horizontal="center" vertical="center" wrapText="1"/>
    </xf>
    <xf numFmtId="0" fontId="32" fillId="0" borderId="335" xfId="0" applyFont="1" applyBorder="1" applyAlignment="1">
      <alignment horizontal="center" vertical="center" wrapText="1"/>
    </xf>
    <xf numFmtId="0" fontId="32" fillId="0" borderId="255" xfId="0" applyFont="1" applyBorder="1" applyAlignment="1">
      <alignment horizontal="center" wrapText="1"/>
    </xf>
    <xf numFmtId="0" fontId="32" fillId="0" borderId="250" xfId="0" applyFont="1" applyBorder="1" applyAlignment="1">
      <alignment horizontal="center" wrapText="1"/>
    </xf>
    <xf numFmtId="0" fontId="32" fillId="0" borderId="254" xfId="0" applyFont="1" applyBorder="1" applyAlignment="1">
      <alignment horizontal="center" wrapText="1"/>
    </xf>
    <xf numFmtId="203" fontId="112" fillId="0" borderId="21" xfId="0" applyNumberFormat="1" applyFont="1" applyBorder="1" applyAlignment="1">
      <alignment horizontal="left"/>
    </xf>
    <xf numFmtId="176" fontId="6" fillId="0" borderId="4" xfId="0" applyNumberFormat="1" applyFont="1" applyBorder="1" applyAlignment="1">
      <alignment horizontal="right"/>
    </xf>
    <xf numFmtId="9" fontId="1" fillId="0" borderId="278" xfId="0" applyNumberFormat="1" applyFont="1" applyBorder="1" applyAlignment="1">
      <alignment horizontal="left" vertical="top" wrapText="1"/>
    </xf>
    <xf numFmtId="9" fontId="1" fillId="0" borderId="279" xfId="0" applyNumberFormat="1" applyFont="1" applyBorder="1" applyAlignment="1">
      <alignment horizontal="center"/>
    </xf>
    <xf numFmtId="9" fontId="1" fillId="0" borderId="336" xfId="0" applyNumberFormat="1" applyFont="1" applyBorder="1" applyAlignment="1">
      <alignment horizontal="center"/>
    </xf>
    <xf numFmtId="10" fontId="1" fillId="0" borderId="336" xfId="0" applyNumberFormat="1" applyFont="1" applyBorder="1" applyAlignment="1">
      <alignment horizontal="center"/>
    </xf>
    <xf numFmtId="9" fontId="1" fillId="0" borderId="279" xfId="0" applyNumberFormat="1" applyFont="1" applyBorder="1" applyAlignment="1">
      <alignment horizontal="center" vertical="top" wrapText="1"/>
    </xf>
    <xf numFmtId="0" fontId="1" fillId="0" borderId="278" xfId="0" applyFont="1" applyBorder="1" applyAlignment="1">
      <alignment horizontal="center"/>
    </xf>
    <xf numFmtId="0" fontId="6" fillId="0" borderId="100" xfId="0" applyFont="1" applyBorder="1"/>
    <xf numFmtId="9" fontId="6" fillId="0" borderId="290" xfId="0" applyNumberFormat="1" applyFont="1" applyBorder="1"/>
    <xf numFmtId="0" fontId="6" fillId="0" borderId="278" xfId="0" applyFont="1" applyBorder="1"/>
    <xf numFmtId="9" fontId="6" fillId="0" borderId="279" xfId="0" applyNumberFormat="1" applyFont="1" applyBorder="1"/>
    <xf numFmtId="9" fontId="6" fillId="0" borderId="336" xfId="0" applyNumberFormat="1" applyFont="1" applyBorder="1"/>
    <xf numFmtId="0" fontId="6" fillId="0" borderId="279" xfId="0" applyFont="1" applyBorder="1"/>
    <xf numFmtId="176" fontId="6" fillId="0" borderId="49" xfId="0" applyNumberFormat="1" applyFont="1" applyBorder="1" applyAlignment="1">
      <alignment horizontal="right"/>
    </xf>
    <xf numFmtId="0" fontId="17" fillId="0" borderId="49" xfId="0" applyFont="1" applyBorder="1"/>
    <xf numFmtId="0" fontId="6" fillId="0" borderId="143" xfId="0" applyFont="1" applyBorder="1"/>
    <xf numFmtId="0" fontId="17" fillId="0" borderId="21" xfId="0" applyFont="1" applyBorder="1"/>
    <xf numFmtId="177" fontId="6" fillId="0" borderId="2" xfId="0" applyNumberFormat="1" applyFont="1" applyBorder="1" applyAlignment="1">
      <alignment horizontal="center"/>
    </xf>
    <xf numFmtId="0" fontId="6" fillId="0" borderId="28" xfId="0" applyFont="1" applyBorder="1" applyAlignment="1">
      <alignment horizontal="center"/>
    </xf>
    <xf numFmtId="176" fontId="6" fillId="0" borderId="28" xfId="0" applyNumberFormat="1" applyFont="1" applyBorder="1" applyAlignment="1">
      <alignment horizontal="center"/>
    </xf>
    <xf numFmtId="176" fontId="6" fillId="0" borderId="28" xfId="0" applyNumberFormat="1" applyFont="1" applyBorder="1"/>
    <xf numFmtId="3" fontId="6" fillId="0" borderId="28" xfId="0" applyNumberFormat="1" applyFont="1" applyBorder="1" applyAlignment="1">
      <alignment horizontal="center"/>
    </xf>
    <xf numFmtId="176" fontId="17" fillId="10" borderId="91" xfId="0" applyNumberFormat="1" applyFont="1" applyFill="1" applyBorder="1" applyAlignment="1">
      <alignment horizontal="right"/>
    </xf>
    <xf numFmtId="0" fontId="6" fillId="0" borderId="4" xfId="0" applyFont="1" applyBorder="1" applyAlignment="1">
      <alignment horizontal="right"/>
    </xf>
    <xf numFmtId="0" fontId="17" fillId="0" borderId="21" xfId="0" applyFont="1" applyBorder="1" applyAlignment="1">
      <alignment horizontal="left"/>
    </xf>
    <xf numFmtId="176" fontId="6" fillId="0" borderId="29" xfId="0" applyNumberFormat="1" applyFont="1" applyBorder="1" applyAlignment="1">
      <alignment horizontal="right"/>
    </xf>
    <xf numFmtId="176" fontId="6" fillId="0" borderId="134" xfId="0" applyNumberFormat="1" applyFont="1" applyBorder="1" applyAlignment="1">
      <alignment horizontal="right"/>
    </xf>
    <xf numFmtId="0" fontId="6" fillId="0" borderId="134" xfId="0" applyFont="1" applyBorder="1"/>
    <xf numFmtId="0" fontId="17" fillId="0" borderId="134" xfId="0" applyFont="1" applyBorder="1"/>
    <xf numFmtId="0" fontId="6" fillId="0" borderId="337" xfId="0" applyFont="1" applyBorder="1"/>
    <xf numFmtId="9" fontId="6" fillId="0" borderId="30" xfId="0" applyNumberFormat="1" applyFont="1" applyBorder="1"/>
    <xf numFmtId="0" fontId="6" fillId="0" borderId="30" xfId="0" applyFont="1" applyBorder="1"/>
    <xf numFmtId="0" fontId="6" fillId="0" borderId="181" xfId="0" applyFont="1" applyBorder="1"/>
    <xf numFmtId="177" fontId="6" fillId="26" borderId="4" xfId="0" applyNumberFormat="1" applyFont="1" applyFill="1" applyBorder="1" applyAlignment="1">
      <alignment horizontal="center"/>
    </xf>
    <xf numFmtId="9" fontId="6" fillId="0" borderId="0" xfId="0" applyNumberFormat="1" applyFont="1"/>
    <xf numFmtId="0" fontId="6" fillId="0" borderId="19" xfId="0" applyFont="1" applyBorder="1" applyAlignment="1">
      <alignment horizontal="left"/>
    </xf>
    <xf numFmtId="0" fontId="17" fillId="0" borderId="19" xfId="0" applyFont="1" applyBorder="1" applyAlignment="1">
      <alignment horizontal="left"/>
    </xf>
    <xf numFmtId="177" fontId="6" fillId="0" borderId="4" xfId="0" applyNumberFormat="1" applyFont="1" applyBorder="1" applyAlignment="1">
      <alignment horizontal="center"/>
    </xf>
    <xf numFmtId="176" fontId="6" fillId="10" borderId="76" xfId="0" applyNumberFormat="1" applyFont="1" applyFill="1" applyBorder="1" applyAlignment="1">
      <alignment horizontal="center"/>
    </xf>
    <xf numFmtId="0" fontId="6" fillId="10" borderId="76" xfId="0" applyFont="1" applyFill="1" applyBorder="1" applyAlignment="1">
      <alignment horizontal="center"/>
    </xf>
    <xf numFmtId="176" fontId="17" fillId="10" borderId="76" xfId="0" applyNumberFormat="1" applyFont="1" applyFill="1" applyBorder="1" applyAlignment="1">
      <alignment horizontal="center"/>
    </xf>
    <xf numFmtId="3" fontId="17" fillId="10" borderId="76" xfId="0" applyNumberFormat="1" applyFont="1" applyFill="1" applyBorder="1" applyAlignment="1">
      <alignment horizontal="center"/>
    </xf>
    <xf numFmtId="176" fontId="17" fillId="10" borderId="58" xfId="0" applyNumberFormat="1" applyFont="1" applyFill="1" applyBorder="1" applyAlignment="1">
      <alignment horizontal="center"/>
    </xf>
    <xf numFmtId="0" fontId="6" fillId="0" borderId="24" xfId="0" applyFont="1" applyBorder="1"/>
    <xf numFmtId="0" fontId="17" fillId="0" borderId="176" xfId="0" applyFont="1" applyBorder="1"/>
    <xf numFmtId="176" fontId="6" fillId="0" borderId="134" xfId="0" applyNumberFormat="1" applyFont="1" applyBorder="1" applyAlignment="1">
      <alignment horizontal="center"/>
    </xf>
    <xf numFmtId="0" fontId="6" fillId="0" borderId="134" xfId="0" applyFont="1" applyBorder="1" applyAlignment="1">
      <alignment horizontal="center"/>
    </xf>
    <xf numFmtId="0" fontId="17" fillId="0" borderId="134" xfId="0" applyFont="1" applyBorder="1" applyAlignment="1">
      <alignment horizontal="center"/>
    </xf>
    <xf numFmtId="0" fontId="6" fillId="0" borderId="31" xfId="0" applyFont="1" applyBorder="1"/>
    <xf numFmtId="0" fontId="17" fillId="4" borderId="144" xfId="0" applyFont="1" applyFill="1" applyBorder="1"/>
    <xf numFmtId="176" fontId="6" fillId="4" borderId="91" xfId="0" applyNumberFormat="1" applyFont="1" applyFill="1" applyBorder="1"/>
    <xf numFmtId="0" fontId="6" fillId="4" borderId="91" xfId="0" applyFont="1" applyFill="1" applyBorder="1"/>
    <xf numFmtId="0" fontId="6" fillId="4" borderId="145" xfId="0" applyFont="1" applyFill="1" applyBorder="1"/>
    <xf numFmtId="0" fontId="6" fillId="4" borderId="118" xfId="0" applyFont="1" applyFill="1" applyBorder="1"/>
    <xf numFmtId="0" fontId="17" fillId="4" borderId="91" xfId="0" applyFont="1" applyFill="1" applyBorder="1" applyAlignment="1">
      <alignment horizontal="center"/>
    </xf>
    <xf numFmtId="0" fontId="6" fillId="4" borderId="137" xfId="0" applyFont="1" applyFill="1" applyBorder="1"/>
    <xf numFmtId="176" fontId="17" fillId="0" borderId="29" xfId="0" applyNumberFormat="1" applyFont="1" applyBorder="1" applyAlignment="1">
      <alignment horizontal="center" vertical="center"/>
    </xf>
    <xf numFmtId="0" fontId="17" fillId="0" borderId="29" xfId="0" applyFont="1" applyBorder="1" applyAlignment="1">
      <alignment horizontal="center" vertical="center"/>
    </xf>
    <xf numFmtId="0" fontId="17" fillId="10" borderId="152" xfId="0" applyFont="1" applyFill="1" applyBorder="1" applyAlignment="1">
      <alignment horizontal="center" vertical="center" wrapText="1"/>
    </xf>
    <xf numFmtId="0" fontId="17" fillId="10" borderId="152" xfId="0" applyFont="1" applyFill="1" applyBorder="1"/>
    <xf numFmtId="0" fontId="17" fillId="10" borderId="338" xfId="0" applyFont="1" applyFill="1" applyBorder="1" applyAlignment="1">
      <alignment horizontal="center"/>
    </xf>
    <xf numFmtId="0" fontId="17" fillId="10" borderId="195" xfId="0" applyFont="1" applyFill="1" applyBorder="1" applyAlignment="1">
      <alignment horizontal="center" vertical="center" wrapText="1"/>
    </xf>
    <xf numFmtId="0" fontId="17" fillId="10" borderId="194" xfId="0" applyFont="1" applyFill="1" applyBorder="1"/>
    <xf numFmtId="0" fontId="17" fillId="10" borderId="198" xfId="0" applyFont="1" applyFill="1" applyBorder="1" applyAlignment="1">
      <alignment horizontal="center" vertical="center" wrapText="1"/>
    </xf>
    <xf numFmtId="0" fontId="17" fillId="10" borderId="153" xfId="0" applyFont="1" applyFill="1" applyBorder="1" applyAlignment="1">
      <alignment horizontal="center"/>
    </xf>
    <xf numFmtId="0" fontId="17" fillId="10" borderId="339" xfId="0" applyFont="1" applyFill="1" applyBorder="1" applyAlignment="1">
      <alignment horizontal="center" vertical="center" wrapText="1"/>
    </xf>
    <xf numFmtId="0" fontId="133" fillId="0" borderId="4" xfId="0" applyFont="1" applyBorder="1" applyAlignment="1">
      <alignment horizontal="center"/>
    </xf>
    <xf numFmtId="176" fontId="133" fillId="0" borderId="4" xfId="0" applyNumberFormat="1" applyFont="1" applyBorder="1" applyAlignment="1">
      <alignment horizontal="center"/>
    </xf>
    <xf numFmtId="0" fontId="133" fillId="0" borderId="4" xfId="0" applyFont="1" applyBorder="1"/>
    <xf numFmtId="169" fontId="133" fillId="0" borderId="4" xfId="0" applyNumberFormat="1" applyFont="1" applyBorder="1" applyAlignment="1">
      <alignment horizontal="center"/>
    </xf>
    <xf numFmtId="0" fontId="134" fillId="0" borderId="4" xfId="0" applyFont="1" applyBorder="1"/>
    <xf numFmtId="0" fontId="133" fillId="0" borderId="2" xfId="0" applyFont="1" applyBorder="1" applyAlignment="1">
      <alignment horizontal="right" vertical="center"/>
    </xf>
    <xf numFmtId="176" fontId="133" fillId="0" borderId="2" xfId="0" applyNumberFormat="1" applyFont="1" applyBorder="1" applyAlignment="1">
      <alignment horizontal="center"/>
    </xf>
    <xf numFmtId="169" fontId="133" fillId="0" borderId="28" xfId="0" applyNumberFormat="1" applyFont="1" applyBorder="1" applyAlignment="1">
      <alignment horizontal="center"/>
    </xf>
    <xf numFmtId="169" fontId="133" fillId="0" borderId="3" xfId="0" applyNumberFormat="1" applyFont="1" applyBorder="1" applyAlignment="1">
      <alignment horizontal="center"/>
    </xf>
    <xf numFmtId="169" fontId="6" fillId="0" borderId="4" xfId="0" applyNumberFormat="1" applyFont="1" applyBorder="1" applyAlignment="1">
      <alignment horizontal="center"/>
    </xf>
    <xf numFmtId="0" fontId="6" fillId="0" borderId="2" xfId="0" applyFont="1" applyBorder="1" applyAlignment="1">
      <alignment horizontal="right"/>
    </xf>
    <xf numFmtId="176" fontId="6" fillId="0" borderId="2" xfId="0" applyNumberFormat="1" applyFont="1" applyBorder="1" applyAlignment="1">
      <alignment horizontal="center"/>
    </xf>
    <xf numFmtId="176" fontId="6" fillId="0" borderId="18" xfId="0" applyNumberFormat="1" applyFont="1" applyBorder="1" applyAlignment="1">
      <alignment horizontal="center"/>
    </xf>
    <xf numFmtId="0" fontId="134" fillId="0" borderId="4" xfId="0" applyFont="1" applyBorder="1" applyAlignment="1">
      <alignment horizontal="center"/>
    </xf>
    <xf numFmtId="0" fontId="17" fillId="0" borderId="57" xfId="0" applyFont="1" applyBorder="1" applyAlignment="1">
      <alignment horizontal="left" wrapText="1"/>
    </xf>
    <xf numFmtId="0" fontId="17" fillId="0" borderId="76" xfId="0" applyFont="1" applyBorder="1" applyAlignment="1">
      <alignment horizontal="right" wrapText="1"/>
    </xf>
    <xf numFmtId="176" fontId="17" fillId="0" borderId="76" xfId="0" applyNumberFormat="1" applyFont="1" applyBorder="1" applyAlignment="1">
      <alignment horizontal="center"/>
    </xf>
    <xf numFmtId="169" fontId="17" fillId="0" borderId="76" xfId="0" applyNumberFormat="1" applyFont="1" applyBorder="1" applyAlignment="1">
      <alignment horizontal="center"/>
    </xf>
    <xf numFmtId="0" fontId="6" fillId="0" borderId="30" xfId="0" applyFont="1" applyBorder="1" applyAlignment="1">
      <alignment horizontal="center"/>
    </xf>
    <xf numFmtId="0" fontId="6" fillId="0" borderId="23" xfId="0" applyFont="1" applyBorder="1" applyAlignment="1">
      <alignment horizontal="center"/>
    </xf>
    <xf numFmtId="0" fontId="17" fillId="0" borderId="0" xfId="0" applyFont="1" applyAlignment="1">
      <alignment horizontal="left" wrapText="1"/>
    </xf>
    <xf numFmtId="0" fontId="17" fillId="0" borderId="0" xfId="0" applyFont="1" applyAlignment="1">
      <alignment horizontal="right" wrapText="1"/>
    </xf>
    <xf numFmtId="176" fontId="17" fillId="0" borderId="0" xfId="0" applyNumberFormat="1" applyFont="1" applyAlignment="1">
      <alignment horizontal="center"/>
    </xf>
    <xf numFmtId="169" fontId="17" fillId="0" borderId="0" xfId="0" applyNumberFormat="1" applyFont="1" applyAlignment="1">
      <alignment horizontal="center"/>
    </xf>
    <xf numFmtId="0" fontId="27" fillId="26" borderId="73" xfId="0" applyFont="1" applyFill="1" applyBorder="1"/>
    <xf numFmtId="0" fontId="1" fillId="26" borderId="340" xfId="0" applyFont="1" applyFill="1" applyBorder="1"/>
    <xf numFmtId="0" fontId="135" fillId="0" borderId="0" xfId="0" applyFont="1"/>
    <xf numFmtId="0" fontId="17" fillId="10" borderId="21" xfId="0" applyFont="1" applyFill="1" applyBorder="1" applyAlignment="1">
      <alignment horizontal="left"/>
    </xf>
    <xf numFmtId="0" fontId="17" fillId="10" borderId="4" xfId="0" applyFont="1" applyFill="1" applyBorder="1" applyAlignment="1">
      <alignment horizontal="center"/>
    </xf>
    <xf numFmtId="0" fontId="17" fillId="10" borderId="4" xfId="0" applyFont="1" applyFill="1" applyBorder="1" applyAlignment="1">
      <alignment horizontal="center" wrapText="1"/>
    </xf>
    <xf numFmtId="0" fontId="17" fillId="10" borderId="4" xfId="0" applyFont="1" applyFill="1" applyBorder="1"/>
    <xf numFmtId="176" fontId="17" fillId="10" borderId="4" xfId="0" applyNumberFormat="1" applyFont="1" applyFill="1" applyBorder="1" applyAlignment="1">
      <alignment horizontal="center" wrapText="1"/>
    </xf>
    <xf numFmtId="0" fontId="17" fillId="10" borderId="154" xfId="0" applyFont="1" applyFill="1" applyBorder="1" applyAlignment="1">
      <alignment horizontal="center" wrapText="1"/>
    </xf>
    <xf numFmtId="0" fontId="6" fillId="0" borderId="2" xfId="0" applyFont="1" applyBorder="1"/>
    <xf numFmtId="0" fontId="6" fillId="0" borderId="4" xfId="0" quotePrefix="1" applyFont="1" applyBorder="1"/>
    <xf numFmtId="3" fontId="6" fillId="26" borderId="4" xfId="0" applyNumberFormat="1" applyFont="1" applyFill="1" applyBorder="1" applyAlignment="1">
      <alignment horizontal="center"/>
    </xf>
    <xf numFmtId="177" fontId="6" fillId="0" borderId="4" xfId="0" applyNumberFormat="1" applyFont="1" applyBorder="1"/>
    <xf numFmtId="168" fontId="6" fillId="0" borderId="4" xfId="0" applyNumberFormat="1" applyFont="1" applyBorder="1"/>
    <xf numFmtId="178" fontId="6" fillId="0" borderId="4" xfId="0" applyNumberFormat="1" applyFont="1" applyBorder="1" applyAlignment="1">
      <alignment horizontal="center"/>
    </xf>
    <xf numFmtId="43" fontId="90" fillId="0" borderId="4" xfId="0" applyNumberFormat="1" applyFont="1" applyBorder="1" applyAlignment="1">
      <alignment horizontal="center"/>
    </xf>
    <xf numFmtId="43" fontId="6" fillId="0" borderId="4" xfId="0" applyNumberFormat="1" applyFont="1" applyBorder="1" applyAlignment="1">
      <alignment horizontal="center"/>
    </xf>
    <xf numFmtId="199" fontId="6" fillId="0" borderId="4" xfId="0" applyNumberFormat="1" applyFont="1" applyBorder="1" applyAlignment="1">
      <alignment horizontal="center"/>
    </xf>
    <xf numFmtId="199" fontId="6" fillId="0" borderId="2" xfId="0" applyNumberFormat="1" applyFont="1" applyBorder="1" applyAlignment="1">
      <alignment horizontal="center"/>
    </xf>
    <xf numFmtId="177" fontId="6" fillId="30" borderId="4" xfId="0" applyNumberFormat="1" applyFont="1" applyFill="1" applyBorder="1"/>
    <xf numFmtId="43" fontId="6" fillId="30" borderId="4" xfId="0" applyNumberFormat="1" applyFont="1" applyFill="1" applyBorder="1"/>
    <xf numFmtId="2" fontId="6" fillId="30" borderId="4" xfId="0" applyNumberFormat="1" applyFont="1" applyFill="1" applyBorder="1" applyAlignment="1">
      <alignment horizontal="center"/>
    </xf>
    <xf numFmtId="168" fontId="6" fillId="30" borderId="4" xfId="0" applyNumberFormat="1" applyFont="1" applyFill="1" applyBorder="1"/>
    <xf numFmtId="179" fontId="6" fillId="30" borderId="4" xfId="0" applyNumberFormat="1" applyFont="1" applyFill="1" applyBorder="1"/>
    <xf numFmtId="178" fontId="6" fillId="30" borderId="4" xfId="0" applyNumberFormat="1" applyFont="1" applyFill="1" applyBorder="1" applyAlignment="1">
      <alignment horizontal="center"/>
    </xf>
    <xf numFmtId="182" fontId="6" fillId="0" borderId="4" xfId="0" applyNumberFormat="1" applyFont="1" applyBorder="1"/>
    <xf numFmtId="176" fontId="17" fillId="10" borderId="76" xfId="0" applyNumberFormat="1" applyFont="1" applyFill="1" applyBorder="1"/>
    <xf numFmtId="0" fontId="17" fillId="10" borderId="76" xfId="0" applyFont="1" applyFill="1" applyBorder="1" applyAlignment="1">
      <alignment horizontal="center"/>
    </xf>
    <xf numFmtId="168" fontId="17" fillId="10" borderId="76" xfId="0" applyNumberFormat="1" applyFont="1" applyFill="1" applyBorder="1"/>
    <xf numFmtId="168" fontId="17" fillId="10" borderId="147" xfId="0" applyNumberFormat="1" applyFont="1" applyFill="1" applyBorder="1"/>
    <xf numFmtId="0" fontId="27" fillId="26" borderId="329" xfId="0" applyFont="1" applyFill="1" applyBorder="1"/>
    <xf numFmtId="0" fontId="1" fillId="0" borderId="7" xfId="0" applyFont="1" applyBorder="1"/>
    <xf numFmtId="0" fontId="135" fillId="0" borderId="19" xfId="0" applyFont="1" applyBorder="1"/>
    <xf numFmtId="0" fontId="17" fillId="10" borderId="312" xfId="0" applyFont="1" applyFill="1" applyBorder="1" applyAlignment="1">
      <alignment horizontal="left"/>
    </xf>
    <xf numFmtId="0" fontId="17" fillId="10" borderId="51" xfId="0" applyFont="1" applyFill="1" applyBorder="1" applyAlignment="1">
      <alignment horizontal="center" wrapText="1"/>
    </xf>
    <xf numFmtId="0" fontId="6" fillId="0" borderId="3" xfId="0" applyFont="1" applyBorder="1"/>
    <xf numFmtId="0" fontId="6" fillId="0" borderId="3" xfId="0" applyFont="1" applyBorder="1" applyAlignment="1">
      <alignment horizontal="left"/>
    </xf>
    <xf numFmtId="176" fontId="6" fillId="26" borderId="4" xfId="0" applyNumberFormat="1" applyFont="1" applyFill="1" applyBorder="1" applyAlignment="1">
      <alignment horizontal="center"/>
    </xf>
    <xf numFmtId="179" fontId="90" fillId="0" borderId="4" xfId="0" applyNumberFormat="1" applyFont="1" applyBorder="1"/>
    <xf numFmtId="184" fontId="6" fillId="0" borderId="4" xfId="0" applyNumberFormat="1" applyFont="1" applyBorder="1"/>
    <xf numFmtId="184" fontId="6" fillId="0" borderId="51" xfId="0" applyNumberFormat="1" applyFont="1" applyBorder="1"/>
    <xf numFmtId="176" fontId="6" fillId="2" borderId="4" xfId="0" applyNumberFormat="1" applyFont="1" applyFill="1" applyBorder="1" applyAlignment="1">
      <alignment horizontal="center"/>
    </xf>
    <xf numFmtId="0" fontId="17" fillId="0" borderId="3" xfId="0" applyFont="1" applyBorder="1"/>
    <xf numFmtId="179" fontId="6" fillId="0" borderId="4" xfId="0" applyNumberFormat="1" applyFont="1" applyBorder="1"/>
    <xf numFmtId="0" fontId="17" fillId="10" borderId="312" xfId="0" applyFont="1" applyFill="1" applyBorder="1"/>
    <xf numFmtId="0" fontId="6" fillId="10" borderId="4" xfId="0" applyFont="1" applyFill="1" applyBorder="1" applyAlignment="1">
      <alignment horizontal="center"/>
    </xf>
    <xf numFmtId="176" fontId="17" fillId="10" borderId="4" xfId="0" applyNumberFormat="1" applyFont="1" applyFill="1" applyBorder="1"/>
    <xf numFmtId="168" fontId="17" fillId="10" borderId="4" xfId="0" applyNumberFormat="1" applyFont="1" applyFill="1" applyBorder="1"/>
    <xf numFmtId="43" fontId="17" fillId="10" borderId="4" xfId="0" applyNumberFormat="1" applyFont="1" applyFill="1" applyBorder="1"/>
    <xf numFmtId="179" fontId="17" fillId="10" borderId="4" xfId="0" applyNumberFormat="1" applyFont="1" applyFill="1" applyBorder="1"/>
    <xf numFmtId="174" fontId="17" fillId="10" borderId="4" xfId="0" applyNumberFormat="1" applyFont="1" applyFill="1" applyBorder="1"/>
    <xf numFmtId="174" fontId="17" fillId="10" borderId="51" xfId="0" applyNumberFormat="1" applyFont="1" applyFill="1" applyBorder="1"/>
    <xf numFmtId="0" fontId="48" fillId="0" borderId="183" xfId="0" applyFont="1" applyBorder="1"/>
    <xf numFmtId="0" fontId="7" fillId="26" borderId="136" xfId="0" applyFont="1" applyFill="1" applyBorder="1" applyAlignment="1">
      <alignment horizontal="left"/>
    </xf>
    <xf numFmtId="0" fontId="7" fillId="26" borderId="118" xfId="0" applyFont="1" applyFill="1" applyBorder="1" applyAlignment="1">
      <alignment horizontal="center"/>
    </xf>
    <xf numFmtId="0" fontId="7" fillId="26" borderId="137" xfId="0" applyFont="1" applyFill="1" applyBorder="1" applyAlignment="1">
      <alignment horizontal="center"/>
    </xf>
    <xf numFmtId="0" fontId="19" fillId="10" borderId="162" xfId="0" applyFont="1" applyFill="1" applyBorder="1"/>
    <xf numFmtId="0" fontId="19" fillId="10" borderId="163" xfId="0" applyFont="1" applyFill="1" applyBorder="1" applyAlignment="1">
      <alignment horizontal="center" wrapText="1"/>
    </xf>
    <xf numFmtId="0" fontId="7" fillId="10" borderId="163" xfId="0" applyFont="1" applyFill="1" applyBorder="1"/>
    <xf numFmtId="0" fontId="19" fillId="10" borderId="341" xfId="0" applyFont="1" applyFill="1" applyBorder="1" applyAlignment="1">
      <alignment horizontal="center" vertical="center" wrapText="1"/>
    </xf>
    <xf numFmtId="0" fontId="7" fillId="0" borderId="165" xfId="0" applyFont="1" applyBorder="1"/>
    <xf numFmtId="168" fontId="7" fillId="0" borderId="4" xfId="0" applyNumberFormat="1" applyFont="1" applyBorder="1"/>
    <xf numFmtId="193" fontId="7" fillId="0" borderId="4" xfId="0" applyNumberFormat="1" applyFont="1" applyBorder="1"/>
    <xf numFmtId="168" fontId="7" fillId="0" borderId="51" xfId="0" applyNumberFormat="1" applyFont="1" applyBorder="1" applyAlignment="1">
      <alignment horizontal="center"/>
    </xf>
    <xf numFmtId="179" fontId="7" fillId="0" borderId="4" xfId="0" applyNumberFormat="1" applyFont="1" applyBorder="1"/>
    <xf numFmtId="0" fontId="19" fillId="10" borderId="165" xfId="0" applyFont="1" applyFill="1" applyBorder="1"/>
    <xf numFmtId="179" fontId="19" fillId="10" borderId="4" xfId="0" applyNumberFormat="1" applyFont="1" applyFill="1" applyBorder="1"/>
    <xf numFmtId="168" fontId="19" fillId="10" borderId="51" xfId="0" applyNumberFormat="1" applyFont="1" applyFill="1" applyBorder="1" applyAlignment="1">
      <alignment horizontal="center"/>
    </xf>
    <xf numFmtId="0" fontId="19" fillId="0" borderId="165" xfId="0" applyFont="1" applyBorder="1"/>
    <xf numFmtId="0" fontId="7" fillId="0" borderId="4" xfId="0" applyFont="1" applyBorder="1"/>
    <xf numFmtId="0" fontId="7" fillId="0" borderId="51" xfId="0" applyFont="1" applyBorder="1" applyAlignment="1">
      <alignment horizontal="center"/>
    </xf>
    <xf numFmtId="0" fontId="19" fillId="10" borderId="165" xfId="0" applyFont="1" applyFill="1" applyBorder="1" applyAlignment="1">
      <alignment wrapText="1"/>
    </xf>
    <xf numFmtId="0" fontId="19" fillId="10" borderId="4" xfId="0" applyFont="1" applyFill="1" applyBorder="1"/>
    <xf numFmtId="0" fontId="19" fillId="10" borderId="51" xfId="0" applyFont="1" applyFill="1" applyBorder="1" applyAlignment="1">
      <alignment horizontal="center" vertical="center" wrapText="1"/>
    </xf>
    <xf numFmtId="179" fontId="19" fillId="0" borderId="4" xfId="0" applyNumberFormat="1" applyFont="1" applyBorder="1"/>
    <xf numFmtId="168" fontId="19" fillId="0" borderId="51" xfId="0" applyNumberFormat="1" applyFont="1" applyBorder="1" applyAlignment="1">
      <alignment horizontal="center"/>
    </xf>
    <xf numFmtId="0" fontId="7" fillId="0" borderId="165" xfId="0" applyFont="1" applyBorder="1" applyAlignment="1">
      <alignment horizontal="left"/>
    </xf>
    <xf numFmtId="0" fontId="19" fillId="0" borderId="165" xfId="0" applyFont="1" applyBorder="1" applyAlignment="1">
      <alignment horizontal="left"/>
    </xf>
    <xf numFmtId="0" fontId="7" fillId="0" borderId="51" xfId="0" applyFont="1" applyBorder="1"/>
    <xf numFmtId="0" fontId="19" fillId="10" borderId="51" xfId="0" applyFont="1" applyFill="1" applyBorder="1"/>
    <xf numFmtId="176" fontId="19" fillId="0" borderId="4" xfId="0" applyNumberFormat="1" applyFont="1" applyBorder="1"/>
    <xf numFmtId="176" fontId="19" fillId="0" borderId="51" xfId="0" applyNumberFormat="1" applyFont="1" applyBorder="1"/>
    <xf numFmtId="177" fontId="7" fillId="0" borderId="51" xfId="0" applyNumberFormat="1" applyFont="1" applyBorder="1"/>
    <xf numFmtId="0" fontId="23" fillId="0" borderId="165" xfId="0" applyFont="1" applyBorder="1" applyAlignment="1">
      <alignment horizontal="left"/>
    </xf>
    <xf numFmtId="0" fontId="19" fillId="10" borderId="171" xfId="0" applyFont="1" applyFill="1" applyBorder="1"/>
    <xf numFmtId="176" fontId="19" fillId="10" borderId="76" xfId="0" applyNumberFormat="1" applyFont="1" applyFill="1" applyBorder="1"/>
    <xf numFmtId="176" fontId="19" fillId="0" borderId="76" xfId="0" applyNumberFormat="1" applyFont="1" applyBorder="1"/>
    <xf numFmtId="176" fontId="19" fillId="0" borderId="58" xfId="0" applyNumberFormat="1" applyFont="1" applyBorder="1"/>
    <xf numFmtId="0" fontId="136" fillId="9" borderId="29" xfId="0" applyFont="1" applyFill="1" applyBorder="1"/>
    <xf numFmtId="0" fontId="6" fillId="9" borderId="29" xfId="0" applyFont="1" applyFill="1" applyBorder="1"/>
    <xf numFmtId="0" fontId="6" fillId="9" borderId="241" xfId="0" applyFont="1" applyFill="1" applyBorder="1"/>
    <xf numFmtId="0" fontId="137" fillId="8" borderId="4" xfId="0" applyFont="1" applyFill="1" applyBorder="1" applyAlignment="1">
      <alignment horizontal="center" wrapText="1"/>
    </xf>
    <xf numFmtId="0" fontId="6" fillId="8" borderId="4" xfId="0" applyFont="1" applyFill="1" applyBorder="1"/>
    <xf numFmtId="0" fontId="138" fillId="0" borderId="4" xfId="0" applyFont="1" applyBorder="1" applyAlignment="1">
      <alignment horizontal="right" wrapText="1"/>
    </xf>
    <xf numFmtId="3" fontId="24" fillId="30" borderId="4" xfId="0" applyNumberFormat="1" applyFont="1" applyFill="1" applyBorder="1" applyAlignment="1">
      <alignment horizontal="center" wrapText="1"/>
    </xf>
    <xf numFmtId="0" fontId="1" fillId="0" borderId="4" xfId="0" applyFont="1" applyBorder="1" applyAlignment="1">
      <alignment horizontal="right" wrapText="1"/>
    </xf>
    <xf numFmtId="4" fontId="1" fillId="0" borderId="4" xfId="0" applyNumberFormat="1" applyFont="1" applyBorder="1" applyAlignment="1">
      <alignment horizontal="center" wrapText="1"/>
    </xf>
    <xf numFmtId="171" fontId="32" fillId="0" borderId="4" xfId="0" applyNumberFormat="1" applyFont="1" applyBorder="1" applyAlignment="1">
      <alignment horizontal="center" wrapText="1"/>
    </xf>
    <xf numFmtId="0" fontId="140" fillId="8" borderId="4" xfId="0" applyFont="1" applyFill="1" applyBorder="1"/>
    <xf numFmtId="0" fontId="26" fillId="11" borderId="4" xfId="0" applyFont="1" applyFill="1" applyBorder="1" applyAlignment="1">
      <alignment horizontal="center" wrapText="1"/>
    </xf>
    <xf numFmtId="0" fontId="6" fillId="11" borderId="4" xfId="0" applyFont="1" applyFill="1" applyBorder="1"/>
    <xf numFmtId="171" fontId="6" fillId="0" borderId="4" xfId="0" applyNumberFormat="1" applyFont="1" applyBorder="1"/>
    <xf numFmtId="0" fontId="26" fillId="0" borderId="4" xfId="0" applyFont="1" applyBorder="1" applyAlignment="1">
      <alignment horizontal="right" wrapText="1"/>
    </xf>
    <xf numFmtId="0" fontId="26" fillId="0" borderId="4" xfId="0" applyFont="1" applyBorder="1" applyAlignment="1">
      <alignment wrapText="1"/>
    </xf>
    <xf numFmtId="0" fontId="1" fillId="12" borderId="4" xfId="0" applyFont="1" applyFill="1" applyBorder="1" applyAlignment="1">
      <alignment horizontal="right" wrapText="1"/>
    </xf>
    <xf numFmtId="3" fontId="1" fillId="0" borderId="4" xfId="0" applyNumberFormat="1" applyFont="1" applyBorder="1" applyAlignment="1">
      <alignment horizontal="right" wrapText="1"/>
    </xf>
    <xf numFmtId="171" fontId="1" fillId="0" borderId="4" xfId="0" applyNumberFormat="1" applyFont="1" applyBorder="1" applyAlignment="1">
      <alignment horizontal="center" wrapText="1"/>
    </xf>
    <xf numFmtId="0" fontId="26" fillId="0" borderId="49" xfId="0" applyFont="1" applyBorder="1" applyAlignment="1">
      <alignment horizontal="right" wrapText="1"/>
    </xf>
    <xf numFmtId="0" fontId="12" fillId="0" borderId="0" xfId="0" applyFont="1"/>
    <xf numFmtId="0" fontId="9" fillId="0" borderId="0" xfId="0" applyFont="1" applyAlignment="1">
      <alignment horizontal="left"/>
    </xf>
    <xf numFmtId="0" fontId="9" fillId="0" borderId="0" xfId="0" applyFont="1" applyAlignment="1">
      <alignment horizontal="right"/>
    </xf>
    <xf numFmtId="3" fontId="9" fillId="0" borderId="0" xfId="0" applyNumberFormat="1" applyFont="1" applyAlignment="1">
      <alignment horizontal="right"/>
    </xf>
    <xf numFmtId="164" fontId="5" fillId="0" borderId="0" xfId="0" applyNumberFormat="1" applyFont="1"/>
    <xf numFmtId="0" fontId="3" fillId="0" borderId="33" xfId="0" applyFont="1" applyBorder="1"/>
    <xf numFmtId="0" fontId="4" fillId="0" borderId="33" xfId="0" applyFont="1" applyBorder="1" applyAlignment="1">
      <alignment horizontal="right"/>
    </xf>
    <xf numFmtId="0" fontId="6" fillId="0" borderId="33" xfId="0" applyFont="1" applyBorder="1"/>
    <xf numFmtId="0" fontId="7" fillId="0" borderId="33" xfId="0" applyFont="1" applyBorder="1" applyAlignment="1">
      <alignment horizontal="right"/>
    </xf>
    <xf numFmtId="0" fontId="7" fillId="0" borderId="204" xfId="0" applyFont="1" applyBorder="1" applyAlignment="1">
      <alignment horizontal="right"/>
    </xf>
    <xf numFmtId="164" fontId="7" fillId="0" borderId="342" xfId="0" applyNumberFormat="1" applyFont="1" applyBorder="1" applyAlignment="1">
      <alignment horizontal="center"/>
    </xf>
    <xf numFmtId="0" fontId="7" fillId="0" borderId="342" xfId="0" applyFont="1" applyBorder="1" applyAlignment="1">
      <alignment horizontal="center"/>
    </xf>
    <xf numFmtId="3" fontId="7" fillId="0" borderId="342" xfId="0" applyNumberFormat="1" applyFont="1" applyBorder="1" applyAlignment="1">
      <alignment horizontal="center"/>
    </xf>
    <xf numFmtId="0" fontId="19" fillId="7" borderId="342" xfId="0" applyFont="1" applyFill="1" applyBorder="1" applyAlignment="1">
      <alignment horizontal="center" wrapText="1"/>
    </xf>
    <xf numFmtId="169" fontId="22" fillId="0" borderId="0" xfId="0" applyNumberFormat="1" applyFont="1" applyAlignment="1">
      <alignment horizontal="right"/>
    </xf>
    <xf numFmtId="169" fontId="24" fillId="0" borderId="0" xfId="0" applyNumberFormat="1" applyFont="1" applyAlignment="1">
      <alignment horizontal="right"/>
    </xf>
    <xf numFmtId="0" fontId="25" fillId="0" borderId="0" xfId="0" applyFont="1" applyAlignment="1">
      <alignment horizontal="right"/>
    </xf>
    <xf numFmtId="0" fontId="26" fillId="0" borderId="0" xfId="0" applyFont="1" applyAlignment="1">
      <alignment horizontal="right"/>
    </xf>
    <xf numFmtId="0" fontId="17" fillId="0" borderId="0" xfId="0" applyFont="1" applyAlignment="1">
      <alignment horizontal="center"/>
    </xf>
    <xf numFmtId="3" fontId="6" fillId="0" borderId="0" xfId="0" applyNumberFormat="1" applyFont="1" applyAlignment="1">
      <alignment horizontal="center"/>
    </xf>
    <xf numFmtId="171" fontId="17" fillId="0" borderId="0" xfId="0" applyNumberFormat="1" applyFont="1" applyAlignment="1">
      <alignment horizontal="center"/>
    </xf>
    <xf numFmtId="172" fontId="17" fillId="0" borderId="0" xfId="0" applyNumberFormat="1" applyFont="1" applyAlignment="1">
      <alignment horizontal="center"/>
    </xf>
    <xf numFmtId="172" fontId="6" fillId="0" borderId="0" xfId="0" applyNumberFormat="1" applyFont="1" applyAlignment="1">
      <alignment horizontal="center"/>
    </xf>
    <xf numFmtId="171" fontId="6" fillId="0" borderId="0" xfId="0" applyNumberFormat="1" applyFont="1" applyAlignment="1">
      <alignment horizontal="center"/>
    </xf>
    <xf numFmtId="0" fontId="25" fillId="0" borderId="0" xfId="0" applyFont="1" applyAlignment="1">
      <alignment horizontal="center"/>
    </xf>
    <xf numFmtId="3" fontId="7" fillId="0" borderId="0" xfId="0" applyNumberFormat="1" applyFont="1" applyAlignment="1">
      <alignment horizontal="right" wrapText="1"/>
    </xf>
    <xf numFmtId="173" fontId="19" fillId="0" borderId="0" xfId="0" applyNumberFormat="1" applyFont="1" applyAlignment="1">
      <alignment horizontal="right" wrapText="1"/>
    </xf>
    <xf numFmtId="173" fontId="7" fillId="0" borderId="0" xfId="0" applyNumberFormat="1" applyFont="1" applyAlignment="1">
      <alignment horizontal="right" wrapText="1"/>
    </xf>
    <xf numFmtId="0" fontId="16" fillId="0" borderId="31" xfId="0" applyFont="1" applyBorder="1"/>
    <xf numFmtId="1" fontId="205" fillId="4" borderId="345" xfId="0" applyNumberFormat="1" applyFont="1" applyFill="1" applyBorder="1" applyAlignment="1">
      <alignment horizontal="center"/>
    </xf>
    <xf numFmtId="174" fontId="206" fillId="4" borderId="347" xfId="0" applyNumberFormat="1" applyFont="1" applyFill="1" applyBorder="1" applyAlignment="1">
      <alignment horizontal="center"/>
    </xf>
    <xf numFmtId="0" fontId="205" fillId="0" borderId="348" xfId="0" applyFont="1" applyBorder="1"/>
    <xf numFmtId="0" fontId="206" fillId="0" borderId="13" xfId="0" applyFont="1" applyBorder="1"/>
    <xf numFmtId="174" fontId="205" fillId="4" borderId="347" xfId="0" applyNumberFormat="1" applyFont="1" applyFill="1" applyBorder="1" applyAlignment="1">
      <alignment horizontal="center"/>
    </xf>
    <xf numFmtId="0" fontId="206" fillId="0" borderId="349" xfId="0" applyFont="1" applyBorder="1"/>
    <xf numFmtId="0" fontId="206" fillId="0" borderId="154" xfId="0" applyFont="1" applyBorder="1"/>
    <xf numFmtId="0" fontId="206" fillId="0" borderId="350" xfId="0" applyFont="1" applyBorder="1"/>
    <xf numFmtId="0" fontId="207" fillId="0" borderId="154" xfId="0" applyFont="1" applyBorder="1"/>
    <xf numFmtId="0" fontId="206" fillId="0" borderId="154" xfId="0" applyFont="1" applyBorder="1" applyAlignment="1">
      <alignment horizontal="left" indent="2"/>
    </xf>
    <xf numFmtId="174" fontId="206" fillId="0" borderId="347" xfId="0" applyNumberFormat="1" applyFont="1" applyBorder="1" applyAlignment="1">
      <alignment horizontal="center"/>
    </xf>
    <xf numFmtId="0" fontId="206" fillId="0" borderId="351" xfId="0" applyFont="1" applyBorder="1"/>
    <xf numFmtId="0" fontId="206" fillId="0" borderId="154" xfId="0" applyFont="1" applyBorder="1" applyAlignment="1">
      <alignment horizontal="left"/>
    </xf>
    <xf numFmtId="0" fontId="205" fillId="0" borderId="13" xfId="0" applyFont="1" applyBorder="1"/>
    <xf numFmtId="174" fontId="205" fillId="4" borderId="347" xfId="0" applyNumberFormat="1" applyFont="1" applyFill="1" applyBorder="1" applyAlignment="1">
      <alignment horizontal="center" wrapText="1"/>
    </xf>
    <xf numFmtId="0" fontId="205" fillId="0" borderId="352" xfId="0" applyFont="1" applyBorder="1"/>
    <xf numFmtId="0" fontId="205" fillId="0" borderId="154" xfId="0" applyFont="1" applyBorder="1"/>
    <xf numFmtId="0" fontId="205" fillId="0" borderId="353" xfId="0" applyFont="1" applyBorder="1"/>
    <xf numFmtId="0" fontId="207" fillId="0" borderId="103" xfId="0" applyFont="1" applyBorder="1"/>
    <xf numFmtId="10" fontId="208" fillId="0" borderId="347" xfId="0" applyNumberFormat="1" applyFont="1" applyBorder="1"/>
    <xf numFmtId="174" fontId="208" fillId="0" borderId="347" xfId="0" applyNumberFormat="1" applyFont="1" applyBorder="1" applyAlignment="1">
      <alignment horizontal="center"/>
    </xf>
    <xf numFmtId="174" fontId="206" fillId="52" borderId="347" xfId="0" applyNumberFormat="1" applyFont="1" applyFill="1" applyBorder="1" applyAlignment="1">
      <alignment horizontal="center"/>
    </xf>
    <xf numFmtId="165" fontId="206" fillId="0" borderId="354" xfId="0" applyNumberFormat="1" applyFont="1" applyBorder="1"/>
    <xf numFmtId="0" fontId="205" fillId="0" borderId="355" xfId="0" applyFont="1" applyBorder="1"/>
    <xf numFmtId="0" fontId="207" fillId="0" borderId="356" xfId="0" applyFont="1" applyBorder="1"/>
    <xf numFmtId="0" fontId="200" fillId="0" borderId="357" xfId="0" applyFont="1" applyBorder="1"/>
    <xf numFmtId="0" fontId="209" fillId="5" borderId="358" xfId="0" applyFont="1" applyFill="1" applyBorder="1" applyAlignment="1">
      <alignment horizontal="center"/>
    </xf>
    <xf numFmtId="0" fontId="209" fillId="5" borderId="359" xfId="0" applyFont="1" applyFill="1" applyBorder="1" applyAlignment="1">
      <alignment horizontal="center"/>
    </xf>
    <xf numFmtId="0" fontId="200" fillId="0" borderId="360" xfId="0" applyFont="1" applyBorder="1"/>
    <xf numFmtId="174" fontId="200" fillId="0" borderId="342" xfId="0" applyNumberFormat="1" applyFont="1" applyBorder="1" applyAlignment="1">
      <alignment horizontal="center"/>
    </xf>
    <xf numFmtId="174" fontId="200" fillId="0" borderId="361" xfId="0" applyNumberFormat="1" applyFont="1" applyBorder="1" applyAlignment="1">
      <alignment horizontal="center"/>
    </xf>
    <xf numFmtId="0" fontId="200" fillId="0" borderId="362" xfId="0" applyFont="1" applyBorder="1"/>
    <xf numFmtId="174" fontId="200" fillId="0" borderId="363" xfId="0" applyNumberFormat="1" applyFont="1" applyBorder="1" applyAlignment="1">
      <alignment horizontal="center"/>
    </xf>
    <xf numFmtId="174" fontId="200" fillId="0" borderId="364" xfId="0" applyNumberFormat="1" applyFont="1" applyBorder="1" applyAlignment="1">
      <alignment horizontal="center"/>
    </xf>
    <xf numFmtId="174" fontId="0" fillId="0" borderId="0" xfId="0" applyNumberFormat="1"/>
    <xf numFmtId="3" fontId="210" fillId="0" borderId="342" xfId="0" applyNumberFormat="1" applyFont="1" applyBorder="1" applyAlignment="1">
      <alignment horizontal="center"/>
    </xf>
    <xf numFmtId="0" fontId="33" fillId="0" borderId="33" xfId="0" applyFont="1" applyBorder="1"/>
    <xf numFmtId="0" fontId="205" fillId="0" borderId="352" xfId="0" applyFont="1" applyBorder="1"/>
    <xf numFmtId="0" fontId="204" fillId="0" borderId="16" xfId="0" applyFont="1" applyBorder="1"/>
    <xf numFmtId="0" fontId="205" fillId="0" borderId="353" xfId="0" applyFont="1" applyBorder="1"/>
    <xf numFmtId="0" fontId="204" fillId="0" borderId="103" xfId="0" applyFont="1" applyBorder="1"/>
    <xf numFmtId="0" fontId="7" fillId="2" borderId="342" xfId="0" applyFont="1" applyFill="1" applyBorder="1" applyAlignment="1">
      <alignment horizontal="center"/>
    </xf>
    <xf numFmtId="3" fontId="7" fillId="0" borderId="342" xfId="0" applyNumberFormat="1" applyFont="1" applyBorder="1" applyAlignment="1">
      <alignment horizontal="center"/>
    </xf>
    <xf numFmtId="0" fontId="203" fillId="3" borderId="343" xfId="0" applyFont="1" applyFill="1" applyBorder="1"/>
    <xf numFmtId="0" fontId="204" fillId="0" borderId="344" xfId="0" applyFont="1" applyBorder="1"/>
    <xf numFmtId="0" fontId="206" fillId="0" borderId="346" xfId="0" applyFont="1" applyBorder="1"/>
    <xf numFmtId="0" fontId="204" fillId="0" borderId="106" xfId="0" applyFont="1" applyBorder="1"/>
    <xf numFmtId="0" fontId="6" fillId="2" borderId="9" xfId="0" applyFont="1" applyFill="1" applyBorder="1" applyAlignment="1">
      <alignment horizontal="center"/>
    </xf>
    <xf numFmtId="0" fontId="8" fillId="0" borderId="10" xfId="0" applyFont="1" applyBorder="1"/>
    <xf numFmtId="0" fontId="34" fillId="0" borderId="9" xfId="0" applyFont="1" applyBorder="1" applyAlignment="1">
      <alignment horizontal="center"/>
    </xf>
    <xf numFmtId="0" fontId="8" fillId="0" borderId="68" xfId="0" applyFont="1" applyBorder="1"/>
    <xf numFmtId="0" fontId="11" fillId="0" borderId="0" xfId="0" applyFont="1" applyAlignment="1">
      <alignment horizontal="center"/>
    </xf>
    <xf numFmtId="0" fontId="0" fillId="0" borderId="0" xfId="0"/>
    <xf numFmtId="0" fontId="11" fillId="0" borderId="9" xfId="0" applyFont="1" applyBorder="1" applyAlignment="1">
      <alignment horizontal="center"/>
    </xf>
    <xf numFmtId="0" fontId="34" fillId="0" borderId="33" xfId="0" applyFont="1" applyBorder="1"/>
    <xf numFmtId="0" fontId="0" fillId="0" borderId="33" xfId="0" applyBorder="1"/>
    <xf numFmtId="0" fontId="57" fillId="0" borderId="6" xfId="0" applyFont="1" applyBorder="1" applyAlignment="1">
      <alignment horizontal="center" shrinkToFit="1"/>
    </xf>
    <xf numFmtId="0" fontId="8" fillId="0" borderId="114" xfId="0" applyFont="1" applyBorder="1"/>
    <xf numFmtId="0" fontId="8" fillId="0" borderId="7" xfId="0" applyFont="1" applyBorder="1"/>
    <xf numFmtId="0" fontId="57" fillId="0" borderId="0" xfId="0" applyFont="1"/>
    <xf numFmtId="0" fontId="30" fillId="0" borderId="0" xfId="0" applyFont="1" applyAlignment="1">
      <alignment horizontal="left" wrapText="1"/>
    </xf>
    <xf numFmtId="0" fontId="49" fillId="31" borderId="138" xfId="0" applyFont="1" applyFill="1" applyBorder="1" applyAlignment="1">
      <alignment horizontal="center"/>
    </xf>
    <xf numFmtId="0" fontId="8" fillId="0" borderId="170" xfId="0" applyFont="1" applyBorder="1"/>
    <xf numFmtId="0" fontId="70" fillId="24" borderId="9" xfId="0" applyFont="1" applyFill="1" applyBorder="1" applyAlignment="1">
      <alignment horizontal="center"/>
    </xf>
    <xf numFmtId="0" fontId="70" fillId="0" borderId="9" xfId="0" applyFont="1" applyBorder="1" applyAlignment="1">
      <alignment horizontal="center"/>
    </xf>
    <xf numFmtId="0" fontId="3" fillId="0" borderId="17" xfId="0" applyFont="1" applyBorder="1" applyAlignment="1">
      <alignment horizontal="center"/>
    </xf>
    <xf numFmtId="0" fontId="8" fillId="0" borderId="28" xfId="0" applyFont="1" applyBorder="1"/>
    <xf numFmtId="0" fontId="8" fillId="0" borderId="18" xfId="0" applyFont="1" applyBorder="1"/>
    <xf numFmtId="0" fontId="1" fillId="24" borderId="2" xfId="0" applyFont="1" applyFill="1" applyBorder="1" applyAlignment="1">
      <alignment horizontal="center"/>
    </xf>
    <xf numFmtId="0" fontId="8" fillId="0" borderId="3" xfId="0" applyFont="1" applyBorder="1"/>
    <xf numFmtId="0" fontId="66" fillId="0" borderId="0" xfId="0" applyFont="1" applyAlignment="1">
      <alignment horizontal="left" wrapText="1"/>
    </xf>
    <xf numFmtId="0" fontId="2" fillId="10" borderId="6" xfId="0" applyFont="1" applyFill="1" applyBorder="1"/>
    <xf numFmtId="0" fontId="5" fillId="0" borderId="0" xfId="0" applyFont="1"/>
    <xf numFmtId="0" fontId="1" fillId="0" borderId="0" xfId="0" applyFont="1" applyAlignment="1">
      <alignment wrapText="1"/>
    </xf>
    <xf numFmtId="0" fontId="83" fillId="24" borderId="321" xfId="0" applyFont="1" applyFill="1" applyBorder="1" applyAlignment="1">
      <alignment horizontal="center"/>
    </xf>
    <xf numFmtId="0" fontId="8" fillId="0" borderId="322" xfId="0" applyFont="1" applyBorder="1"/>
    <xf numFmtId="0" fontId="45" fillId="24" borderId="318" xfId="0" applyFont="1" applyFill="1" applyBorder="1" applyAlignment="1">
      <alignment horizontal="center" wrapText="1"/>
    </xf>
    <xf numFmtId="0" fontId="8" fillId="0" borderId="30" xfId="0" applyFont="1" applyBorder="1"/>
    <xf numFmtId="0" fontId="118" fillId="24" borderId="320" xfId="0" applyFont="1" applyFill="1" applyBorder="1"/>
    <xf numFmtId="0" fontId="32" fillId="2" borderId="333" xfId="0" applyFont="1" applyFill="1" applyBorder="1" applyAlignment="1">
      <alignment horizontal="center" vertical="top" wrapText="1"/>
    </xf>
    <xf numFmtId="0" fontId="8" fillId="0" borderId="334" xfId="0" applyFont="1" applyBorder="1"/>
    <xf numFmtId="0" fontId="133" fillId="0" borderId="2" xfId="0" applyFont="1" applyBorder="1" applyAlignment="1">
      <alignment horizontal="right" wrapText="1"/>
    </xf>
    <xf numFmtId="0" fontId="45" fillId="0" borderId="0" xfId="0" applyFont="1"/>
    <xf numFmtId="9" fontId="32" fillId="0" borderId="121" xfId="0" applyNumberFormat="1" applyFont="1" applyBorder="1" applyAlignment="1">
      <alignment horizontal="center"/>
    </xf>
    <xf numFmtId="0" fontId="8" fillId="0" borderId="121" xfId="0" applyFont="1" applyBorder="1"/>
    <xf numFmtId="0" fontId="32" fillId="0" borderId="0" xfId="0" applyFont="1" applyAlignment="1">
      <alignment horizontal="center"/>
    </xf>
    <xf numFmtId="0" fontId="32" fillId="0" borderId="121" xfId="0" applyFont="1" applyBorder="1" applyAlignment="1">
      <alignment horizontal="center" vertical="top" wrapText="1"/>
    </xf>
    <xf numFmtId="0" fontId="32" fillId="0" borderId="0" xfId="0" applyFont="1" applyAlignment="1">
      <alignment horizontal="center" vertical="top" wrapText="1"/>
    </xf>
    <xf numFmtId="0" fontId="139" fillId="32" borderId="2" xfId="0" applyFont="1" applyFill="1" applyBorder="1" applyAlignment="1">
      <alignment wrapText="1"/>
    </xf>
    <xf numFmtId="0" fontId="34" fillId="0" borderId="275" xfId="0" applyFont="1" applyBorder="1"/>
    <xf numFmtId="0" fontId="8" fillId="0" borderId="313" xfId="0" applyFont="1" applyBorder="1"/>
    <xf numFmtId="0" fontId="8" fillId="0" borderId="314" xfId="0" applyFont="1" applyBorder="1"/>
    <xf numFmtId="0" fontId="34" fillId="22" borderId="315" xfId="0" applyFont="1" applyFill="1" applyBorder="1"/>
    <xf numFmtId="0" fontId="102" fillId="0" borderId="2" xfId="0" applyFont="1" applyBorder="1"/>
    <xf numFmtId="0" fontId="101" fillId="44" borderId="85" xfId="0" applyFont="1" applyFill="1" applyBorder="1"/>
    <xf numFmtId="3" fontId="101" fillId="42" borderId="2" xfId="0" applyNumberFormat="1" applyFont="1" applyFill="1" applyBorder="1"/>
    <xf numFmtId="0" fontId="34" fillId="45" borderId="85" xfId="0" applyFont="1" applyFill="1" applyBorder="1"/>
    <xf numFmtId="0" fontId="101" fillId="46" borderId="85" xfId="0" applyFont="1" applyFill="1" applyBorder="1"/>
    <xf numFmtId="0" fontId="101" fillId="30" borderId="85" xfId="0" applyFont="1" applyFill="1" applyBorder="1"/>
    <xf numFmtId="0" fontId="101" fillId="22" borderId="2" xfId="0" applyFont="1" applyFill="1" applyBorder="1"/>
    <xf numFmtId="0" fontId="33" fillId="0" borderId="26" xfId="0" applyFont="1" applyBorder="1"/>
    <xf numFmtId="0" fontId="8" fillId="0" borderId="26" xfId="0" applyFont="1" applyBorder="1"/>
    <xf numFmtId="0" fontId="8" fillId="0" borderId="27" xfId="0" applyFont="1" applyBorder="1"/>
    <xf numFmtId="0" fontId="101" fillId="0" borderId="2" xfId="0" applyFont="1" applyBorder="1"/>
    <xf numFmtId="3" fontId="101" fillId="47" borderId="2" xfId="0" applyNumberFormat="1" applyFont="1" applyFill="1" applyBorder="1"/>
    <xf numFmtId="0" fontId="33" fillId="41" borderId="2" xfId="0" applyFont="1" applyFill="1" applyBorder="1"/>
    <xf numFmtId="0" fontId="101" fillId="41" borderId="2" xfId="0" applyFont="1" applyFill="1" applyBorder="1"/>
    <xf numFmtId="0" fontId="101" fillId="23" borderId="2" xfId="0" applyFont="1" applyFill="1" applyBorder="1"/>
    <xf numFmtId="0" fontId="103" fillId="0" borderId="2" xfId="0" applyFont="1" applyBorder="1"/>
    <xf numFmtId="0" fontId="35" fillId="49" borderId="2" xfId="0" applyFont="1" applyFill="1" applyBorder="1"/>
    <xf numFmtId="0" fontId="33" fillId="0" borderId="121" xfId="0" applyFont="1" applyBorder="1"/>
    <xf numFmtId="0" fontId="8" fillId="0" borderId="316" xfId="0" applyFont="1" applyBorder="1"/>
    <xf numFmtId="0" fontId="101" fillId="48" borderId="2" xfId="0" applyFont="1" applyFill="1" applyBorder="1"/>
    <xf numFmtId="0" fontId="6" fillId="0" borderId="0" xfId="0" applyFont="1"/>
    <xf numFmtId="0" fontId="105" fillId="10" borderId="6" xfId="0" applyFont="1" applyFill="1" applyBorder="1" applyAlignment="1">
      <alignment horizontal="center" vertical="center"/>
    </xf>
    <xf numFmtId="0" fontId="11" fillId="10" borderId="6" xfId="0" applyFont="1" applyFill="1" applyBorder="1" applyAlignment="1">
      <alignment horizontal="center" vertical="center"/>
    </xf>
    <xf numFmtId="0" fontId="104" fillId="0" borderId="40" xfId="0" applyFont="1" applyBorder="1"/>
    <xf numFmtId="0" fontId="8" fillId="0" borderId="110" xfId="0" applyFont="1" applyBorder="1"/>
    <xf numFmtId="0" fontId="104" fillId="0" borderId="20" xfId="0" applyFont="1" applyBorder="1"/>
    <xf numFmtId="0" fontId="5" fillId="0" borderId="20" xfId="0" applyFont="1" applyBorder="1"/>
    <xf numFmtId="0" fontId="11" fillId="0" borderId="6" xfId="0" applyFont="1" applyBorder="1" applyAlignment="1">
      <alignment horizontal="center" vertical="center"/>
    </xf>
    <xf numFmtId="0" fontId="127" fillId="24" borderId="325" xfId="0" applyFont="1" applyFill="1" applyBorder="1" applyAlignment="1">
      <alignment vertical="center"/>
    </xf>
    <xf numFmtId="0" fontId="8" fillId="0" borderId="326" xfId="0" applyFont="1" applyBorder="1"/>
    <xf numFmtId="0" fontId="8" fillId="0" borderId="327" xfId="0" applyFont="1" applyBorder="1"/>
    <xf numFmtId="0" fontId="45" fillId="0" borderId="0" xfId="0" applyFont="1" applyAlignment="1">
      <alignment horizontal="left" wrapText="1"/>
    </xf>
    <xf numFmtId="0" fontId="201" fillId="5" borderId="154" xfId="0" applyFont="1" applyFill="1" applyBorder="1"/>
    <xf numFmtId="0" fontId="202" fillId="0" borderId="289" xfId="0" applyFont="1" applyBorder="1"/>
    <xf numFmtId="0" fontId="202" fillId="0" borderId="312" xfId="0" applyFont="1" applyBorder="1"/>
    <xf numFmtId="0" fontId="6" fillId="2" borderId="26" xfId="0" applyFont="1" applyFill="1" applyBorder="1" applyAlignment="1">
      <alignment horizontal="center"/>
    </xf>
    <xf numFmtId="0" fontId="20" fillId="0" borderId="0" xfId="0" applyFont="1"/>
    <xf numFmtId="0" fontId="12" fillId="0" borderId="0" xfId="0" applyFont="1"/>
    <xf numFmtId="0" fontId="19" fillId="7" borderId="26" xfId="0" applyFont="1" applyFill="1" applyBorder="1"/>
    <xf numFmtId="0" fontId="19" fillId="0" borderId="26" xfId="0" applyFont="1" applyBorder="1"/>
    <xf numFmtId="0" fontId="7" fillId="0" borderId="26" xfId="0" applyFont="1" applyBorder="1"/>
    <xf numFmtId="0" fontId="17" fillId="0" borderId="26" xfId="0" applyFont="1" applyBorder="1"/>
    <xf numFmtId="0" fontId="19" fillId="16" borderId="26" xfId="0" applyFont="1" applyFill="1" applyBorder="1" applyAlignment="1">
      <alignment horizontal="center"/>
    </xf>
    <xf numFmtId="0" fontId="8" fillId="0" borderId="16" xfId="0" applyFont="1" applyBorder="1"/>
    <xf numFmtId="0" fontId="17" fillId="12" borderId="2" xfId="0" applyFont="1" applyFill="1" applyBorder="1" applyAlignment="1">
      <alignment horizontal="center"/>
    </xf>
    <xf numFmtId="0" fontId="19" fillId="17" borderId="26" xfId="0" applyFont="1" applyFill="1" applyBorder="1" applyAlignment="1">
      <alignment horizontal="center"/>
    </xf>
    <xf numFmtId="0" fontId="19" fillId="18" borderId="26" xfId="0" applyFont="1" applyFill="1" applyBorder="1" applyAlignment="1">
      <alignment horizontal="center"/>
    </xf>
    <xf numFmtId="0" fontId="19" fillId="19" borderId="26" xfId="0" applyFont="1" applyFill="1" applyBorder="1" applyAlignment="1">
      <alignment horizontal="center"/>
    </xf>
    <xf numFmtId="0" fontId="19" fillId="13" borderId="2" xfId="0" applyFont="1" applyFill="1" applyBorder="1" applyAlignment="1">
      <alignment horizontal="center"/>
    </xf>
  </cellXfs>
  <cellStyles count="1">
    <cellStyle name="Normal" xfId="0" builtinId="0"/>
  </cellStyles>
  <dxfs count="2">
    <dxf>
      <fill>
        <patternFill patternType="solid">
          <fgColor rgb="FFFFFF99"/>
          <bgColor rgb="FFFFFF99"/>
        </patternFill>
      </fill>
      <border>
        <left style="thin">
          <color rgb="FF000000"/>
        </left>
        <right style="thin">
          <color rgb="FF000000"/>
        </right>
        <top style="thin">
          <color rgb="FF000000"/>
        </top>
        <bottom style="thin">
          <color rgb="FF000000"/>
        </bottom>
      </border>
    </dxf>
    <dxf>
      <font>
        <color rgb="FFFFFFFF"/>
      </font>
      <fill>
        <patternFill patternType="none"/>
      </fill>
    </dxf>
  </dxfs>
  <tableStyles count="0" defaultTableStyle="TableStyleMedium2" defaultPivotStyle="PivotStyleLight16"/>
  <colors>
    <mruColors>
      <color rgb="FFCC99FF"/>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0</xdr:col>
      <xdr:colOff>114300</xdr:colOff>
      <xdr:row>1</xdr:row>
      <xdr:rowOff>57150</xdr:rowOff>
    </xdr:from>
    <xdr:ext cx="10153650" cy="1590675"/>
    <xdr:sp macro="" textlink="">
      <xdr:nvSpPr>
        <xdr:cNvPr id="3" name="Shape 3">
          <a:extLst>
            <a:ext uri="{FF2B5EF4-FFF2-40B4-BE49-F238E27FC236}">
              <a16:creationId xmlns:a16="http://schemas.microsoft.com/office/drawing/2014/main" id="{00000000-0008-0000-0200-000003000000}"/>
            </a:ext>
          </a:extLst>
        </xdr:cNvPr>
        <xdr:cNvSpPr txBox="1"/>
      </xdr:nvSpPr>
      <xdr:spPr>
        <a:xfrm>
          <a:off x="273938" y="2989425"/>
          <a:ext cx="10144125" cy="15811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CO2 emissions from fossil fuel combustion in the base unit electric power generation sector were collected from the Regional Greenhouse Gas Initiative (RGGI) Program.  RGGI piggybacks on the EPA Clean Air Markets Division (CAMD) program. Facilities report emissions directly to CAMD.  Facility CO2 emissions are reported directly from continuous emissions monitors (CEM) or are calculated by the facility and sent RGGI/CAMD.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CH4 and N2O emissions from stationary combustion in the electric power sector are calculated using the IPCC Tier 1 approach.  Consumption of each fuel is multiplied by a fuel-specific CH4 or N2O emission factor.  The resulting fuel emission values, in metric tons CH4 and N2O, are then multiplied by the global warming potential, converted to million metric tons of carbon equivalent (MMTCE), then to million metric tons of carbon dioxide equivalent (MMTCO2E), and summed.  For further detail on this method, please refer to the Stationary Chapter in the User's Guide.</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Note that this worksheet estimates the direct emissions associated with the electric power sector. Direct emissions result from the combustion of fossil fuels at the electricity generating station, whereas indirect emissions occur at the point of use (e.g., residential electricity consumption).  Because electricity consumption within a state does not correspond to electricity generated in that same state, emissions from electricity consumption (indirect emissions) are not likely to be the same as emissions from generation (direct emissions). Please refer to the electricity generation module to estimate indirect emissions from electricity consumption.</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0</xdr:col>
      <xdr:colOff>-15163800</xdr:colOff>
      <xdr:row>106</xdr:row>
      <xdr:rowOff>-6115050</xdr:rowOff>
    </xdr:from>
    <xdr:ext cx="48272700" cy="48272700"/>
    <xdr:sp macro="" textlink="">
      <xdr:nvSpPr>
        <xdr:cNvPr id="4" name="Shape 4">
          <a:extLst>
            <a:ext uri="{FF2B5EF4-FFF2-40B4-BE49-F238E27FC236}">
              <a16:creationId xmlns:a16="http://schemas.microsoft.com/office/drawing/2014/main" id="{00000000-0008-0000-0200-000004000000}"/>
            </a:ext>
          </a:extLst>
        </xdr:cNvPr>
        <xdr:cNvSpPr/>
      </xdr:nvSpPr>
      <xdr:spPr>
        <a:xfrm rot="-1165941">
          <a:off x="273418" y="-359689"/>
          <a:ext cx="10145164" cy="8279379"/>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oneCellAnchor>
    <xdr:from>
      <xdr:col>2</xdr:col>
      <xdr:colOff>-13954125</xdr:colOff>
      <xdr:row>23</xdr:row>
      <xdr:rowOff>-21726525</xdr:rowOff>
    </xdr:from>
    <xdr:ext cx="44462700" cy="44462700"/>
    <xdr:sp macro="" textlink="">
      <xdr:nvSpPr>
        <xdr:cNvPr id="5" name="Shape 5">
          <a:extLst>
            <a:ext uri="{FF2B5EF4-FFF2-40B4-BE49-F238E27FC236}">
              <a16:creationId xmlns:a16="http://schemas.microsoft.com/office/drawing/2014/main" id="{00000000-0008-0000-0200-000005000000}"/>
            </a:ext>
          </a:extLst>
        </xdr:cNvPr>
        <xdr:cNvSpPr/>
      </xdr:nvSpPr>
      <xdr:spPr>
        <a:xfrm rot="-1117951">
          <a:off x="253646" y="-335343"/>
          <a:ext cx="10184709" cy="8230685"/>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190500</xdr:colOff>
      <xdr:row>1</xdr:row>
      <xdr:rowOff>104775</xdr:rowOff>
    </xdr:from>
    <xdr:ext cx="10572750" cy="981075"/>
    <xdr:sp macro="" textlink="">
      <xdr:nvSpPr>
        <xdr:cNvPr id="13" name="Shape 13">
          <a:extLst>
            <a:ext uri="{FF2B5EF4-FFF2-40B4-BE49-F238E27FC236}">
              <a16:creationId xmlns:a16="http://schemas.microsoft.com/office/drawing/2014/main" id="{00000000-0008-0000-0700-00000D000000}"/>
            </a:ext>
          </a:extLst>
        </xdr:cNvPr>
        <xdr:cNvSpPr txBox="1"/>
      </xdr:nvSpPr>
      <xdr:spPr>
        <a:xfrm>
          <a:off x="64388" y="3294225"/>
          <a:ext cx="10563225" cy="9715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(MMTCO2E), and summed.   For further detail on this method, refer to EPA SIT User's Guide.</a:t>
          </a:r>
          <a:endParaRPr sz="1400"/>
        </a:p>
      </xdr:txBody>
    </xdr:sp>
    <xdr:clientData fLocksWithSheet="0"/>
  </xdr:oneCellAnchor>
  <xdr:oneCellAnchor>
    <xdr:from>
      <xdr:col>0</xdr:col>
      <xdr:colOff>-10077450</xdr:colOff>
      <xdr:row>42</xdr:row>
      <xdr:rowOff>-15154275</xdr:rowOff>
    </xdr:from>
    <xdr:ext cx="31642050" cy="31642050"/>
    <xdr:sp macro="" textlink="">
      <xdr:nvSpPr>
        <xdr:cNvPr id="14" name="Shape 14">
          <a:extLst>
            <a:ext uri="{FF2B5EF4-FFF2-40B4-BE49-F238E27FC236}">
              <a16:creationId xmlns:a16="http://schemas.microsoft.com/office/drawing/2014/main" id="{00000000-0008-0000-0700-00000E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190500</xdr:colOff>
      <xdr:row>1</xdr:row>
      <xdr:rowOff>104775</xdr:rowOff>
    </xdr:from>
    <xdr:ext cx="10191750" cy="723900"/>
    <xdr:sp macro="" textlink="">
      <xdr:nvSpPr>
        <xdr:cNvPr id="18" name="Shape 18">
          <a:extLst>
            <a:ext uri="{FF2B5EF4-FFF2-40B4-BE49-F238E27FC236}">
              <a16:creationId xmlns:a16="http://schemas.microsoft.com/office/drawing/2014/main" id="{00000000-0008-0000-0900-000012000000}"/>
            </a:ext>
          </a:extLst>
        </xdr:cNvPr>
        <xdr:cNvSpPr txBox="1"/>
      </xdr:nvSpPr>
      <xdr:spPr>
        <a:xfrm>
          <a:off x="254888" y="3422813"/>
          <a:ext cx="10182225" cy="7143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(MMTCO2E), and summed.   For further detail on this method, refer to EPA SIT User's Guide.</a:t>
          </a:r>
          <a:endParaRPr sz="1400"/>
        </a:p>
      </xdr:txBody>
    </xdr:sp>
    <xdr:clientData fLocksWithSheet="0"/>
  </xdr:oneCellAnchor>
  <xdr:oneCellAnchor>
    <xdr:from>
      <xdr:col>0</xdr:col>
      <xdr:colOff>190500</xdr:colOff>
      <xdr:row>1</xdr:row>
      <xdr:rowOff>104775</xdr:rowOff>
    </xdr:from>
    <xdr:ext cx="10191750" cy="723900"/>
    <xdr:sp macro="" textlink="">
      <xdr:nvSpPr>
        <xdr:cNvPr id="19" name="Shape 19">
          <a:extLst>
            <a:ext uri="{FF2B5EF4-FFF2-40B4-BE49-F238E27FC236}">
              <a16:creationId xmlns:a16="http://schemas.microsoft.com/office/drawing/2014/main" id="{00000000-0008-0000-0900-000013000000}"/>
            </a:ext>
          </a:extLst>
        </xdr:cNvPr>
        <xdr:cNvSpPr txBox="1"/>
      </xdr:nvSpPr>
      <xdr:spPr>
        <a:xfrm>
          <a:off x="254888" y="3422813"/>
          <a:ext cx="10182225" cy="7143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EPA SIT User's Guide.</a:t>
          </a:r>
          <a:endParaRPr sz="1400"/>
        </a:p>
      </xdr:txBody>
    </xdr:sp>
    <xdr:clientData fLocksWithSheet="0"/>
  </xdr:oneCellAnchor>
  <xdr:oneCellAnchor>
    <xdr:from>
      <xdr:col>0</xdr:col>
      <xdr:colOff>-12239625</xdr:colOff>
      <xdr:row>26</xdr:row>
      <xdr:rowOff>-18992850</xdr:rowOff>
    </xdr:from>
    <xdr:ext cx="38995350" cy="38985825"/>
    <xdr:sp macro="" textlink="">
      <xdr:nvSpPr>
        <xdr:cNvPr id="20" name="Shape 20">
          <a:extLst>
            <a:ext uri="{FF2B5EF4-FFF2-40B4-BE49-F238E27FC236}">
              <a16:creationId xmlns:a16="http://schemas.microsoft.com/office/drawing/2014/main" id="{00000000-0008-0000-0900-000014000000}"/>
            </a:ext>
          </a:extLst>
        </xdr:cNvPr>
        <xdr:cNvSpPr/>
      </xdr:nvSpPr>
      <xdr:spPr>
        <a:xfrm rot="-1005644">
          <a:off x="209107" y="-279439"/>
          <a:ext cx="10273786" cy="8118877"/>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9525</xdr:colOff>
      <xdr:row>0</xdr:row>
      <xdr:rowOff>381000</xdr:rowOff>
    </xdr:from>
    <xdr:ext cx="10382250" cy="2085975"/>
    <xdr:sp macro="" textlink="">
      <xdr:nvSpPr>
        <xdr:cNvPr id="40" name="Shape 40">
          <a:extLst>
            <a:ext uri="{FF2B5EF4-FFF2-40B4-BE49-F238E27FC236}">
              <a16:creationId xmlns:a16="http://schemas.microsoft.com/office/drawing/2014/main" id="{00000000-0008-0000-1500-000028000000}"/>
            </a:ext>
          </a:extLst>
        </xdr:cNvPr>
        <xdr:cNvSpPr txBox="1"/>
      </xdr:nvSpPr>
      <xdr:spPr>
        <a:xfrm>
          <a:off x="159638" y="2741775"/>
          <a:ext cx="10372725" cy="20764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Natural Gas Production are calculated as the sum of emissions from the three categories of production sites: onshore wells, offshore shallow water platforms, and offshore deepwater platforms.  The number of gas production sites (wells or platforms) is multiplied by a site-specific emission factor.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Natural Gas Transmission are calculated as the sum of methane emissions from the pipelines that transport gas, the gas processing stations, the transmission compressor stations, and gas storage compressor facilities.  Emissions from each source are calculated as the product of the activity factor (e.g., miles of pipeline or number of stations) and the source-specific emission factor.</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Natural Gas Distribution are calculated as the sum of emissions from distribution pipelines and end services.  The activity factor for each type of pipeline (e.g., miles of plastic distribution pipeline) is multiplied by the corresponding emission factor.  The number of services is multiplied by a general emission factor and type-specific emission factors.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Natural Gas Venting and Flaring are calculated as the percent of emissions flared (20% is vented with the remaining 80% flared).  The amount of gas that is vented or flared is multiplied by a national emission factor. This total of potential emissions is then multiplied by the percentage of gas flared and converted to million metric tons of carbon equivalent.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Source emissions are converted to metric tons of CO2 equivalent and metric tons of carbon equivalent, and then summed across all sources.  For further details, refer to the Methane Emissions from Natural Gas and Oil Systems Chapter of the EPA SIT User's Guide.</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Source emissions are converted to metric tons of CO2 equivalent and metric tons of carbon equivalent, and then summed across all sources.  For further details, refer to the Methane Emissions from Natural Gas and Oil Systems Chapter of the User's Guide.</a:t>
          </a:r>
          <a:endParaRPr sz="1400"/>
        </a:p>
      </xdr:txBody>
    </xdr:sp>
    <xdr:clientData fLocksWithSheet="0"/>
  </xdr:oneCellAnchor>
  <xdr:oneCellAnchor>
    <xdr:from>
      <xdr:col>0</xdr:col>
      <xdr:colOff>-10077450</xdr:colOff>
      <xdr:row>32</xdr:row>
      <xdr:rowOff>-15278100</xdr:rowOff>
    </xdr:from>
    <xdr:ext cx="31642050" cy="31642050"/>
    <xdr:sp macro="" textlink="">
      <xdr:nvSpPr>
        <xdr:cNvPr id="41" name="Shape 41">
          <a:extLst>
            <a:ext uri="{FF2B5EF4-FFF2-40B4-BE49-F238E27FC236}">
              <a16:creationId xmlns:a16="http://schemas.microsoft.com/office/drawing/2014/main" id="{00000000-0008-0000-1500-000029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9772650" cy="2505075"/>
    <xdr:sp macro="" textlink="">
      <xdr:nvSpPr>
        <xdr:cNvPr id="42" name="Shape 42">
          <a:extLst>
            <a:ext uri="{FF2B5EF4-FFF2-40B4-BE49-F238E27FC236}">
              <a16:creationId xmlns:a16="http://schemas.microsoft.com/office/drawing/2014/main" id="{00000000-0008-0000-1600-00002A000000}"/>
            </a:ext>
          </a:extLst>
        </xdr:cNvPr>
        <xdr:cNvSpPr txBox="1"/>
      </xdr:nvSpPr>
      <xdr:spPr>
        <a:xfrm>
          <a:off x="464438" y="2532225"/>
          <a:ext cx="9763125" cy="24955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Coal Mining are calculated by summing the emissions from underground mines, surface mines, and post-mining activities.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Underground mine emissions are comprised of two parts: methane emitted from ventilation systems and methane emitted from degasification systems. Emissions from degasification systems are equal to the difference between methane removed through degasification and methane used for energy purposes. </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Surface mine emissions are the product of surface coal mine production and a basin-specific EF.  </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Emissions from post-mining activities, such as transportation and coal handling, are equal to the sum of post-mining emissions from underground and surface mines; the emissions are each calculated as the product of coal production times a basin and mine-type specific EF.  </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Total emissions from coal mining are the sum of emissions from underground mines, surface mines, and post-mining activities at both types of mines.</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Abandoned Coal Mines are calculated by summing the emissions from mines that are vented, sealed, or flooded.</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Different coal seams vary in the amount of gas present initially and the way the methane is adsorbed to the coal (i.e. some coals release methane more readily than others).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A vented mine is one that can release methane to the atmosphere freely.  The emissions of vented mines will depend on time since abandonment and coal characteristics.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A sealed mine has been sealed to prevent the escape of methane.  However given the nature of the rock used to seal mines, such sealing is never 100 percent effective.  The effect of a seal is to slow the methane emissions to spread them out over a longer period of time.</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After a mine is abandoned and in a flood prone area, the mine will fill up with water.  A completely flooded mine releases little to no methane to the atmosphere.  Therefore, most emissions will occur in the first few years following abandonment.</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For more information, please refer to the Coal Mining chapter of the EPA SIT User's Guide.</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0</xdr:col>
      <xdr:colOff>-10077450</xdr:colOff>
      <xdr:row>8</xdr:row>
      <xdr:rowOff>-15306675</xdr:rowOff>
    </xdr:from>
    <xdr:ext cx="31642050" cy="31642050"/>
    <xdr:sp macro="" textlink="">
      <xdr:nvSpPr>
        <xdr:cNvPr id="43" name="Shape 43">
          <a:extLst>
            <a:ext uri="{FF2B5EF4-FFF2-40B4-BE49-F238E27FC236}">
              <a16:creationId xmlns:a16="http://schemas.microsoft.com/office/drawing/2014/main" id="{00000000-0008-0000-1600-00002B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161925</xdr:colOff>
      <xdr:row>1</xdr:row>
      <xdr:rowOff>57150</xdr:rowOff>
    </xdr:from>
    <xdr:ext cx="9629775" cy="962025"/>
    <xdr:sp macro="" textlink="">
      <xdr:nvSpPr>
        <xdr:cNvPr id="29" name="Shape 29">
          <a:extLst>
            <a:ext uri="{FF2B5EF4-FFF2-40B4-BE49-F238E27FC236}">
              <a16:creationId xmlns:a16="http://schemas.microsoft.com/office/drawing/2014/main" id="{00000000-0008-0000-0E00-00001D000000}"/>
            </a:ext>
          </a:extLst>
        </xdr:cNvPr>
        <xdr:cNvSpPr txBox="1"/>
      </xdr:nvSpPr>
      <xdr:spPr>
        <a:xfrm>
          <a:off x="535875" y="3303750"/>
          <a:ext cx="9620250" cy="9525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cement production consist of CO2 emissions produced from the following processes that follow the EPA Mandatory Greenhouse Gases Reporting  Methodolgy.</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Raw materials converted to Clinker;</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Calcinations of Clinker Kiln Dust (CKD) leaving the Kiln system;</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Organic carbon content of Raw Meal.</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masonry cement are accounted for in the Lime Production estimates).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0</xdr:col>
      <xdr:colOff>-12315825</xdr:colOff>
      <xdr:row>27</xdr:row>
      <xdr:rowOff>-19021425</xdr:rowOff>
    </xdr:from>
    <xdr:ext cx="39243000" cy="39233475"/>
    <xdr:sp macro="" textlink="">
      <xdr:nvSpPr>
        <xdr:cNvPr id="30" name="Shape 30">
          <a:extLst>
            <a:ext uri="{FF2B5EF4-FFF2-40B4-BE49-F238E27FC236}">
              <a16:creationId xmlns:a16="http://schemas.microsoft.com/office/drawing/2014/main" id="{00000000-0008-0000-0E00-00001E000000}"/>
            </a:ext>
          </a:extLst>
        </xdr:cNvPr>
        <xdr:cNvSpPr/>
      </xdr:nvSpPr>
      <xdr:spPr>
        <a:xfrm rot="-1006481">
          <a:off x="209427" y="-279845"/>
          <a:ext cx="10273145" cy="8119690"/>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57150</xdr:colOff>
      <xdr:row>1</xdr:row>
      <xdr:rowOff>0</xdr:rowOff>
    </xdr:from>
    <xdr:ext cx="10296525" cy="2676525"/>
    <xdr:sp macro="" textlink="">
      <xdr:nvSpPr>
        <xdr:cNvPr id="27" name="Shape 27">
          <a:extLst>
            <a:ext uri="{FF2B5EF4-FFF2-40B4-BE49-F238E27FC236}">
              <a16:creationId xmlns:a16="http://schemas.microsoft.com/office/drawing/2014/main" id="{00000000-0008-0000-0D00-00001B000000}"/>
            </a:ext>
          </a:extLst>
        </xdr:cNvPr>
        <xdr:cNvSpPr txBox="1"/>
      </xdr:nvSpPr>
      <xdr:spPr>
        <a:xfrm>
          <a:off x="202500" y="2446500"/>
          <a:ext cx="10287000" cy="26670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Limestone</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limestone and dolomite use result from industrial consumption.  The quantities of limestone consumed for industrial purposes, dolomite consumed for industrial purposes, and magnesium produced from dolomite are multiplied by their respective emission factors.  Industrial uses include the consumption of limestone and dolomite for flux stone production, glass manufacturing, flue gas desulfurization (FGD), Mg production through the thermic reduction of dolomite, chemical stone manufacturing, mine dusting or acid water treatment, acid neutralization, and sugar refining.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Soda Ash</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soda ash manufacture and consumption are calculated by multiplying the quantity of soda ash manufactured and the quantity of soda ash consumed by their respective emission factors.  Maryland does not manufacture soda ash.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Electric Power Transmission and Distribution</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electric power transmission and distribution are calculated by multiplying the quantity of SF6 consumed by an emission factor.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ODS</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of HFCs, PFCs, and SF6 from ODS substitute production are estimated by apportioning national emissions to each state based on population.  State population data was provided by the U.S. Census Bureau (http://www.census.gov).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All emissions are then converted from metric tons of carbon equivalents (MTCE) to metric tons of carbon dioxide equivalents (MTCO2E).  Additional information on these calculations is available in the EPA SIT tool Industrial Processes Chapter of the User's Guide.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0</xdr:col>
      <xdr:colOff>-8629650</xdr:colOff>
      <xdr:row>140</xdr:row>
      <xdr:rowOff>-3819525</xdr:rowOff>
    </xdr:from>
    <xdr:ext cx="31642050" cy="31642050"/>
    <xdr:sp macro="" textlink="">
      <xdr:nvSpPr>
        <xdr:cNvPr id="28" name="Shape 28">
          <a:extLst>
            <a:ext uri="{FF2B5EF4-FFF2-40B4-BE49-F238E27FC236}">
              <a16:creationId xmlns:a16="http://schemas.microsoft.com/office/drawing/2014/main" id="{00000000-0008-0000-0D00-00001C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76200</xdr:colOff>
      <xdr:row>1</xdr:row>
      <xdr:rowOff>0</xdr:rowOff>
    </xdr:from>
    <xdr:ext cx="7277100" cy="828675"/>
    <xdr:sp macro="" textlink="">
      <xdr:nvSpPr>
        <xdr:cNvPr id="33" name="Shape 33">
          <a:extLst>
            <a:ext uri="{FF2B5EF4-FFF2-40B4-BE49-F238E27FC236}">
              <a16:creationId xmlns:a16="http://schemas.microsoft.com/office/drawing/2014/main" id="{00000000-0008-0000-1000-000021000000}"/>
            </a:ext>
          </a:extLst>
        </xdr:cNvPr>
        <xdr:cNvSpPr txBox="1"/>
      </xdr:nvSpPr>
      <xdr:spPr>
        <a:xfrm>
          <a:off x="1712213" y="3370425"/>
          <a:ext cx="7267575" cy="8191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iron &amp; steel production processes produce greenhouse gas emissions. Predominant sources of process-related CO2 emissions in the iron and steel manufacturing industry include:</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Sinter Strand;</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L-Blast Furnace (Iron production);</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Basic Oxygen Furnace –Steel Production (BOF).</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0</xdr:col>
      <xdr:colOff>-10077450</xdr:colOff>
      <xdr:row>15</xdr:row>
      <xdr:rowOff>-15220950</xdr:rowOff>
    </xdr:from>
    <xdr:ext cx="31642050" cy="31642050"/>
    <xdr:sp macro="" textlink="">
      <xdr:nvSpPr>
        <xdr:cNvPr id="34" name="Shape 34">
          <a:extLst>
            <a:ext uri="{FF2B5EF4-FFF2-40B4-BE49-F238E27FC236}">
              <a16:creationId xmlns:a16="http://schemas.microsoft.com/office/drawing/2014/main" id="{00000000-0008-0000-1000-000022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447675</xdr:colOff>
      <xdr:row>1</xdr:row>
      <xdr:rowOff>9525</xdr:rowOff>
    </xdr:from>
    <xdr:ext cx="7886700" cy="657225"/>
    <xdr:sp macro="" textlink="">
      <xdr:nvSpPr>
        <xdr:cNvPr id="31" name="Shape 31">
          <a:extLst>
            <a:ext uri="{FF2B5EF4-FFF2-40B4-BE49-F238E27FC236}">
              <a16:creationId xmlns:a16="http://schemas.microsoft.com/office/drawing/2014/main" id="{00000000-0008-0000-0F00-00001F000000}"/>
            </a:ext>
          </a:extLst>
        </xdr:cNvPr>
        <xdr:cNvSpPr txBox="1"/>
      </xdr:nvSpPr>
      <xdr:spPr>
        <a:xfrm>
          <a:off x="1407413" y="3456150"/>
          <a:ext cx="7877175" cy="6477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ammonia production and urea application are calculated by multiplying the quantity of ammonia produced and urea applied by their respective emission factors. Emissions from urea application are subtracted from emissions due to ammonia production. The emissions are then converted from metric tons of carbon equivalents (MTCE) to metric tons of carbon dioxide equivalents (MTCO2E).  Additional information on these calculations is available in the Industrial Processes Chapter of the EPA State Inventory Tool User's Guide.  </a:t>
          </a:r>
          <a:endParaRPr sz="1400"/>
        </a:p>
      </xdr:txBody>
    </xdr:sp>
    <xdr:clientData fLocksWithSheet="0"/>
  </xdr:oneCellAnchor>
  <xdr:oneCellAnchor>
    <xdr:from>
      <xdr:col>0</xdr:col>
      <xdr:colOff>-10077450</xdr:colOff>
      <xdr:row>19</xdr:row>
      <xdr:rowOff>-15325725</xdr:rowOff>
    </xdr:from>
    <xdr:ext cx="31642050" cy="31642050"/>
    <xdr:sp macro="" textlink="">
      <xdr:nvSpPr>
        <xdr:cNvPr id="32" name="Shape 32">
          <a:extLst>
            <a:ext uri="{FF2B5EF4-FFF2-40B4-BE49-F238E27FC236}">
              <a16:creationId xmlns:a16="http://schemas.microsoft.com/office/drawing/2014/main" id="{00000000-0008-0000-0F00-000020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18.xml><?xml version="1.0" encoding="utf-8"?>
<xdr:wsDr xmlns:xdr="http://schemas.openxmlformats.org/drawingml/2006/spreadsheetDrawing" xmlns:a="http://schemas.openxmlformats.org/drawingml/2006/main">
  <xdr:oneCellAnchor>
    <xdr:from>
      <xdr:col>20</xdr:col>
      <xdr:colOff>123825</xdr:colOff>
      <xdr:row>1</xdr:row>
      <xdr:rowOff>28574</xdr:rowOff>
    </xdr:from>
    <xdr:ext cx="11325225" cy="4905375"/>
    <xdr:sp macro="" textlink="">
      <xdr:nvSpPr>
        <xdr:cNvPr id="46" name="Shape 46">
          <a:extLst>
            <a:ext uri="{FF2B5EF4-FFF2-40B4-BE49-F238E27FC236}">
              <a16:creationId xmlns:a16="http://schemas.microsoft.com/office/drawing/2014/main" id="{00000000-0008-0000-1800-00002E000000}"/>
            </a:ext>
          </a:extLst>
        </xdr:cNvPr>
        <xdr:cNvSpPr txBox="1"/>
      </xdr:nvSpPr>
      <xdr:spPr>
        <a:xfrm>
          <a:off x="11572875" y="447674"/>
          <a:ext cx="11325225" cy="49053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the Agricultural Sector are calculated by summing the emissions from the following sources: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Enteric Fermentation</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Manure Management</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Plant Residues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Fertilizers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Animals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Rice Cultivation</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Agricultural Residue Burning</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Enteric Fermentation are calculated by multiplying each animal population by an animal- and region-specific emission factor.  Those resulting values, in kg CH4, are then converted to million metric tons (MMTCH4), MMT carbon equivalent (MMTCE), MMT carbon dioxide  equivalent (MMTCO2E), and then summed across animal types within a given year.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Methane emissions from Manure Management are calculated by multiplying each animal population by the typical animal mass (TAM) and the average volatile solids (VS) produced per kilogram (kg) of animal mass per year to estimate the amount of VS produced.  For each animal, this VS total is muliplied by the maximum potential emissions factor and by the methane conversion factor (MCF) of the manure system by the percentage manure managed in that system.  This yields methane emissions in cubic meters which are then converted to MMTCE, MMT carbon dioxide  equivalent (MMTCO2E), and then summed.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N2O emissions from Manure Management are calculated by multiplying each animal population by the typical animal mass (TAM) by the amount of nitrogen produced per kilogram of animal mass per year.  This value is then multiplied by a non-volatization factor and the proportion of waste processed in liquid and solid management systems to give two totals of unvolatized N.  Each of these are multiplied by an emission factor specific to the management system to give two totals of nitrogen emissions.  These totals are then summed and converted to N2O.  This amount is then converted to MMTCE, MMT carbon dioxide equivalent (MMTCO2E), and then summed.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Plant Residues are calculated by first converting the crop production to metric tons.  This value is multiplied by the ratio of plant residue to crop mass, the fraction of dry matter in the residue, the fraction of residue applied, and the N content of the residue.  These values are summed to yield total N returned to soils, multiplied by an emission factor (EF), and converted to N2O.  For Legumes, the crop production is multiplied by the residue to crop mass ratio, the dry matter fraction, and the N content of above-ground biomass.  These values are then summed to yield total N-fixed by crops, multiplied by an EF, and converted to N2O.  Emissions from histosols are calculated by converting acres cultivated into hectares, multiplying by an EF, and then converting to N2O.  This amount is also converted to MMTCE, MMT carbon dioxide equivalent (MMTCO2E).  </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of N2O from Fertilizers are calculated by first adjusting synthetic and organic fertilizer use data (in kg N) to calendar year.  The amount of N in synthetic fertilizer is multiplied by a synthetic volatilization rate to estimate volatilized N.  According to the IPCC Good Practice Guidance, the manure portion of organic fertilizers is subtracted from the total of organic fertilizers. Then, the amount of N in non-manure organic fertilizer is multiplied by the fraction N in other organics and by an organic volatilization rate to estimate organic volatilized N.  Unvolatilized N for synthetic and organic fertilizer is calculated using the remaining fraction of the volatilization rates.  These categories are summed, multiplied by an EF, and converted to metric tons of N2O emitted.  This amount is also converted to MMTCE, MMT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Animals are calculated by multiplying each animal population by the typical animal mass (TAM) by the amount of K-Nitrogen (K-N) produced per kilogram of animal mass per year for total K-N excreted.  Indirect emissions are estimated by multiplying K-N by a volatization rate and EF to give emissions of N.  Direct emissions from pasture, range, and paddock are calculated by multiplying K-N by the percent of manure in pastures and an EF for that system.  Direct emissions from manure applied to soils are calculated by multiplying K-N for daily spread and managed systems by the percent of manure in these systems and an EF for each system, excluding a small percent of managed manure used as feed.  These totals are then summed and converted to N2O.  Unvolatized N from fertilizers, calculated on the previous worksheet, and K-N from manure are multiplied by a leaching EF to give emissions from leaching and runoff.  The emissions summary for each year converts the total direct and indirect estimates for livestock and runoff/leaching to MTN2O, MMTCE, and then MMT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Rice Cultivation are calculated using the area harvested.  There is no rice cultivation in Maryland.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Agricultural Residue Burning are calculated by multiplying the amount of crop produced by a series of factors to calculate the amount of crop residue produced and burned, the resultant dry matter, and the carbon/nitrogen content of this dry matter.  From these, the amount of carbon and nitrogen released can be determined, and thus methane and nitrous oxide emissions quantified.  Those resulting values, in metric tons of gas, are converted to million metric tons carbon equivalent (MMTCE), then to million metric tons carbon dioxide equivalent MMTCO2E, and then summed.  Note that default emission factors are available through 2007.</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1</xdr:col>
      <xdr:colOff>0</xdr:colOff>
      <xdr:row>1</xdr:row>
      <xdr:rowOff>28575</xdr:rowOff>
    </xdr:from>
    <xdr:ext cx="11077575" cy="4371975"/>
    <xdr:sp macro="" textlink="">
      <xdr:nvSpPr>
        <xdr:cNvPr id="47" name="Shape 47">
          <a:extLst>
            <a:ext uri="{FF2B5EF4-FFF2-40B4-BE49-F238E27FC236}">
              <a16:creationId xmlns:a16="http://schemas.microsoft.com/office/drawing/2014/main" id="{00000000-0008-0000-1800-00002F000000}"/>
            </a:ext>
          </a:extLst>
        </xdr:cNvPr>
        <xdr:cNvSpPr txBox="1"/>
      </xdr:nvSpPr>
      <xdr:spPr>
        <a:xfrm>
          <a:off x="342900" y="447675"/>
          <a:ext cx="11077575" cy="43719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Enteric Fermentation</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Enteric Fermentation are calculated by multiplying each animal population by an animal- and region-specific emission factor.  Those resulting values, in kg CH4, are then converted to million metric tons (MMTCH4), MMT carbon equivalent (MMTCE), MMT carbon dioxide  equivalent (MMTCO2E), and then summed across animal types within a given year.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Manure Management</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Methane emissions from Manure Management are calculated by multiplying each animal population by the typical animal mass (TAM) and the average volatile solids (VS) produced per kilogram (kg) of animal mass per year to estimate the amount of VS produced.  For each animal, this VS total is muliplied by the maximum potential emissions factor and by the methane conversion factor (MCF) of the manure system by the percentage manure managed in that system.  This yields methane emissions in cubic meters which are then converted to MMTCE, MMT carbon dioxide equivalent (MMTCO2E), and then summed.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N2O emissions from Manure Management are calculated by multiplying each animal population by the typical animal mass (TAM) by the amount of Kjejdahl nitrogen produced per kilogram of animal mass per year.  This value is then multiplied by a non-volatization factor and the proportion of waste processed in liquid and solid management systems to give two totals of unvolatized N.  Each of these are multiplied by an emission factor specific to the management system to give two totals of nitrogen emissions.  These totals are then summed and converted to N2O.  This amount is then converted to MMTCE, MMT carbon dioxide equivalent (MMTCO2E), and then summed.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Soils – Plant: Residues &amp; Legumes</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Plant Residues are calculated by first converting the crop production to metric tons.  This value is multiplied by the ratio of plant residue to crop mass, the fraction of dry matter in the residue, the fraction of residue applied, and the N content of the residue.  These values are summed to yield total N returned to soils, multiplied by an emission factor (EF), and converted to N2O.  For Legumes, the crop production is multiplied by the residue to crop mass ratio, the dry matter fraction, and the N content of above-ground biomass.  These values are then summed to yield total N-fixed by crops, multiplied by an EF, and converted to N2O.  Emissions from histosols are calculated by converting acres cultivated into hectares, multiplying by an EF, and then converting to N2O.  This amount is also converted to MMTCE, MMT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Soils – Plant: Fertilizers</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of N2O from Fertilizers are calculated by first adjusting synthetic and organic fertilizer use data (in kg N) to calendar year.  The amount of N in synthetic fertilizer is multiplied by a synthetic volatilization rate to estimate volatilized N.  According to the IPCC Good Practice Guidance, the manure portion of organic fertilizers is subtracted from the total of organic fertilizers. Then, the amount of N in non-manure organic fertilizer is multiplied by the fraction N in other organics and by an organic volatilization rate to estimate organic volatilized N.  Unvolatilized N for synthetic and organic fertilizer is calculated using the remaining fraction of the volatilization rates.  These categories are summed, multiplied by an EF, and converted to metric tons of N2O emitted.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Soils – Animals</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Animals are calculated by multiplying each animal population by the typical animal mass (TAM) by the amount of K-Nitrogen (K-N) produced per kilogram of animal mass per year for total K-N excreted.  Indirect emissions are estimated by multiplying K-N by a volatization rate and EF to give emissions of N.  Direct emissions from pasture, range, and paddock are calculated by multiplying K-N by the percent of manure in pastures and an EF for that system.  Direct emissions from manure applied to soils are calculated by multiplying K-N for daily spread and managed systems by the percent of manure in these systems and an EF for each system, excluding a small percent of managed manure used as feed.  These totals are then summed and converted to N2O.  Unvolatized N from fertilizers, calculated on the previous worksheet, and K-N from manure are multiplied by a leaching EF to give emissions from leaching and runoff.  The emissions summary for each year converts the total direct and indirect estimates for livestock and runoff/leaching to MTN2O, MMTCE, and then MMT carbon dioxide equivalent (MMTCO2E</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Residue Burning</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Agricultural Residue Burning are calculated by multiplying the amount of crop produced by a series of factors to calculate the amount of crop residue produced and burned, the resultant dry matter, and the carbon/nitrogen content of this dry matter.  From these, the amount of carbon and nitrogen released can be determined, and thus methane and nitrous oxide emissions quantified.  Those resulting values, in metric tons of gas, are converted to million metric tons carbon equivalent (MMTCE), then to million metric tons carbon dioxide equivalent MMTCO2E, and then summed.</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0</xdr:col>
      <xdr:colOff>-12639675</xdr:colOff>
      <xdr:row>26</xdr:row>
      <xdr:rowOff>-19640550</xdr:rowOff>
    </xdr:from>
    <xdr:ext cx="40338375" cy="40338375"/>
    <xdr:sp macro="" textlink="">
      <xdr:nvSpPr>
        <xdr:cNvPr id="48" name="Shape 48">
          <a:extLst>
            <a:ext uri="{FF2B5EF4-FFF2-40B4-BE49-F238E27FC236}">
              <a16:creationId xmlns:a16="http://schemas.microsoft.com/office/drawing/2014/main" id="{00000000-0008-0000-1800-000030000000}"/>
            </a:ext>
          </a:extLst>
        </xdr:cNvPr>
        <xdr:cNvSpPr/>
      </xdr:nvSpPr>
      <xdr:spPr>
        <a:xfrm rot="-1033617">
          <a:off x="219858" y="-293003"/>
          <a:ext cx="10252284" cy="8146007"/>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123825</xdr:colOff>
      <xdr:row>1</xdr:row>
      <xdr:rowOff>9525</xdr:rowOff>
    </xdr:from>
    <xdr:ext cx="8696325" cy="657225"/>
    <xdr:sp macro="" textlink="">
      <xdr:nvSpPr>
        <xdr:cNvPr id="36" name="Shape 36">
          <a:extLst>
            <a:ext uri="{FF2B5EF4-FFF2-40B4-BE49-F238E27FC236}">
              <a16:creationId xmlns:a16="http://schemas.microsoft.com/office/drawing/2014/main" id="{00000000-0008-0000-1300-000024000000}"/>
            </a:ext>
          </a:extLst>
        </xdr:cNvPr>
        <xdr:cNvSpPr txBox="1"/>
      </xdr:nvSpPr>
      <xdr:spPr>
        <a:xfrm>
          <a:off x="1002600" y="3456150"/>
          <a:ext cx="8686800" cy="6477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Carbon dioxide (CO2) emission from Municipal Solid Waste (MSW) combustion in incinerators was estimated from the CO2 Emissions CEM reading at the Incinerators plant (except for harford County),while CH4 and N2O emissions were estimated by  by multiplying the tonnages of MSW combusted in Maryland in 2011 by the default EPA Municipal Solid Waste heat value and an updated CO2 emission factor from the Mandatory Greenhouse Gas Reporting Rule.  All material burned was included in the analysis.</a:t>
          </a:r>
          <a:endParaRPr sz="1400"/>
        </a:p>
      </xdr:txBody>
    </xdr:sp>
    <xdr:clientData fLocksWithSheet="0"/>
  </xdr:oneCellAnchor>
  <xdr:oneCellAnchor>
    <xdr:from>
      <xdr:col>0</xdr:col>
      <xdr:colOff>-7934325</xdr:colOff>
      <xdr:row>0</xdr:row>
      <xdr:rowOff>-11801475</xdr:rowOff>
    </xdr:from>
    <xdr:ext cx="31642050" cy="31642050"/>
    <xdr:sp macro="" textlink="">
      <xdr:nvSpPr>
        <xdr:cNvPr id="37" name="Shape 37">
          <a:extLst>
            <a:ext uri="{FF2B5EF4-FFF2-40B4-BE49-F238E27FC236}">
              <a16:creationId xmlns:a16="http://schemas.microsoft.com/office/drawing/2014/main" id="{00000000-0008-0000-1300-000025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-10077450</xdr:colOff>
      <xdr:row>23</xdr:row>
      <xdr:rowOff>-15335250</xdr:rowOff>
    </xdr:from>
    <xdr:ext cx="31642050" cy="31642050"/>
    <xdr:sp macro="" textlink="">
      <xdr:nvSpPr>
        <xdr:cNvPr id="8" name="Shape 8">
          <a:extLst>
            <a:ext uri="{FF2B5EF4-FFF2-40B4-BE49-F238E27FC236}">
              <a16:creationId xmlns:a16="http://schemas.microsoft.com/office/drawing/2014/main" id="{00000000-0008-0000-0300-000008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142875</xdr:colOff>
      <xdr:row>1</xdr:row>
      <xdr:rowOff>19050</xdr:rowOff>
    </xdr:from>
    <xdr:ext cx="9334500" cy="1257300"/>
    <xdr:sp macro="" textlink="">
      <xdr:nvSpPr>
        <xdr:cNvPr id="35" name="Shape 35">
          <a:extLst>
            <a:ext uri="{FF2B5EF4-FFF2-40B4-BE49-F238E27FC236}">
              <a16:creationId xmlns:a16="http://schemas.microsoft.com/office/drawing/2014/main" id="{00000000-0008-0000-1100-000023000000}"/>
            </a:ext>
          </a:extLst>
        </xdr:cNvPr>
        <xdr:cNvSpPr txBox="1"/>
      </xdr:nvSpPr>
      <xdr:spPr>
        <a:xfrm>
          <a:off x="678750" y="3151350"/>
          <a:ext cx="9334500" cy="12573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None/>
          </a:pPr>
          <a:r>
            <a:rPr lang="en-US" sz="800" b="0" i="0" u="none" strike="noStrike">
              <a:solidFill>
                <a:srgbClr val="000000"/>
              </a:solidFill>
              <a:latin typeface="Arial"/>
              <a:ea typeface="Arial"/>
              <a:cs typeface="Arial"/>
              <a:sym typeface="Arial"/>
            </a:rPr>
            <a:t>Estimation of carbon dioxide (CO2) emission from Landfill gas flaring / conversion to energy generation was based on the amount of CH4 collected by the collection system from the total amount of CH4 generated from the Landfill and the control devices efficiency. CO2 emission estimate was based on the stoichiometric combustion reactionequation (1) below. </a:t>
          </a:r>
          <a:endParaRPr sz="1400"/>
        </a:p>
        <a:p>
          <a:pPr marL="0" lvl="0" indent="0" algn="l" rtl="0">
            <a:spcBef>
              <a:spcPts val="0"/>
            </a:spcBef>
            <a:spcAft>
              <a:spcPts val="0"/>
            </a:spcAft>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None/>
          </a:pPr>
          <a:r>
            <a:rPr lang="en-US" sz="800" b="0" i="0" u="none" strike="noStrike">
              <a:solidFill>
                <a:srgbClr val="000000"/>
              </a:solidFill>
              <a:latin typeface="Arial"/>
              <a:ea typeface="Arial"/>
              <a:cs typeface="Arial"/>
              <a:sym typeface="Arial"/>
            </a:rPr>
            <a:t>        CH</a:t>
          </a:r>
          <a:r>
            <a:rPr lang="en-US" sz="800" b="0" i="0" u="none" strike="noStrike" baseline="-25000">
              <a:solidFill>
                <a:srgbClr val="000000"/>
              </a:solidFill>
              <a:latin typeface="Arial"/>
              <a:ea typeface="Arial"/>
              <a:cs typeface="Arial"/>
              <a:sym typeface="Arial"/>
            </a:rPr>
            <a:t>4</a:t>
          </a:r>
          <a:r>
            <a:rPr lang="en-US" sz="800" b="0" i="0" u="none" strike="noStrike">
              <a:solidFill>
                <a:srgbClr val="000000"/>
              </a:solidFill>
              <a:latin typeface="Arial"/>
              <a:ea typeface="Arial"/>
              <a:cs typeface="Arial"/>
              <a:sym typeface="Arial"/>
            </a:rPr>
            <a:t> + 2O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+ 2H</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O (Equation 1)</a:t>
          </a:r>
          <a:endParaRPr sz="1400"/>
        </a:p>
        <a:p>
          <a:pPr marL="0" lvl="0" indent="0" algn="l" rtl="0">
            <a:spcBef>
              <a:spcPts val="0"/>
            </a:spcBef>
            <a:spcAft>
              <a:spcPts val="0"/>
            </a:spcAft>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None/>
          </a:pPr>
          <a:r>
            <a:rPr lang="en-US" sz="800" b="0" i="0" u="none" strike="noStrike">
              <a:solidFill>
                <a:srgbClr val="000000"/>
              </a:solidFill>
              <a:latin typeface="Arial"/>
              <a:ea typeface="Arial"/>
              <a:cs typeface="Arial"/>
              <a:sym typeface="Arial"/>
            </a:rPr>
            <a:t>    1 Kmol CH</a:t>
          </a:r>
          <a:r>
            <a:rPr lang="en-US" sz="800" b="0" i="0" u="none" strike="noStrike" baseline="-25000">
              <a:solidFill>
                <a:srgbClr val="000000"/>
              </a:solidFill>
              <a:latin typeface="Arial"/>
              <a:ea typeface="Arial"/>
              <a:cs typeface="Arial"/>
              <a:sym typeface="Arial"/>
            </a:rPr>
            <a:t>4</a:t>
          </a:r>
          <a:r>
            <a:rPr lang="en-US" sz="800" b="0" i="0" u="none" strike="noStrike">
              <a:solidFill>
                <a:srgbClr val="000000"/>
              </a:solidFill>
              <a:latin typeface="Arial"/>
              <a:ea typeface="Arial"/>
              <a:cs typeface="Arial"/>
              <a:sym typeface="Arial"/>
            </a:rPr>
            <a:t> =&gt; 1 Kmol CO</a:t>
          </a:r>
          <a:r>
            <a:rPr lang="en-US" sz="800" b="0" i="0" u="none" strike="noStrike" baseline="-25000">
              <a:solidFill>
                <a:srgbClr val="000000"/>
              </a:solidFill>
              <a:latin typeface="Arial"/>
              <a:ea typeface="Arial"/>
              <a:cs typeface="Arial"/>
              <a:sym typeface="Arial"/>
            </a:rPr>
            <a:t>2</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None/>
          </a:pPr>
          <a:r>
            <a:rPr lang="en-US" sz="800" b="0" i="0" u="none" strike="noStrike">
              <a:solidFill>
                <a:srgbClr val="000000"/>
              </a:solidFill>
              <a:latin typeface="Arial"/>
              <a:ea typeface="Arial"/>
              <a:cs typeface="Arial"/>
              <a:sym typeface="Arial"/>
            </a:rPr>
            <a:t>     16 g CH</a:t>
          </a:r>
          <a:r>
            <a:rPr lang="en-US" sz="800" b="0" i="0" u="none" strike="noStrike" baseline="-25000">
              <a:solidFill>
                <a:srgbClr val="000000"/>
              </a:solidFill>
              <a:latin typeface="Arial"/>
              <a:ea typeface="Arial"/>
              <a:cs typeface="Arial"/>
              <a:sym typeface="Arial"/>
            </a:rPr>
            <a:t>4</a:t>
          </a:r>
          <a:r>
            <a:rPr lang="en-US" sz="800" b="0" i="0" u="none" strike="noStrike">
              <a:solidFill>
                <a:srgbClr val="000000"/>
              </a:solidFill>
              <a:latin typeface="Arial"/>
              <a:ea typeface="Arial"/>
              <a:cs typeface="Arial"/>
              <a:sym typeface="Arial"/>
            </a:rPr>
            <a:t>     =&gt;  44 g CO</a:t>
          </a:r>
          <a:r>
            <a:rPr lang="en-US" sz="800" b="0" i="0" u="none" strike="noStrike" baseline="-25000">
              <a:solidFill>
                <a:srgbClr val="000000"/>
              </a:solidFill>
              <a:latin typeface="Arial"/>
              <a:ea typeface="Arial"/>
              <a:cs typeface="Arial"/>
              <a:sym typeface="Arial"/>
            </a:rPr>
            <a:t>2</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None/>
          </a:pPr>
          <a:r>
            <a:rPr lang="en-US" sz="800" b="0" i="0" u="none" strike="noStrike">
              <a:solidFill>
                <a:srgbClr val="000000"/>
              </a:solidFill>
              <a:latin typeface="Arial"/>
              <a:ea typeface="Arial"/>
              <a:cs typeface="Arial"/>
              <a:sym typeface="Arial"/>
            </a:rPr>
            <a:t>      1 g CH</a:t>
          </a:r>
          <a:r>
            <a:rPr lang="en-US" sz="800" b="0" i="0" u="none" strike="noStrike" baseline="-25000">
              <a:solidFill>
                <a:srgbClr val="000000"/>
              </a:solidFill>
              <a:latin typeface="Arial"/>
              <a:ea typeface="Arial"/>
              <a:cs typeface="Arial"/>
              <a:sym typeface="Arial"/>
            </a:rPr>
            <a:t>4</a:t>
          </a:r>
          <a:r>
            <a:rPr lang="en-US" sz="800" b="0" i="0" u="none" strike="noStrike">
              <a:solidFill>
                <a:srgbClr val="000000"/>
              </a:solidFill>
              <a:latin typeface="Arial"/>
              <a:ea typeface="Arial"/>
              <a:cs typeface="Arial"/>
              <a:sym typeface="Arial"/>
            </a:rPr>
            <a:t>      =&gt;   2.75 g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a:t>
          </a:r>
          <a:endParaRPr sz="1400"/>
        </a:p>
        <a:p>
          <a:pPr marL="0" lvl="0" indent="0" algn="l" rtl="0">
            <a:spcBef>
              <a:spcPts val="0"/>
            </a:spcBef>
            <a:spcAft>
              <a:spcPts val="0"/>
            </a:spcAft>
            <a:buNone/>
          </a:pPr>
          <a:endParaRPr sz="800" b="0" i="0" u="none" strike="noStrike">
            <a:solidFill>
              <a:srgbClr val="000000"/>
            </a:solidFill>
            <a:latin typeface="Arial"/>
            <a:ea typeface="Arial"/>
            <a:cs typeface="Arial"/>
            <a:sym typeface="Arial"/>
          </a:endParaRPr>
        </a:p>
      </xdr:txBody>
    </xdr:sp>
    <xdr:clientData fLocksWithSheet="0"/>
  </xdr:oneCellAnchor>
</xdr:wsDr>
</file>

<file path=xl/drawings/drawing21.xml><?xml version="1.0" encoding="utf-8"?>
<xdr:wsDr xmlns:xdr="http://schemas.openxmlformats.org/drawingml/2006/spreadsheetDrawing" xmlns:a="http://schemas.openxmlformats.org/drawingml/2006/main">
  <xdr:oneCellAnchor>
    <xdr:from>
      <xdr:col>1</xdr:col>
      <xdr:colOff>0</xdr:colOff>
      <xdr:row>1</xdr:row>
      <xdr:rowOff>9525</xdr:rowOff>
    </xdr:from>
    <xdr:ext cx="8172450" cy="3657600"/>
    <xdr:sp macro="" textlink="">
      <xdr:nvSpPr>
        <xdr:cNvPr id="44" name="Shape 44">
          <a:extLst>
            <a:ext uri="{FF2B5EF4-FFF2-40B4-BE49-F238E27FC236}">
              <a16:creationId xmlns:a16="http://schemas.microsoft.com/office/drawing/2014/main" id="{00000000-0008-0000-1700-00002C000000}"/>
            </a:ext>
          </a:extLst>
        </xdr:cNvPr>
        <xdr:cNvSpPr txBox="1"/>
      </xdr:nvSpPr>
      <xdr:spPr>
        <a:xfrm>
          <a:off x="1264538" y="1955963"/>
          <a:ext cx="8162925" cy="36480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To calculate methane emissions from municipal wastewater treatment, the total annual BOD5 production in metric tons is multiplied by the fraction that is treated anaerobically and by the CH4 produced per metric ton of BOD5,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Municipal wastewater treatment direct N2O emissions are calculated by multiplying total population served by an N2O emission factor per person per year,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Municipal wastewater N2O emissions from biosolids are calculated by multiplying the total annual protein consumption by the nitrogen content of protein and fraction of nitrogen not consumed, an N2O emission factor per metric ton of nitrogen treated, subtracting direct emissions, converted to million metric tons carbon equivalent (MMTCE), and converted to million metric tons carbon dioxide equivalent (MMTCO2E).   Direct and biosolids N2O emissions are then added to produce an estimate of total municipal wastewater treatment N2O emissions.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treatment of industrial wastewater from fruit and vegetables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treatment of industrial wastewater from red meat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treatment of industrial wastewater from poultry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treatment of industrial wastewater from pulp and paper production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xdr:txBody>
    </xdr:sp>
    <xdr:clientData fLocksWithSheet="0"/>
  </xdr:oneCellAnchor>
  <xdr:oneCellAnchor>
    <xdr:from>
      <xdr:col>2</xdr:col>
      <xdr:colOff>-10058400</xdr:colOff>
      <xdr:row>7</xdr:row>
      <xdr:rowOff>-15201900</xdr:rowOff>
    </xdr:from>
    <xdr:ext cx="31642050" cy="31642050"/>
    <xdr:sp macro="" textlink="">
      <xdr:nvSpPr>
        <xdr:cNvPr id="45" name="Shape 45">
          <a:extLst>
            <a:ext uri="{FF2B5EF4-FFF2-40B4-BE49-F238E27FC236}">
              <a16:creationId xmlns:a16="http://schemas.microsoft.com/office/drawing/2014/main" id="{00000000-0008-0000-1700-00002D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133350</xdr:colOff>
      <xdr:row>0</xdr:row>
      <xdr:rowOff>323850</xdr:rowOff>
    </xdr:from>
    <xdr:ext cx="6753225" cy="1390650"/>
    <xdr:sp macro="" textlink="">
      <xdr:nvSpPr>
        <xdr:cNvPr id="38" name="Shape 38">
          <a:extLst>
            <a:ext uri="{FF2B5EF4-FFF2-40B4-BE49-F238E27FC236}">
              <a16:creationId xmlns:a16="http://schemas.microsoft.com/office/drawing/2014/main" id="{00000000-0008-0000-1400-000026000000}"/>
            </a:ext>
          </a:extLst>
        </xdr:cNvPr>
        <xdr:cNvSpPr txBox="1"/>
      </xdr:nvSpPr>
      <xdr:spPr>
        <a:xfrm>
          <a:off x="1974150" y="3089438"/>
          <a:ext cx="6743700" cy="138112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The method used to calculate emissions is presented in a study/survey conducted by the Mid-Atlantic/Northeast Visibility Union (MANE-VU), titled “Open Burning in Residential Areas Emissions Inventory Development Report.” User's Guide.  The purpose of the survey was to obtain data for developing activity estimates and control information (e.g., bans on burning) that would form the basis of an improved open burning emission inventory for Mid-Atlantic/Northeast Visibility Union (MANE-VU) states.</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 factors in lbs/ton total mass were taken from AP-42 Table 2.5-1, Emission Factors for Open Burning of Municipal Refuse and from a 1997 EPA research paper on open burning.</a:t>
          </a:r>
          <a:endParaRPr sz="1400"/>
        </a:p>
      </xdr:txBody>
    </xdr:sp>
    <xdr:clientData fLocksWithSheet="0"/>
  </xdr:oneCellAnchor>
  <xdr:oneCellAnchor>
    <xdr:from>
      <xdr:col>0</xdr:col>
      <xdr:colOff>-10077450</xdr:colOff>
      <xdr:row>12</xdr:row>
      <xdr:rowOff>-15230475</xdr:rowOff>
    </xdr:from>
    <xdr:ext cx="31642050" cy="31642050"/>
    <xdr:sp macro="" textlink="">
      <xdr:nvSpPr>
        <xdr:cNvPr id="39" name="Shape 39">
          <a:extLst>
            <a:ext uri="{FF2B5EF4-FFF2-40B4-BE49-F238E27FC236}">
              <a16:creationId xmlns:a16="http://schemas.microsoft.com/office/drawing/2014/main" id="{00000000-0008-0000-1400-000027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-10077450</xdr:colOff>
      <xdr:row>18</xdr:row>
      <xdr:rowOff>-15182850</xdr:rowOff>
    </xdr:from>
    <xdr:ext cx="31642050" cy="31642050"/>
    <xdr:sp macro="" textlink="">
      <xdr:nvSpPr>
        <xdr:cNvPr id="9" name="Shape 9">
          <a:extLst>
            <a:ext uri="{FF2B5EF4-FFF2-40B4-BE49-F238E27FC236}">
              <a16:creationId xmlns:a16="http://schemas.microsoft.com/office/drawing/2014/main" id="{00000000-0008-0000-0400-000009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-8782050</xdr:colOff>
      <xdr:row>320</xdr:row>
      <xdr:rowOff>-15335250</xdr:rowOff>
    </xdr:from>
    <xdr:ext cx="31642050" cy="31642050"/>
    <xdr:sp macro="" textlink="">
      <xdr:nvSpPr>
        <xdr:cNvPr id="10" name="Shape 10">
          <a:extLst>
            <a:ext uri="{FF2B5EF4-FFF2-40B4-BE49-F238E27FC236}">
              <a16:creationId xmlns:a16="http://schemas.microsoft.com/office/drawing/2014/main" id="{00000000-0008-0000-0500-00000A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104775</xdr:colOff>
      <xdr:row>1</xdr:row>
      <xdr:rowOff>57150</xdr:rowOff>
    </xdr:from>
    <xdr:ext cx="11134725" cy="838200"/>
    <xdr:sp macro="" textlink="">
      <xdr:nvSpPr>
        <xdr:cNvPr id="11" name="Shape 11">
          <a:extLst>
            <a:ext uri="{FF2B5EF4-FFF2-40B4-BE49-F238E27FC236}">
              <a16:creationId xmlns:a16="http://schemas.microsoft.com/office/drawing/2014/main" id="{00000000-0008-0000-0600-00000B000000}"/>
            </a:ext>
          </a:extLst>
        </xdr:cNvPr>
        <xdr:cNvSpPr txBox="1"/>
      </xdr:nvSpPr>
      <xdr:spPr>
        <a:xfrm>
          <a:off x="0" y="3365663"/>
          <a:ext cx="10692000" cy="8286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Maryland is a net importer of electricity, meaning that the State consumes more electricity than is produced in the State. For this analysis, it was assumed that all power generated in Maryland was consumed in Maryland, and that remaining electricity demand was met by imported power.  The electricity imported to meet Maryland demand was assume to come from the PJM Interconnection.</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The fuel mix within the PJM region required to generate the electricity was obtained and CO2 emission rates per fuel type were calculated.  These emission rates were applied to the amount of electricity Maryland imported to meet demand.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0</xdr:col>
      <xdr:colOff>-14658975</xdr:colOff>
      <xdr:row>27</xdr:row>
      <xdr:rowOff>-22498050</xdr:rowOff>
    </xdr:from>
    <xdr:ext cx="46262925" cy="46253400"/>
    <xdr:sp macro="" textlink="">
      <xdr:nvSpPr>
        <xdr:cNvPr id="12" name="Shape 12">
          <a:extLst>
            <a:ext uri="{FF2B5EF4-FFF2-40B4-BE49-F238E27FC236}">
              <a16:creationId xmlns:a16="http://schemas.microsoft.com/office/drawing/2014/main" id="{00000000-0008-0000-0600-00000C000000}"/>
            </a:ext>
          </a:extLst>
        </xdr:cNvPr>
        <xdr:cNvSpPr/>
      </xdr:nvSpPr>
      <xdr:spPr>
        <a:xfrm rot="-1155960">
          <a:off x="268993" y="-354074"/>
          <a:ext cx="10154015" cy="826814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419100</xdr:colOff>
      <xdr:row>1</xdr:row>
      <xdr:rowOff>19050</xdr:rowOff>
    </xdr:from>
    <xdr:ext cx="8372475" cy="1457325"/>
    <xdr:sp macro="" textlink="">
      <xdr:nvSpPr>
        <xdr:cNvPr id="21" name="Shape 21">
          <a:extLst>
            <a:ext uri="{FF2B5EF4-FFF2-40B4-BE49-F238E27FC236}">
              <a16:creationId xmlns:a16="http://schemas.microsoft.com/office/drawing/2014/main" id="{00000000-0008-0000-0A00-000015000000}"/>
            </a:ext>
          </a:extLst>
        </xdr:cNvPr>
        <xdr:cNvSpPr txBox="1"/>
      </xdr:nvSpPr>
      <xdr:spPr>
        <a:xfrm>
          <a:off x="1164525" y="3056100"/>
          <a:ext cx="8362950" cy="14478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from fossil fuel combustion in the residential sector are calculated by multiplying energy consumption (in the residential sector) by carbon content coefficients for each fuel.  These quantities are then multiplied by fuel-specific percentages of carbon oxidized during combustion ("combustion efficiency").  The resulting fuel emission values,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the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FFC Chapter in the User's Guide.</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According to the methods developed by the International Panel on Climate Change,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from the combustion of biogenic sources (e.g., fuel wood) are not counted in greenhouse gas inventories, provided that those sources are harvested on a sustainable basis. The carbon in wood fuel was originally removed from the atmosphere by photosynthesis, and under natural conditions, it would cycle back to the atmosphere eventually as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due to degradation processes. For processes with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if the emissions are from biogenic materials and the materials are grown on a sustainable basis, then those emissions are considered to close the loop in the natural carbon cycle. </a:t>
          </a:r>
          <a:endParaRPr sz="1400"/>
        </a:p>
      </xdr:txBody>
    </xdr:sp>
    <xdr:clientData fLocksWithSheet="0"/>
  </xdr:oneCellAnchor>
  <xdr:oneCellAnchor>
    <xdr:from>
      <xdr:col>0</xdr:col>
      <xdr:colOff>-10077450</xdr:colOff>
      <xdr:row>11</xdr:row>
      <xdr:rowOff>-15192375</xdr:rowOff>
    </xdr:from>
    <xdr:ext cx="31642050" cy="31642050"/>
    <xdr:sp macro="" textlink="">
      <xdr:nvSpPr>
        <xdr:cNvPr id="22" name="Shape 22">
          <a:extLst>
            <a:ext uri="{FF2B5EF4-FFF2-40B4-BE49-F238E27FC236}">
              <a16:creationId xmlns:a16="http://schemas.microsoft.com/office/drawing/2014/main" id="{00000000-0008-0000-0A00-000016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447675</xdr:colOff>
      <xdr:row>1</xdr:row>
      <xdr:rowOff>0</xdr:rowOff>
    </xdr:from>
    <xdr:ext cx="7715250" cy="790575"/>
    <xdr:sp macro="" textlink="">
      <xdr:nvSpPr>
        <xdr:cNvPr id="23" name="Shape 23">
          <a:extLst>
            <a:ext uri="{FF2B5EF4-FFF2-40B4-BE49-F238E27FC236}">
              <a16:creationId xmlns:a16="http://schemas.microsoft.com/office/drawing/2014/main" id="{00000000-0008-0000-0B00-000017000000}"/>
            </a:ext>
          </a:extLst>
        </xdr:cNvPr>
        <xdr:cNvSpPr txBox="1"/>
      </xdr:nvSpPr>
      <xdr:spPr>
        <a:xfrm>
          <a:off x="1493138" y="3389475"/>
          <a:ext cx="7705725" cy="7810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from fossil fuel combustion in the commercial sector are calculated by multiplying energy consumption (in the commercial sector) by carbon content coefficients for each fuel.  These quantities are then multiplied by fuel-specific percentages of carbon oxidized during combustion ("combustion efficiency").  The resulting fuel emissions,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FFC Chapter in the User's Guide.</a:t>
          </a:r>
          <a:endParaRPr sz="1400"/>
        </a:p>
      </xdr:txBody>
    </xdr:sp>
    <xdr:clientData fLocksWithSheet="0"/>
  </xdr:oneCellAnchor>
  <xdr:oneCellAnchor>
    <xdr:from>
      <xdr:col>0</xdr:col>
      <xdr:colOff>-10077450</xdr:colOff>
      <xdr:row>16</xdr:row>
      <xdr:rowOff>-15259050</xdr:rowOff>
    </xdr:from>
    <xdr:ext cx="31642050" cy="31642050"/>
    <xdr:sp macro="" textlink="">
      <xdr:nvSpPr>
        <xdr:cNvPr id="24" name="Shape 24">
          <a:extLst>
            <a:ext uri="{FF2B5EF4-FFF2-40B4-BE49-F238E27FC236}">
              <a16:creationId xmlns:a16="http://schemas.microsoft.com/office/drawing/2014/main" id="{00000000-0008-0000-0B00-000018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123825</xdr:colOff>
      <xdr:row>1</xdr:row>
      <xdr:rowOff>57150</xdr:rowOff>
    </xdr:from>
    <xdr:ext cx="9725025" cy="800100"/>
    <xdr:sp macro="" textlink="">
      <xdr:nvSpPr>
        <xdr:cNvPr id="25" name="Shape 25">
          <a:extLst>
            <a:ext uri="{FF2B5EF4-FFF2-40B4-BE49-F238E27FC236}">
              <a16:creationId xmlns:a16="http://schemas.microsoft.com/office/drawing/2014/main" id="{00000000-0008-0000-0C00-000019000000}"/>
            </a:ext>
          </a:extLst>
        </xdr:cNvPr>
        <xdr:cNvSpPr txBox="1"/>
      </xdr:nvSpPr>
      <xdr:spPr>
        <a:xfrm>
          <a:off x="488250" y="3384713"/>
          <a:ext cx="9715500" cy="7905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from fossil fuel combustion in the industrial sector are calculated by first subtracting non-energy consumption multiplied by carbon storage factors from the energy consumption for each fuel type.  The resulting combustible consumption for each fuel is then multiplied by a carbon content coefficient and by the percentage of carbon oxidized during combustion ("combustion efficiency").  The resulting fuel emissions,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FFC Chapter in the User's Guide.</a:t>
          </a:r>
          <a:endParaRPr sz="1400"/>
        </a:p>
      </xdr:txBody>
    </xdr:sp>
    <xdr:clientData fLocksWithSheet="0"/>
  </xdr:oneCellAnchor>
  <xdr:oneCellAnchor>
    <xdr:from>
      <xdr:col>0</xdr:col>
      <xdr:colOff>-6134100</xdr:colOff>
      <xdr:row>0</xdr:row>
      <xdr:rowOff>-9525000</xdr:rowOff>
    </xdr:from>
    <xdr:ext cx="31642050" cy="31642050"/>
    <xdr:sp macro="" textlink="">
      <xdr:nvSpPr>
        <xdr:cNvPr id="26" name="Shape 26">
          <a:extLst>
            <a:ext uri="{FF2B5EF4-FFF2-40B4-BE49-F238E27FC236}">
              <a16:creationId xmlns:a16="http://schemas.microsoft.com/office/drawing/2014/main" id="{00000000-0008-0000-0C00-00001A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190500</xdr:colOff>
      <xdr:row>1</xdr:row>
      <xdr:rowOff>104775</xdr:rowOff>
    </xdr:from>
    <xdr:ext cx="10067925" cy="723900"/>
    <xdr:sp macro="" textlink="">
      <xdr:nvSpPr>
        <xdr:cNvPr id="15" name="Shape 15">
          <a:extLst>
            <a:ext uri="{FF2B5EF4-FFF2-40B4-BE49-F238E27FC236}">
              <a16:creationId xmlns:a16="http://schemas.microsoft.com/office/drawing/2014/main" id="{00000000-0008-0000-0800-00000F000000}"/>
            </a:ext>
          </a:extLst>
        </xdr:cNvPr>
        <xdr:cNvSpPr txBox="1"/>
      </xdr:nvSpPr>
      <xdr:spPr>
        <a:xfrm>
          <a:off x="316800" y="3422813"/>
          <a:ext cx="10058400" cy="7143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(MMTCO2E), and summed.   For further detail on this method, refer to EPA SIT User's Guide.</a:t>
          </a:r>
          <a:endParaRPr sz="1400"/>
        </a:p>
      </xdr:txBody>
    </xdr:sp>
    <xdr:clientData fLocksWithSheet="0"/>
  </xdr:oneCellAnchor>
  <xdr:oneCellAnchor>
    <xdr:from>
      <xdr:col>0</xdr:col>
      <xdr:colOff>190500</xdr:colOff>
      <xdr:row>1</xdr:row>
      <xdr:rowOff>104775</xdr:rowOff>
    </xdr:from>
    <xdr:ext cx="10067925" cy="790575"/>
    <xdr:sp macro="" textlink="">
      <xdr:nvSpPr>
        <xdr:cNvPr id="16" name="Shape 16">
          <a:extLst>
            <a:ext uri="{FF2B5EF4-FFF2-40B4-BE49-F238E27FC236}">
              <a16:creationId xmlns:a16="http://schemas.microsoft.com/office/drawing/2014/main" id="{00000000-0008-0000-0800-000010000000}"/>
            </a:ext>
          </a:extLst>
        </xdr:cNvPr>
        <xdr:cNvSpPr txBox="1"/>
      </xdr:nvSpPr>
      <xdr:spPr>
        <a:xfrm>
          <a:off x="316800" y="3389475"/>
          <a:ext cx="10058400" cy="7810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GHG emissions from fossil fuel combustion in the onroad transportation sector are calculated  within the EPA MOVES model.  MOVES is the U.S. EPA Motor Vehicle Emission Simulator.  It is used to create emission factors or emission inventories for both onroad motor vehicles and nonroad equipment.   In the modeling process, the user specifies vehicle types, time perioeds, geographical areas, pollutants, vehicle operating characteristics, and road types to be modeled.  The model than performs a series of calculations, which have bee ccarefully developed to accurately reflect vehiclae operating processes, such as running, starts, or hoteling , and provide estimates of total emissions or emission rates per vehicle or unit of activity.  The resulting fuel emissions, in grams, are then converted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EPA MOVES User's Guide.</a:t>
          </a:r>
          <a:endParaRPr sz="1400"/>
        </a:p>
      </xdr:txBody>
    </xdr:sp>
    <xdr:clientData fLocksWithSheet="0"/>
  </xdr:oneCellAnchor>
  <xdr:oneCellAnchor>
    <xdr:from>
      <xdr:col>0</xdr:col>
      <xdr:colOff>-6753225</xdr:colOff>
      <xdr:row>0</xdr:row>
      <xdr:rowOff>-9715500</xdr:rowOff>
    </xdr:from>
    <xdr:ext cx="31642050" cy="31642050"/>
    <xdr:sp macro="" textlink="">
      <xdr:nvSpPr>
        <xdr:cNvPr id="17" name="Shape 17">
          <a:extLst>
            <a:ext uri="{FF2B5EF4-FFF2-40B4-BE49-F238E27FC236}">
              <a16:creationId xmlns:a16="http://schemas.microsoft.com/office/drawing/2014/main" id="{00000000-0008-0000-0800-000011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hyperlink" Target="https://www.phmsa.dot.gov/data-and-statistics/pipeline/gas-distribution-gas-gathering-gas-transmission-hazardous-liquids" TargetMode="External"/><Relationship Id="rId1" Type="http://schemas.openxmlformats.org/officeDocument/2006/relationships/hyperlink" Target="https://www.eia.gov/dnav/ng/NG_PROD_WELLS_S1_A.htm"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hyperlink" Target="https://mde.maryland.gov/programs/land/mining/pages/bureauofminesannualreports.aspx" TargetMode="External"/><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hyperlink" Target="https://www.fs.usda.gov/rds/archive/Catalog/RDS-2021-0035" TargetMode="External"/><Relationship Id="rId1" Type="http://schemas.openxmlformats.org/officeDocument/2006/relationships/hyperlink" Target="https://www.nrs.fs.fed.us/pubs/62418" TargetMode="External"/><Relationship Id="rId4" Type="http://schemas.openxmlformats.org/officeDocument/2006/relationships/comments" Target="../comments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hyperlink" Target="https://www.eia.gov/state/seds/seds-data-complete.php?sid=US"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999"/>
  <sheetViews>
    <sheetView showGridLines="0" tabSelected="1" workbookViewId="0"/>
  </sheetViews>
  <sheetFormatPr defaultColWidth="16.85546875" defaultRowHeight="15" customHeight="1"/>
  <cols>
    <col min="1" max="1" width="4.42578125" customWidth="1"/>
    <col min="2" max="2" width="8" customWidth="1"/>
    <col min="3" max="3" width="75.85546875" customWidth="1"/>
    <col min="5" max="5" width="16.85546875" customWidth="1"/>
    <col min="6" max="6" width="10.7109375" customWidth="1"/>
    <col min="7" max="7" width="16.28515625" customWidth="1"/>
    <col min="8" max="9" width="8.85546875" customWidth="1"/>
  </cols>
  <sheetData>
    <row r="1" spans="1:9" ht="18.75" customHeight="1">
      <c r="A1" s="1"/>
      <c r="B1" s="2" t="s">
        <v>2067</v>
      </c>
      <c r="C1" s="2787"/>
      <c r="E1" s="2788"/>
    </row>
    <row r="2" spans="1:9" ht="15" customHeight="1">
      <c r="A2" s="1"/>
      <c r="B2" s="3"/>
      <c r="C2" s="2789"/>
      <c r="D2" s="2852" t="s">
        <v>0</v>
      </c>
      <c r="E2" s="2852"/>
      <c r="F2" s="2479"/>
      <c r="G2" s="2479"/>
      <c r="H2" s="2479"/>
      <c r="I2" s="2479"/>
    </row>
    <row r="3" spans="1:9" ht="15" customHeight="1">
      <c r="A3" s="1"/>
      <c r="B3" s="3"/>
      <c r="C3" s="2789"/>
      <c r="D3" s="2793" t="s">
        <v>2</v>
      </c>
      <c r="E3" s="2792" t="s">
        <v>1</v>
      </c>
      <c r="F3" s="2783"/>
      <c r="G3" s="2783"/>
      <c r="H3" s="6"/>
      <c r="I3" s="2783"/>
    </row>
    <row r="4" spans="1:9" ht="15" customHeight="1">
      <c r="A4" s="1"/>
      <c r="B4" s="3"/>
      <c r="C4" s="2790" t="s">
        <v>3</v>
      </c>
      <c r="D4" s="2794">
        <v>1</v>
      </c>
      <c r="E4" s="2794">
        <v>1</v>
      </c>
      <c r="F4" s="2783"/>
      <c r="H4" s="2784"/>
      <c r="I4" s="2784"/>
    </row>
    <row r="5" spans="1:9" ht="15" customHeight="1">
      <c r="A5" s="1"/>
      <c r="B5" s="3"/>
      <c r="C5" s="2790" t="s">
        <v>4</v>
      </c>
      <c r="D5" s="2794">
        <v>84</v>
      </c>
      <c r="E5" s="2846">
        <v>28</v>
      </c>
      <c r="F5" s="2783"/>
      <c r="H5" s="2784"/>
      <c r="I5" s="2784"/>
    </row>
    <row r="6" spans="1:9" ht="15" customHeight="1">
      <c r="A6" s="1"/>
      <c r="B6" s="3"/>
      <c r="C6" s="2790" t="s">
        <v>5</v>
      </c>
      <c r="D6" s="2794">
        <v>264</v>
      </c>
      <c r="E6" s="2846">
        <v>265</v>
      </c>
      <c r="F6" s="2783"/>
      <c r="H6" s="2784"/>
      <c r="I6" s="2784"/>
    </row>
    <row r="7" spans="1:9" ht="15" customHeight="1">
      <c r="A7" s="1"/>
      <c r="B7" s="3"/>
      <c r="C7" s="2790" t="s">
        <v>6</v>
      </c>
      <c r="D7" s="2794">
        <v>17500</v>
      </c>
      <c r="E7" s="2846">
        <v>23500</v>
      </c>
      <c r="F7" s="2783"/>
      <c r="G7" s="2845"/>
      <c r="H7" s="2784"/>
      <c r="I7" s="2785"/>
    </row>
    <row r="8" spans="1:9" ht="15" customHeight="1" thickBot="1">
      <c r="A8" s="1"/>
      <c r="B8" s="3"/>
      <c r="C8" s="2791" t="s">
        <v>7</v>
      </c>
      <c r="D8" s="2853" t="s">
        <v>8</v>
      </c>
      <c r="E8" s="2853"/>
      <c r="F8" s="2783"/>
      <c r="G8" s="2785"/>
      <c r="H8" s="2785"/>
      <c r="I8" s="2785"/>
    </row>
    <row r="9" spans="1:9" ht="16.2" thickBot="1">
      <c r="A9" s="1"/>
      <c r="B9" s="2854" t="s">
        <v>9</v>
      </c>
      <c r="C9" s="2855"/>
      <c r="D9" s="2811" t="s">
        <v>11</v>
      </c>
      <c r="E9" s="2811" t="s">
        <v>10</v>
      </c>
      <c r="F9" s="1"/>
      <c r="G9" s="1"/>
      <c r="H9" s="1"/>
    </row>
    <row r="10" spans="1:9" ht="15.6">
      <c r="A10" s="1"/>
      <c r="B10" s="2856" t="s">
        <v>2068</v>
      </c>
      <c r="C10" s="2857"/>
      <c r="D10" s="2812">
        <f t="shared" ref="D10" si="0">D11+D30+D47+D80</f>
        <v>76.158074880258098</v>
      </c>
      <c r="E10" s="2812">
        <f t="shared" ref="E10" si="1">E11+E30+E47+E80</f>
        <v>73.48642262604578</v>
      </c>
      <c r="F10" s="1"/>
      <c r="G10" s="1"/>
      <c r="H10" s="1"/>
    </row>
    <row r="11" spans="1:9" ht="14.4">
      <c r="A11" s="1"/>
      <c r="B11" s="2813" t="s">
        <v>46</v>
      </c>
      <c r="C11" s="2814"/>
      <c r="D11" s="2815">
        <f t="shared" ref="D11" si="2">D12+D29</f>
        <v>24.369456841701407</v>
      </c>
      <c r="E11" s="2815">
        <f t="shared" ref="E11" si="3">E12+E29</f>
        <v>24.307187717619982</v>
      </c>
      <c r="F11" s="1"/>
      <c r="G11" s="1"/>
      <c r="H11" s="1"/>
    </row>
    <row r="12" spans="1:9" ht="14.4">
      <c r="A12" s="1"/>
      <c r="B12" s="2816"/>
      <c r="C12" s="2817" t="s">
        <v>12</v>
      </c>
      <c r="D12" s="2812">
        <f t="shared" ref="D12" si="4">D13+D17+D21+D25</f>
        <v>12.340500064724678</v>
      </c>
      <c r="E12" s="2812">
        <f t="shared" ref="E12" si="5">E13+E17+E21+E25</f>
        <v>12.278230940643253</v>
      </c>
      <c r="F12" s="1"/>
      <c r="G12" s="1"/>
      <c r="H12" s="1"/>
    </row>
    <row r="13" spans="1:9" ht="14.4">
      <c r="A13" s="1"/>
      <c r="B13" s="2818"/>
      <c r="C13" s="2819" t="s">
        <v>194</v>
      </c>
      <c r="D13" s="2812">
        <f>SUM(D14:D16)</f>
        <v>9.2954755559465525</v>
      </c>
      <c r="E13" s="2812">
        <f>SUM(E14:E16)</f>
        <v>9.2369077388075809</v>
      </c>
      <c r="F13" s="1"/>
      <c r="G13" s="2782"/>
      <c r="H13" s="2786"/>
    </row>
    <row r="14" spans="1:9" ht="15.6">
      <c r="A14" s="1"/>
      <c r="B14" s="2818"/>
      <c r="C14" s="2820" t="s">
        <v>2070</v>
      </c>
      <c r="D14" s="2821">
        <f>E14/_xlfn.XLOOKUP(C14,C$4:C$7,E$4:E$7,"ERROR")*_xlfn.XLOOKUP(C14,C$4:C$7,D$4:D$7,"ERROR")</f>
        <v>9.1659274190770965</v>
      </c>
      <c r="E14" s="2821">
        <f>EGU_By_Fuel_Type!F424</f>
        <v>9.1659274190770965</v>
      </c>
      <c r="F14" s="1"/>
      <c r="G14" s="2782"/>
      <c r="H14" s="1"/>
    </row>
    <row r="15" spans="1:9" ht="15.6">
      <c r="A15" s="1"/>
      <c r="B15" s="2818"/>
      <c r="C15" s="2820" t="s">
        <v>2071</v>
      </c>
      <c r="D15" s="2821">
        <f t="shared" ref="D15:D16" si="6">E15/_xlfn.XLOOKUP(C15,C$4:C$7,E$4:E$7,"ERROR")*_xlfn.XLOOKUP(C15,C$4:C$7,D$4:D$7,"ERROR")</f>
        <v>8.8087298652870766E-2</v>
      </c>
      <c r="E15" s="2821">
        <f>EGU_By_Fuel_Type!G437</f>
        <v>2.9362432884290256E-2</v>
      </c>
      <c r="F15" s="1"/>
      <c r="G15" s="2782"/>
      <c r="H15" s="1"/>
    </row>
    <row r="16" spans="1:9" ht="15.6">
      <c r="A16" s="1"/>
      <c r="B16" s="2818"/>
      <c r="C16" s="2820" t="s">
        <v>2072</v>
      </c>
      <c r="D16" s="2821">
        <f t="shared" si="6"/>
        <v>4.1460838216584292E-2</v>
      </c>
      <c r="E16" s="2821">
        <f>EGU_By_Fuel_Type!G449</f>
        <v>4.1617886846192567E-2</v>
      </c>
      <c r="F16" s="1"/>
      <c r="G16" s="2782"/>
      <c r="H16" s="1"/>
    </row>
    <row r="17" spans="1:8" ht="14.4">
      <c r="A17" s="1"/>
      <c r="B17" s="2818"/>
      <c r="C17" s="2819" t="s">
        <v>456</v>
      </c>
      <c r="D17" s="2812">
        <f>SUM(D18:D20)</f>
        <v>2.8949285316137989</v>
      </c>
      <c r="E17" s="2812">
        <f>SUM(E18:E20)</f>
        <v>2.8922392657514107</v>
      </c>
      <c r="F17" s="1"/>
      <c r="G17" s="2782"/>
      <c r="H17" s="1"/>
    </row>
    <row r="18" spans="1:8" ht="15.6">
      <c r="A18" s="1"/>
      <c r="B18" s="2818"/>
      <c r="C18" s="2820" t="s">
        <v>2070</v>
      </c>
      <c r="D18" s="2821">
        <f>E18/_xlfn.XLOOKUP(C18,C$4:C$7,E$4:E$7,"ERROR")*_xlfn.XLOOKUP(C18,C$4:C$7,D$4:D$7,"ERROR")</f>
        <v>2.8873315134390842</v>
      </c>
      <c r="E18" s="2821">
        <f>EGU_By_Fuel_Type!F427</f>
        <v>2.8873315134390842</v>
      </c>
      <c r="F18" s="1"/>
      <c r="G18" s="3"/>
      <c r="H18" s="1"/>
    </row>
    <row r="19" spans="1:8" ht="15.6">
      <c r="A19" s="1"/>
      <c r="B19" s="2818"/>
      <c r="C19" s="2820" t="s">
        <v>2071</v>
      </c>
      <c r="D19" s="2821">
        <f t="shared" ref="D19:D20" si="7">E19/_xlfn.XLOOKUP(C19,C$4:C$7,E$4:E$7,"ERROR")*_xlfn.XLOOKUP(C19,C$4:C$7,D$4:D$7,"ERROR")</f>
        <v>4.05402941155513E-3</v>
      </c>
      <c r="E19" s="2821">
        <f>EGU_By_Fuel_Type!G440</f>
        <v>1.3513431371850433E-3</v>
      </c>
      <c r="F19" s="1"/>
      <c r="G19" s="3"/>
      <c r="H19" s="1"/>
    </row>
    <row r="20" spans="1:8" ht="15.6">
      <c r="A20" s="1"/>
      <c r="B20" s="2818"/>
      <c r="C20" s="2820" t="s">
        <v>2072</v>
      </c>
      <c r="D20" s="2821">
        <f t="shared" si="7"/>
        <v>3.5429887631597411E-3</v>
      </c>
      <c r="E20" s="2821">
        <f>EGU_By_Fuel_Type!G452</f>
        <v>3.556409175141407E-3</v>
      </c>
      <c r="F20" s="1"/>
      <c r="G20" s="3"/>
      <c r="H20" s="1"/>
    </row>
    <row r="21" spans="1:8" ht="14.4">
      <c r="A21" s="1"/>
      <c r="B21" s="2818"/>
      <c r="C21" s="2819" t="s">
        <v>738</v>
      </c>
      <c r="D21" s="2812">
        <f>SUM(D22:D24)</f>
        <v>0.15009597716432668</v>
      </c>
      <c r="E21" s="2812">
        <f>SUM(E22:E24)</f>
        <v>0.14908393608426193</v>
      </c>
      <c r="F21" s="1"/>
      <c r="G21" s="3"/>
      <c r="H21" s="1"/>
    </row>
    <row r="22" spans="1:8" ht="15.6">
      <c r="A22" s="1"/>
      <c r="B22" s="2818"/>
      <c r="C22" s="2820" t="s">
        <v>2070</v>
      </c>
      <c r="D22" s="2821">
        <f>E22/_xlfn.XLOOKUP(C22,C$4:C$7,E$4:E$7,"ERROR")*_xlfn.XLOOKUP(C22,C$4:C$7,D$4:D$7,"ERROR")</f>
        <v>0.14825408094325135</v>
      </c>
      <c r="E22" s="2821">
        <f>EGU_By_Fuel_Type!F425+EGU_By_Fuel_Type!F426</f>
        <v>0.14825408094325135</v>
      </c>
      <c r="F22" s="1"/>
      <c r="G22" s="3"/>
      <c r="H22" s="1"/>
    </row>
    <row r="23" spans="1:8" ht="15.6">
      <c r="A23" s="1"/>
      <c r="B23" s="2818"/>
      <c r="C23" s="2820" t="s">
        <v>2071</v>
      </c>
      <c r="D23" s="2821">
        <f t="shared" ref="D23:D24" si="8">E23/_xlfn.XLOOKUP(C23,C$4:C$7,E$4:E$7,"ERROR")*_xlfn.XLOOKUP(C23,C$4:C$7,D$4:D$7,"ERROR")</f>
        <v>1.5198911941139335E-3</v>
      </c>
      <c r="E23" s="2821">
        <f>EGU_By_Fuel_Type!G438+EGU_By_Fuel_Type!G439</f>
        <v>5.0663039803797779E-4</v>
      </c>
      <c r="F23" s="1"/>
      <c r="G23" s="3"/>
      <c r="H23" s="1"/>
    </row>
    <row r="24" spans="1:8" ht="15.6">
      <c r="A24" s="1"/>
      <c r="B24" s="2818"/>
      <c r="C24" s="2820" t="s">
        <v>2072</v>
      </c>
      <c r="D24" s="2821">
        <f t="shared" si="8"/>
        <v>3.2200502696140185E-4</v>
      </c>
      <c r="E24" s="2821">
        <f>EGU_By_Fuel_Type!G450+EGU_By_Fuel_Type!G451</f>
        <v>3.2322474297261929E-4</v>
      </c>
      <c r="F24" s="1"/>
      <c r="G24" s="1"/>
      <c r="H24" s="1"/>
    </row>
    <row r="25" spans="1:8" ht="14.4">
      <c r="A25" s="1"/>
      <c r="B25" s="2818"/>
      <c r="C25" s="2819" t="s">
        <v>743</v>
      </c>
      <c r="D25" s="2812">
        <f>SUM(D26:D28)</f>
        <v>0</v>
      </c>
      <c r="E25" s="2812">
        <f>SUM(E26:E28)</f>
        <v>0</v>
      </c>
      <c r="F25" s="1"/>
      <c r="G25" s="1"/>
      <c r="H25" s="1"/>
    </row>
    <row r="26" spans="1:8" ht="15.6">
      <c r="A26" s="1"/>
      <c r="B26" s="2818"/>
      <c r="C26" s="2820" t="s">
        <v>2070</v>
      </c>
      <c r="D26" s="2821">
        <f>E26/_xlfn.XLOOKUP(C26,C$4:C$7,E$4:E$7,"ERROR")*_xlfn.XLOOKUP(C26,C$4:C$7,D$4:D$7,"ERROR")</f>
        <v>0</v>
      </c>
      <c r="E26" s="2821">
        <v>0</v>
      </c>
      <c r="F26" s="1"/>
      <c r="G26" s="1"/>
      <c r="H26" s="1"/>
    </row>
    <row r="27" spans="1:8" ht="15.6">
      <c r="A27" s="1"/>
      <c r="B27" s="2818"/>
      <c r="C27" s="2820" t="s">
        <v>2071</v>
      </c>
      <c r="D27" s="2821">
        <f t="shared" ref="D27:D28" si="9">E27/_xlfn.XLOOKUP(C27,C$4:C$7,E$4:E$7,"ERROR")*_xlfn.XLOOKUP(C27,C$4:C$7,D$4:D$7,"ERROR")</f>
        <v>0</v>
      </c>
      <c r="E27" s="2821">
        <v>0</v>
      </c>
      <c r="F27" s="1"/>
      <c r="G27" s="1"/>
      <c r="H27" s="1"/>
    </row>
    <row r="28" spans="1:8" ht="15.6">
      <c r="A28" s="1"/>
      <c r="B28" s="2818"/>
      <c r="C28" s="2820" t="s">
        <v>2072</v>
      </c>
      <c r="D28" s="2821">
        <f t="shared" si="9"/>
        <v>0</v>
      </c>
      <c r="E28" s="2821">
        <v>0</v>
      </c>
      <c r="F28" s="1"/>
      <c r="G28" s="1"/>
      <c r="H28" s="1"/>
    </row>
    <row r="29" spans="1:8" ht="14.4">
      <c r="A29" s="1"/>
      <c r="B29" s="2822"/>
      <c r="C29" s="2817" t="s">
        <v>13</v>
      </c>
      <c r="D29" s="2821">
        <f>E29</f>
        <v>12.028956776976731</v>
      </c>
      <c r="E29" s="2821">
        <f>'Imported Electricity '!N76</f>
        <v>12.028956776976731</v>
      </c>
      <c r="F29" s="1"/>
      <c r="G29" s="1"/>
      <c r="H29" s="1"/>
    </row>
    <row r="30" spans="1:8" ht="14.4">
      <c r="A30" s="1"/>
      <c r="B30" s="2813" t="s">
        <v>14</v>
      </c>
      <c r="C30" s="2814"/>
      <c r="D30" s="2815">
        <f t="shared" ref="D30" si="10">D31+D35+D39+D43</f>
        <v>13.875223206429631</v>
      </c>
      <c r="E30" s="2815">
        <f t="shared" ref="E30" si="11">E31+E35+E39+E43</f>
        <v>13.698000698704631</v>
      </c>
      <c r="F30" s="1"/>
      <c r="G30" s="1"/>
      <c r="H30" s="1"/>
    </row>
    <row r="31" spans="1:8" ht="14.4">
      <c r="A31" s="1"/>
      <c r="B31" s="2816"/>
      <c r="C31" s="2823" t="s">
        <v>194</v>
      </c>
      <c r="D31" s="2812">
        <f>SUM(D32:D34)</f>
        <v>1.1759587627751134</v>
      </c>
      <c r="E31" s="2812">
        <f>SUM(E32:E34)</f>
        <v>1.1691999867442187</v>
      </c>
      <c r="F31" s="1"/>
      <c r="G31" s="1"/>
      <c r="H31" s="1"/>
    </row>
    <row r="32" spans="1:8" ht="15.6">
      <c r="A32" s="1"/>
      <c r="B32" s="2818"/>
      <c r="C32" s="2820" t="s">
        <v>2070</v>
      </c>
      <c r="D32" s="2821">
        <f>E32/_xlfn.XLOOKUP(C32,C$4:C$7,E$4:E$7,"ERROR")*_xlfn.XLOOKUP(C32,C$4:C$7,D$4:D$7,"ERROR")</f>
        <v>1.1610011134032501</v>
      </c>
      <c r="E32" s="2821">
        <f>Residential!C46+Commercial!D54+Industrial!F102</f>
        <v>1.1610011134032501</v>
      </c>
      <c r="F32" s="1"/>
      <c r="G32" s="1"/>
      <c r="H32" s="1"/>
    </row>
    <row r="33" spans="1:8" ht="15.6">
      <c r="A33" s="1"/>
      <c r="B33" s="2818"/>
      <c r="C33" s="2820" t="s">
        <v>2071</v>
      </c>
      <c r="D33" s="2821">
        <f t="shared" ref="D33:D34" si="12">E33/_xlfn.XLOOKUP(C33,C$4:C$7,E$4:E$7,"ERROR")*_xlfn.XLOOKUP(C33,C$4:C$7,D$4:D$7,"ERROR")</f>
        <v>1.0165392776994499E-2</v>
      </c>
      <c r="E33" s="2821">
        <f>Residential!E46+Commercial!E54+Industrial!G102</f>
        <v>3.3884642589981661E-3</v>
      </c>
      <c r="F33" s="1"/>
      <c r="G33" s="1"/>
      <c r="H33" s="1"/>
    </row>
    <row r="34" spans="1:8" ht="15.6">
      <c r="A34" s="1"/>
      <c r="B34" s="2818"/>
      <c r="C34" s="2820" t="s">
        <v>2072</v>
      </c>
      <c r="D34" s="2821">
        <f t="shared" si="12"/>
        <v>4.7922565948688356E-3</v>
      </c>
      <c r="E34" s="2821">
        <f>Residential!D46+Commercial!F54+Industrial!H102</f>
        <v>4.8104090819706116E-3</v>
      </c>
      <c r="F34" s="1"/>
      <c r="G34" s="1"/>
      <c r="H34" s="1"/>
    </row>
    <row r="35" spans="1:8" ht="14.4">
      <c r="A35" s="1"/>
      <c r="B35" s="2818"/>
      <c r="C35" s="2823" t="s">
        <v>2073</v>
      </c>
      <c r="D35" s="2812">
        <f>SUM(D36:D38)</f>
        <v>9.7875537592781487</v>
      </c>
      <c r="E35" s="2812">
        <f>SUM(E36:E38)</f>
        <v>9.7402005499252002</v>
      </c>
      <c r="F35" s="1"/>
      <c r="G35" s="1"/>
      <c r="H35" s="1"/>
    </row>
    <row r="36" spans="1:8" ht="15.6">
      <c r="A36" s="1"/>
      <c r="B36" s="2818"/>
      <c r="C36" s="2820" t="s">
        <v>2070</v>
      </c>
      <c r="D36" s="2821">
        <f>E36/_xlfn.XLOOKUP(C36,C$4:C$7,E$4:E$7,"ERROR")*_xlfn.XLOOKUP(C36,C$4:C$7,D$4:D$7,"ERROR")</f>
        <v>9.7106761021483976</v>
      </c>
      <c r="E36" s="2821">
        <f>Residential!C49+Residential!C50+Commercial!D57+Commercial!D60+Industrial!F110+Industrial!F122</f>
        <v>9.7106761021483976</v>
      </c>
      <c r="F36" s="1"/>
      <c r="G36" s="1"/>
      <c r="H36" s="1"/>
    </row>
    <row r="37" spans="1:8" ht="15.6">
      <c r="A37" s="1"/>
      <c r="B37" s="2818"/>
      <c r="C37" s="2820" t="s">
        <v>2071</v>
      </c>
      <c r="D37" s="2821">
        <f t="shared" ref="D37:D38" si="13">E37/_xlfn.XLOOKUP(C37,C$4:C$7,E$4:E$7,"ERROR")*_xlfn.XLOOKUP(C37,C$4:C$7,D$4:D$7,"ERROR")</f>
        <v>7.1062852691007428E-2</v>
      </c>
      <c r="E37" s="2821">
        <f>Residential!E49+Residential!E50+Commercial!E57+Commercial!E60+Industrial!G110+Industrial!G122</f>
        <v>2.368761756366914E-2</v>
      </c>
      <c r="F37" s="1"/>
      <c r="G37" s="1"/>
      <c r="H37" s="1"/>
    </row>
    <row r="38" spans="1:8" ht="15.6">
      <c r="A38" s="1"/>
      <c r="B38" s="2818"/>
      <c r="C38" s="2820" t="s">
        <v>2072</v>
      </c>
      <c r="D38" s="2821">
        <f t="shared" si="13"/>
        <v>5.8148044387448241E-3</v>
      </c>
      <c r="E38" s="2821">
        <f>Residential!D49+Residential!D50+Commercial!F57+Commercial!F60+Industrial!H110+Industrial!H122</f>
        <v>5.8368302131340099E-3</v>
      </c>
      <c r="F38" s="1"/>
      <c r="G38" s="1"/>
      <c r="H38" s="1"/>
    </row>
    <row r="39" spans="1:8" ht="14.4">
      <c r="A39" s="1"/>
      <c r="B39" s="2818"/>
      <c r="C39" s="2823" t="s">
        <v>591</v>
      </c>
      <c r="D39" s="2812">
        <f>SUM(D40:D42)</f>
        <v>2.7361829066706815</v>
      </c>
      <c r="E39" s="2812">
        <f>SUM(E40:E42)</f>
        <v>2.7213095606806821</v>
      </c>
      <c r="F39" s="1"/>
      <c r="G39" s="1"/>
      <c r="H39" s="1"/>
    </row>
    <row r="40" spans="1:8" ht="15.6">
      <c r="A40" s="1"/>
      <c r="B40" s="2818"/>
      <c r="C40" s="2820" t="s">
        <v>2070</v>
      </c>
      <c r="D40" s="2821">
        <f>E40/_xlfn.XLOOKUP(C40,C$4:C$7,E$4:E$7,"ERROR")*_xlfn.XLOOKUP(C40,C$4:C$7,D$4:D$7,"ERROR")</f>
        <v>2.7090306104988948</v>
      </c>
      <c r="E40" s="2821">
        <f>Residential!C47+Residential!C48+Commercial!D55+Commercial!D56+Commercial!D58+Commercial!D59+Industrial!F106+Industrial!F107+Industrial!F108+Industrial!F109+Industrial!F111+Industrial!F112+Industrial!F114+Industrial!F116+Industrial!F117+Industrial!F119+Industrial!F121</f>
        <v>2.7090306104988948</v>
      </c>
      <c r="F40" s="1"/>
      <c r="G40" s="1"/>
      <c r="H40" s="1"/>
    </row>
    <row r="41" spans="1:8" ht="15.6">
      <c r="A41" s="1"/>
      <c r="B41" s="2818"/>
      <c r="C41" s="2820" t="s">
        <v>2071</v>
      </c>
      <c r="D41" s="2821">
        <f t="shared" ref="D41:D42" si="14">E41/_xlfn.XLOOKUP(C41,C$4:C$7,E$4:E$7,"ERROR")*_xlfn.XLOOKUP(C41,C$4:C$7,D$4:D$7,"ERROR")</f>
        <v>2.2337376483230021E-2</v>
      </c>
      <c r="E41" s="2821">
        <f>Residential!E47+Residential!E48+Commercial!E55+Commercial!E56+Commercial!E58+Commercial!E59+Industrial!G106+Industrial!G107+Industrial!G108+Industrial!G109+Industrial!G112+Industrial!G116+Industrial!G117+Industrial!G119</f>
        <v>7.4457921610766743E-3</v>
      </c>
      <c r="F41" s="1"/>
      <c r="G41" s="1"/>
      <c r="H41" s="1"/>
    </row>
    <row r="42" spans="1:8" ht="15.6">
      <c r="A42" s="1"/>
      <c r="B42" s="2818"/>
      <c r="C42" s="2820" t="s">
        <v>2072</v>
      </c>
      <c r="D42" s="2821">
        <f t="shared" si="14"/>
        <v>4.8149196885566743E-3</v>
      </c>
      <c r="E42" s="2821">
        <f>Residential!D47+Residential!D48+Commercial!F55+Commercial!F56+Commercial!F58+Commercial!F59+Industrial!H106+Industrial!H107+Industrial!H108+Industrial!H109+Industrial!H112+Industrial!H116+Industrial!H117+Industrial!H119</f>
        <v>4.8331580207102978E-3</v>
      </c>
      <c r="F42" s="1"/>
      <c r="G42" s="1"/>
      <c r="H42" s="1"/>
    </row>
    <row r="43" spans="1:8" ht="14.4">
      <c r="A43" s="1"/>
      <c r="B43" s="2818"/>
      <c r="C43" s="2823" t="s">
        <v>2074</v>
      </c>
      <c r="D43" s="2812">
        <f>SUM(D44:D46)</f>
        <v>0.1755277777056867</v>
      </c>
      <c r="E43" s="2812">
        <f>SUM(E44:E46)</f>
        <v>6.7290601354527885E-2</v>
      </c>
      <c r="F43" s="1"/>
      <c r="G43" s="1"/>
      <c r="H43" s="1"/>
    </row>
    <row r="44" spans="1:8" ht="15.6">
      <c r="A44" s="1"/>
      <c r="B44" s="2818"/>
      <c r="C44" s="2820" t="s">
        <v>2070</v>
      </c>
      <c r="D44" s="2821">
        <f>E44/_xlfn.XLOOKUP(C44,C$4:C$7,E$4:E$7,"ERROR")*_xlfn.XLOOKUP(C44,C$4:C$7,D$4:D$7,"ERROR")</f>
        <v>0</v>
      </c>
      <c r="E44" s="2821">
        <f>Residential!C51+Commercial!D61+Industrial!F123</f>
        <v>0</v>
      </c>
      <c r="F44" s="1"/>
      <c r="G44" s="1"/>
      <c r="H44" s="1"/>
    </row>
    <row r="45" spans="1:8" ht="15.6">
      <c r="A45" s="1"/>
      <c r="B45" s="2818"/>
      <c r="C45" s="2820" t="s">
        <v>2071</v>
      </c>
      <c r="D45" s="2821">
        <f t="shared" ref="D45:D46" si="15">E45/_xlfn.XLOOKUP(C45,C$4:C$7,E$4:E$7,"ERROR")*_xlfn.XLOOKUP(C45,C$4:C$7,D$4:D$7,"ERROR")</f>
        <v>0.16243018268029161</v>
      </c>
      <c r="E45" s="2821">
        <f>Residential!E51+Commercial!E61+Industrial!G123</f>
        <v>5.4143394226763869E-2</v>
      </c>
      <c r="F45" s="1"/>
      <c r="G45" s="1"/>
      <c r="H45" s="1"/>
    </row>
    <row r="46" spans="1:8" ht="15.6">
      <c r="A46" s="1"/>
      <c r="B46" s="2822"/>
      <c r="C46" s="2820" t="s">
        <v>2072</v>
      </c>
      <c r="D46" s="2821">
        <f t="shared" si="15"/>
        <v>1.3097595025395087E-2</v>
      </c>
      <c r="E46" s="2821">
        <f>Residential!D51+Commercial!F61+Industrial!H123</f>
        <v>1.3147207127764009E-2</v>
      </c>
      <c r="F46" s="1"/>
      <c r="G46" s="1"/>
      <c r="H46" s="1"/>
    </row>
    <row r="47" spans="1:8" ht="14.4">
      <c r="A47" s="1"/>
      <c r="B47" s="2813" t="s">
        <v>15</v>
      </c>
      <c r="C47" s="2814"/>
      <c r="D47" s="2815">
        <f t="shared" ref="D47" si="16">D48+D52+D56+D60+D64+D68+D72+D76</f>
        <v>33.981137553235435</v>
      </c>
      <c r="E47" s="2815">
        <f t="shared" ref="E47" si="17">E48+E52+E56+E60+E64+E68+E72+E76</f>
        <v>33.902907059990667</v>
      </c>
      <c r="F47" s="1"/>
      <c r="G47" s="1"/>
      <c r="H47" s="1"/>
    </row>
    <row r="48" spans="1:8" ht="14.4">
      <c r="A48" s="1"/>
      <c r="B48" s="2816"/>
      <c r="C48" s="2823" t="s">
        <v>16</v>
      </c>
      <c r="D48" s="2812">
        <f>SUM(D49:D51)</f>
        <v>22.408664469416433</v>
      </c>
      <c r="E48" s="2812">
        <f>SUM(E49:E51)</f>
        <v>22.391882240751229</v>
      </c>
      <c r="F48" s="1"/>
      <c r="G48" s="1"/>
      <c r="H48" s="1"/>
    </row>
    <row r="49" spans="1:8" ht="15.6">
      <c r="A49" s="1"/>
      <c r="B49" s="2818"/>
      <c r="C49" s="2820" t="s">
        <v>2070</v>
      </c>
      <c r="D49" s="2821">
        <f>E49/_xlfn.XLOOKUP(C49,C$4:C$7,E$4:E$7,"ERROR")*_xlfn.XLOOKUP(C49,C$4:C$7,D$4:D$7,"ERROR")</f>
        <v>22.322882906572659</v>
      </c>
      <c r="E49" s="2821">
        <f>On_Road_Transportation!C34+On_Road_Transportation!F34</f>
        <v>22.322882906572659</v>
      </c>
      <c r="F49" s="1"/>
      <c r="G49" s="8"/>
      <c r="H49" s="1"/>
    </row>
    <row r="50" spans="1:8" ht="15.6">
      <c r="A50" s="1"/>
      <c r="B50" s="2818"/>
      <c r="C50" s="2820" t="s">
        <v>2071</v>
      </c>
      <c r="D50" s="2821">
        <f t="shared" ref="D50:D51" si="18">E50/_xlfn.XLOOKUP(C50,C$4:C$7,E$4:E$7,"ERROR")*_xlfn.XLOOKUP(C50,C$4:C$7,D$4:D$7,"ERROR")</f>
        <v>2.5515762318969619E-2</v>
      </c>
      <c r="E50" s="2821">
        <f>On_Road_Transportation!R55</f>
        <v>8.5052541063232057E-3</v>
      </c>
      <c r="F50" s="1"/>
      <c r="G50" s="1"/>
      <c r="H50" s="1"/>
    </row>
    <row r="51" spans="1:8" ht="15.6">
      <c r="A51" s="1"/>
      <c r="B51" s="2818"/>
      <c r="C51" s="2820" t="s">
        <v>2072</v>
      </c>
      <c r="D51" s="2821">
        <f t="shared" si="18"/>
        <v>6.0265800524804423E-2</v>
      </c>
      <c r="E51" s="2821">
        <f>On_Road_Transportation!K55</f>
        <v>6.0494080072246867E-2</v>
      </c>
      <c r="F51" s="1"/>
      <c r="G51" s="1"/>
      <c r="H51" s="1"/>
    </row>
    <row r="52" spans="1:8" ht="14.4">
      <c r="A52" s="1"/>
      <c r="B52" s="2818"/>
      <c r="C52" s="2823" t="s">
        <v>17</v>
      </c>
      <c r="D52" s="2812">
        <f>SUM(D53:D55)</f>
        <v>1.0116263593147941</v>
      </c>
      <c r="E52" s="2812">
        <f>SUM(E53:E55)</f>
        <v>0.96547611681327339</v>
      </c>
      <c r="F52" s="1"/>
      <c r="G52" s="1"/>
      <c r="H52" s="1"/>
    </row>
    <row r="53" spans="1:8" ht="15.6">
      <c r="A53" s="1"/>
      <c r="B53" s="2818"/>
      <c r="C53" s="2820" t="s">
        <v>2070</v>
      </c>
      <c r="D53" s="2821">
        <f>E53/_xlfn.XLOOKUP(C53,C$4:C$7,E$4:E$7,"ERROR")*_xlfn.XLOOKUP(C53,C$4:C$7,D$4:D$7,"ERROR")</f>
        <v>0.942400995562513</v>
      </c>
      <c r="E53" s="2821">
        <f>Non_Road_Transportation!F9</f>
        <v>0.942400995562513</v>
      </c>
      <c r="F53" s="1"/>
      <c r="G53" s="1"/>
      <c r="H53" s="1"/>
    </row>
    <row r="54" spans="1:8" ht="15.6">
      <c r="A54" s="1"/>
      <c r="B54" s="2818"/>
      <c r="C54" s="2820" t="s">
        <v>2071</v>
      </c>
      <c r="D54" s="2821">
        <f t="shared" ref="D54:D55" si="19">E54/_xlfn.XLOOKUP(C54,C$4:C$7,E$4:E$7,"ERROR")*_xlfn.XLOOKUP(C54,C$4:C$7,D$4:D$7,"ERROR")</f>
        <v>6.9225363752281124E-2</v>
      </c>
      <c r="E54" s="2821">
        <f>Non_Road_Transportation!E9</f>
        <v>2.3075121250760375E-2</v>
      </c>
      <c r="F54" s="1"/>
      <c r="G54" s="1"/>
      <c r="H54" s="1"/>
    </row>
    <row r="55" spans="1:8" ht="15.6">
      <c r="A55" s="1"/>
      <c r="B55" s="2818"/>
      <c r="C55" s="2820" t="s">
        <v>2072</v>
      </c>
      <c r="D55" s="2821">
        <f t="shared" si="19"/>
        <v>0</v>
      </c>
      <c r="E55" s="2821">
        <v>0</v>
      </c>
      <c r="F55" s="1"/>
      <c r="G55" s="1"/>
      <c r="H55" s="1"/>
    </row>
    <row r="56" spans="1:8" ht="14.4">
      <c r="A56" s="1"/>
      <c r="B56" s="2818"/>
      <c r="C56" s="2823" t="s">
        <v>18</v>
      </c>
      <c r="D56" s="2812">
        <f>SUM(D57:D59)</f>
        <v>6.1732978976610768</v>
      </c>
      <c r="E56" s="2812">
        <f>SUM(E57:E59)</f>
        <v>6.1731242674091966</v>
      </c>
      <c r="F56" s="1"/>
      <c r="G56" s="1"/>
      <c r="H56" s="1"/>
    </row>
    <row r="57" spans="1:8" ht="15.6">
      <c r="A57" s="1"/>
      <c r="B57" s="2818"/>
      <c r="C57" s="2820" t="s">
        <v>2070</v>
      </c>
      <c r="D57" s="2821">
        <f>E57/_xlfn.XLOOKUP(C57,C$4:C$7,E$4:E$7,"ERROR")*_xlfn.XLOOKUP(C57,C$4:C$7,D$4:D$7,"ERROR")</f>
        <v>6.1566240090815114</v>
      </c>
      <c r="E57" s="2821">
        <f>On_Road_Transportation!D34</f>
        <v>6.1566240090815114</v>
      </c>
      <c r="F57" s="1"/>
      <c r="G57" s="1"/>
      <c r="H57" s="1"/>
    </row>
    <row r="58" spans="1:8" ht="15.6">
      <c r="A58" s="1"/>
      <c r="B58" s="2818"/>
      <c r="C58" s="2820" t="s">
        <v>2071</v>
      </c>
      <c r="D58" s="2821">
        <f t="shared" ref="D58:D59" si="20">E58/_xlfn.XLOOKUP(C58,C$4:C$7,E$4:E$7,"ERROR")*_xlfn.XLOOKUP(C58,C$4:C$7,D$4:D$7,"ERROR")</f>
        <v>3.531766953440346E-4</v>
      </c>
      <c r="E58" s="2821">
        <f>On_Road_Transportation!R54</f>
        <v>1.1772556511467819E-4</v>
      </c>
      <c r="F58" s="1"/>
      <c r="G58" s="1"/>
      <c r="H58" s="1"/>
    </row>
    <row r="59" spans="1:8" ht="15.6">
      <c r="A59" s="1"/>
      <c r="B59" s="2818"/>
      <c r="C59" s="2820" t="s">
        <v>2072</v>
      </c>
      <c r="D59" s="2821">
        <f t="shared" si="20"/>
        <v>1.6320711884221229E-2</v>
      </c>
      <c r="E59" s="2821">
        <f>On_Road_Transportation!K54</f>
        <v>1.6382532762570554E-2</v>
      </c>
      <c r="F59" s="1"/>
      <c r="G59" s="1"/>
      <c r="H59" s="1"/>
    </row>
    <row r="60" spans="1:8" ht="14.4">
      <c r="A60" s="1"/>
      <c r="B60" s="2818"/>
      <c r="C60" s="2823" t="s">
        <v>19</v>
      </c>
      <c r="D60" s="2812">
        <f>SUM(D61:D63)</f>
        <v>0.95636254068686311</v>
      </c>
      <c r="E60" s="2812">
        <f>SUM(E61:E63)</f>
        <v>0.95511982783965599</v>
      </c>
      <c r="F60" s="1"/>
      <c r="G60" s="1"/>
      <c r="H60" s="1"/>
    </row>
    <row r="61" spans="1:8" ht="15.6">
      <c r="A61" s="1"/>
      <c r="B61" s="2818"/>
      <c r="C61" s="2820" t="s">
        <v>2070</v>
      </c>
      <c r="D61" s="2821">
        <f>E61/_xlfn.XLOOKUP(C61,C$4:C$7,E$4:E$7,"ERROR")*_xlfn.XLOOKUP(C61,C$4:C$7,D$4:D$7,"ERROR")</f>
        <v>0.95449847141605249</v>
      </c>
      <c r="E61" s="2821">
        <f>Non_Road_Transportation!F12</f>
        <v>0.95449847141605249</v>
      </c>
      <c r="F61" s="1"/>
      <c r="G61" s="1"/>
      <c r="H61" s="1"/>
    </row>
    <row r="62" spans="1:8" ht="15.6">
      <c r="A62" s="1"/>
      <c r="B62" s="2818"/>
      <c r="C62" s="2820" t="s">
        <v>2071</v>
      </c>
      <c r="D62" s="2821">
        <f t="shared" ref="D62:D63" si="21">E62/_xlfn.XLOOKUP(C62,C$4:C$7,E$4:E$7,"ERROR")*_xlfn.XLOOKUP(C62,C$4:C$7,D$4:D$7,"ERROR")</f>
        <v>1.8640692708106208E-3</v>
      </c>
      <c r="E62" s="2821">
        <f>Non_Road_Transportation!E12</f>
        <v>6.2135642360354026E-4</v>
      </c>
      <c r="F62" s="1"/>
      <c r="G62" s="1"/>
      <c r="H62" s="1"/>
    </row>
    <row r="63" spans="1:8" ht="15.6">
      <c r="A63" s="1"/>
      <c r="B63" s="2818"/>
      <c r="C63" s="2820" t="s">
        <v>2072</v>
      </c>
      <c r="D63" s="2821">
        <f t="shared" si="21"/>
        <v>0</v>
      </c>
      <c r="E63" s="2821">
        <v>0</v>
      </c>
      <c r="F63" s="1"/>
      <c r="G63" s="1"/>
      <c r="H63" s="1"/>
    </row>
    <row r="64" spans="1:8" ht="14.4">
      <c r="A64" s="1"/>
      <c r="B64" s="2818"/>
      <c r="C64" s="2823" t="s">
        <v>20</v>
      </c>
      <c r="D64" s="2812">
        <f>SUM(D65:D67)</f>
        <v>0.1676629745393747</v>
      </c>
      <c r="E64" s="2812">
        <f>SUM(E65:E67)</f>
        <v>0.16693936926888253</v>
      </c>
      <c r="F64" s="1"/>
      <c r="G64" s="1"/>
      <c r="H64" s="1"/>
    </row>
    <row r="65" spans="1:6" ht="15.6">
      <c r="A65" s="1"/>
      <c r="B65" s="2818"/>
      <c r="C65" s="2820" t="s">
        <v>2070</v>
      </c>
      <c r="D65" s="2821">
        <f>E65/_xlfn.XLOOKUP(C65,C$4:C$7,E$4:E$7,"ERROR")*_xlfn.XLOOKUP(C65,C$4:C$7,D$4:D$7,"ERROR")</f>
        <v>0.16547344479848894</v>
      </c>
      <c r="E65" s="2821">
        <f>Others_Transportation!C55</f>
        <v>0.16547344479848894</v>
      </c>
      <c r="F65" s="1"/>
    </row>
    <row r="66" spans="1:6" ht="15.6">
      <c r="A66" s="1"/>
      <c r="B66" s="2818"/>
      <c r="C66" s="2820" t="s">
        <v>2071</v>
      </c>
      <c r="D66" s="2821">
        <f t="shared" ref="D66:D67" si="22">E66/_xlfn.XLOOKUP(C66,C$4:C$7,E$4:E$7,"ERROR")*_xlfn.XLOOKUP(C66,C$4:C$7,D$4:D$7,"ERROR")</f>
        <v>1.091645882208E-3</v>
      </c>
      <c r="E66" s="2821">
        <f>Others_Transportation!E55</f>
        <v>3.6388196073600001E-4</v>
      </c>
      <c r="F66" s="1"/>
    </row>
    <row r="67" spans="1:6" ht="15.6">
      <c r="A67" s="1"/>
      <c r="B67" s="2818"/>
      <c r="C67" s="2820" t="s">
        <v>2072</v>
      </c>
      <c r="D67" s="2821">
        <f t="shared" si="22"/>
        <v>1.0978838586777602E-3</v>
      </c>
      <c r="E67" s="2821">
        <f>Others_Transportation!G55</f>
        <v>1.1020425096576001E-3</v>
      </c>
      <c r="F67" s="1"/>
    </row>
    <row r="68" spans="1:6" ht="14.4">
      <c r="A68" s="1"/>
      <c r="B68" s="2818"/>
      <c r="C68" s="2823" t="s">
        <v>21</v>
      </c>
      <c r="D68" s="2812">
        <f>SUM(D69:D71)</f>
        <v>0.11539497831574894</v>
      </c>
      <c r="E68" s="2812">
        <f>SUM(E69:E71)</f>
        <v>0.11504501437085569</v>
      </c>
      <c r="F68" s="1"/>
    </row>
    <row r="69" spans="1:6" ht="15.6">
      <c r="A69" s="1"/>
      <c r="B69" s="2818"/>
      <c r="C69" s="2820" t="s">
        <v>2070</v>
      </c>
      <c r="D69" s="2821">
        <f>E69/_xlfn.XLOOKUP(C69,C$4:C$7,E$4:E$7,"ERROR")*_xlfn.XLOOKUP(C69,C$4:C$7,D$4:D$7,"ERROR")</f>
        <v>0.11444207129168907</v>
      </c>
      <c r="E69" s="2821">
        <f>Non_Road_Transportation!F11+Others_Transportation!C56+Others_Transportation!C57</f>
        <v>0.11444207129168907</v>
      </c>
      <c r="F69" s="1"/>
    </row>
    <row r="70" spans="1:6" ht="15.6">
      <c r="A70" s="1"/>
      <c r="B70" s="2818"/>
      <c r="C70" s="2820" t="s">
        <v>2071</v>
      </c>
      <c r="D70" s="2821">
        <f t="shared" ref="D70:D71" si="23">E70/_xlfn.XLOOKUP(C70,C$4:C$7,E$4:E$7,"ERROR")*_xlfn.XLOOKUP(C70,C$4:C$7,D$4:D$7,"ERROR")</f>
        <v>5.273637766998689E-4</v>
      </c>
      <c r="E70" s="2821">
        <f>Non_Road_Transportation!E11+Others_Transportation!E56+Others_Transportation!E57</f>
        <v>1.7578792556662297E-4</v>
      </c>
      <c r="F70" s="1"/>
    </row>
    <row r="71" spans="1:6" ht="15.6">
      <c r="A71" s="1"/>
      <c r="B71" s="2818"/>
      <c r="C71" s="2820" t="s">
        <v>2072</v>
      </c>
      <c r="D71" s="2821">
        <f t="shared" si="23"/>
        <v>4.2554324736000001E-4</v>
      </c>
      <c r="E71" s="2821">
        <f>Others_Transportation!G56+Others_Transportation!G57</f>
        <v>4.2715515359999999E-4</v>
      </c>
      <c r="F71" s="1"/>
    </row>
    <row r="72" spans="1:6" ht="14.4">
      <c r="A72" s="1"/>
      <c r="B72" s="2818"/>
      <c r="C72" s="2823" t="s">
        <v>22</v>
      </c>
      <c r="D72" s="2812">
        <f>SUM(D73:D75)</f>
        <v>0.34244156114806118</v>
      </c>
      <c r="E72" s="2812">
        <f>SUM(E73:E75)</f>
        <v>0.33433694098992339</v>
      </c>
      <c r="F72" s="1"/>
    </row>
    <row r="73" spans="1:6" ht="15.6">
      <c r="A73" s="1"/>
      <c r="B73" s="2818"/>
      <c r="C73" s="2820" t="s">
        <v>2070</v>
      </c>
      <c r="D73" s="2821">
        <f>E73/_xlfn.XLOOKUP(C73,C$4:C$7,E$4:E$7,"ERROR")*_xlfn.XLOOKUP(C73,C$4:C$7,D$4:D$7,"ERROR")</f>
        <v>0.33028463091085447</v>
      </c>
      <c r="E73" s="2821">
        <f>On_Road_Transportation!E34+Non_Road_Transportation!F8+Non_Road_Transportation!F10+Others_Transportation!C58</f>
        <v>0.33028463091085447</v>
      </c>
      <c r="F73" s="1"/>
    </row>
    <row r="74" spans="1:6" ht="15.6">
      <c r="A74" s="1"/>
      <c r="B74" s="2818"/>
      <c r="C74" s="2820" t="s">
        <v>2071</v>
      </c>
      <c r="D74" s="2821">
        <f t="shared" ref="D74:D75" si="24">E74/_xlfn.XLOOKUP(C74,C$4:C$7,E$4:E$7,"ERROR")*_xlfn.XLOOKUP(C74,C$4:C$7,D$4:D$7,"ERROR")</f>
        <v>1.2156930237206735E-2</v>
      </c>
      <c r="E74" s="2821">
        <f>Non_Road_Transportation!E8+Non_Road_Transportation!E10+Others_Transportation!E58</f>
        <v>4.0523100790689119E-3</v>
      </c>
      <c r="F74" s="1"/>
    </row>
    <row r="75" spans="1:6" ht="15.6">
      <c r="A75" s="1"/>
      <c r="B75" s="2818"/>
      <c r="C75" s="2820" t="s">
        <v>2072</v>
      </c>
      <c r="D75" s="2821">
        <f t="shared" si="24"/>
        <v>0</v>
      </c>
      <c r="E75" s="2821">
        <f>Others_Transportation!G58</f>
        <v>0</v>
      </c>
      <c r="F75" s="1"/>
    </row>
    <row r="76" spans="1:6" ht="14.4">
      <c r="A76" s="1"/>
      <c r="B76" s="2818"/>
      <c r="C76" s="2823" t="s">
        <v>23</v>
      </c>
      <c r="D76" s="2812">
        <f>SUM(D77:D79)</f>
        <v>2.805686772153086</v>
      </c>
      <c r="E76" s="2812">
        <f>SUM(E77:E79)</f>
        <v>2.8009832825476457</v>
      </c>
      <c r="F76" s="1"/>
    </row>
    <row r="77" spans="1:6" ht="15.6">
      <c r="A77" s="1"/>
      <c r="B77" s="2818"/>
      <c r="C77" s="2820" t="s">
        <v>2070</v>
      </c>
      <c r="D77" s="2821">
        <f>E77/_xlfn.XLOOKUP(C77,C$4:C$7,E$4:E$7,"ERROR")*_xlfn.XLOOKUP(C77,C$4:C$7,D$4:D$7,"ERROR")</f>
        <v>2.7760037865767657</v>
      </c>
      <c r="E77" s="2821">
        <f>Others_Transportation!C53+Others_Transportation!C54</f>
        <v>2.7760037865767657</v>
      </c>
      <c r="F77" s="1"/>
    </row>
    <row r="78" spans="1:6" ht="15.6">
      <c r="A78" s="1"/>
      <c r="B78" s="2818"/>
      <c r="C78" s="2820" t="s">
        <v>2071</v>
      </c>
      <c r="D78" s="2821">
        <f t="shared" ref="D78:D79" si="25">E78/_xlfn.XLOOKUP(C78,C$4:C$7,E$4:E$7,"ERROR")*_xlfn.XLOOKUP(C78,C$4:C$7,D$4:D$7,"ERROR")</f>
        <v>7.1830748102400003E-3</v>
      </c>
      <c r="E78" s="2821">
        <f>Others_Transportation!E53+Others_Transportation!E54</f>
        <v>2.3943582700800001E-3</v>
      </c>
      <c r="F78" s="1"/>
    </row>
    <row r="79" spans="1:6" ht="15.6">
      <c r="A79" s="1"/>
      <c r="B79" s="2822"/>
      <c r="C79" s="2820" t="s">
        <v>2072</v>
      </c>
      <c r="D79" s="2821">
        <f t="shared" si="25"/>
        <v>2.2499910766079999E-2</v>
      </c>
      <c r="E79" s="2821">
        <f>Others_Transportation!G53+Others_Transportation!G54</f>
        <v>2.25851377008E-2</v>
      </c>
      <c r="F79" s="1"/>
    </row>
    <row r="80" spans="1:6" ht="14.4">
      <c r="A80" s="1"/>
      <c r="B80" s="2813" t="s">
        <v>24</v>
      </c>
      <c r="C80" s="2814"/>
      <c r="D80" s="2815">
        <f t="shared" ref="D80" si="26">D81+D85+D89</f>
        <v>3.932257278891631</v>
      </c>
      <c r="E80" s="2815">
        <f t="shared" ref="E80" si="27">E81+E85+E89</f>
        <v>1.5783271497305025</v>
      </c>
      <c r="F80" s="1"/>
    </row>
    <row r="81" spans="1:6" ht="14.4">
      <c r="A81" s="1"/>
      <c r="B81" s="2816"/>
      <c r="C81" s="2823" t="s">
        <v>2075</v>
      </c>
      <c r="D81" s="2812">
        <f>SUM(D82:D84)</f>
        <v>3.5689218533364309</v>
      </c>
      <c r="E81" s="2812">
        <f>SUM(E82:E84)</f>
        <v>1.4572153412121025</v>
      </c>
      <c r="F81" s="1"/>
    </row>
    <row r="82" spans="1:6" ht="15.6">
      <c r="A82" s="1"/>
      <c r="B82" s="2818"/>
      <c r="C82" s="2820" t="s">
        <v>2070</v>
      </c>
      <c r="D82" s="2821">
        <f>E82/_xlfn.XLOOKUP(C82,C$4:C$7,E$4:E$7,"ERROR")*_xlfn.XLOOKUP(C82,C$4:C$7,D$4:D$7,"ERROR")</f>
        <v>0.40115176615733139</v>
      </c>
      <c r="E82" s="2821">
        <f>'Natural Gas and Oil'!H69</f>
        <v>0.40115176615733139</v>
      </c>
      <c r="F82" s="1"/>
    </row>
    <row r="83" spans="1:6" ht="15.6">
      <c r="A83" s="1"/>
      <c r="B83" s="2818"/>
      <c r="C83" s="2820" t="s">
        <v>2071</v>
      </c>
      <c r="D83" s="2821">
        <f t="shared" ref="D83:D84" si="28">E83/_xlfn.XLOOKUP(C83,C$4:C$7,E$4:E$7,"ERROR")*_xlfn.XLOOKUP(C83,C$4:C$7,D$4:D$7,"ERROR")</f>
        <v>3.1675609564293885</v>
      </c>
      <c r="E83" s="2821">
        <f>'Natural Gas and Oil'!J69+'Natural Gas and Oil'!F50+'Natural Gas and Oil'!F33+'Natural Gas and Oil'!F10</f>
        <v>1.0558536521431294</v>
      </c>
      <c r="F83" s="1"/>
    </row>
    <row r="84" spans="1:6" ht="15.6">
      <c r="A84" s="1"/>
      <c r="B84" s="2818"/>
      <c r="C84" s="2820" t="s">
        <v>2072</v>
      </c>
      <c r="D84" s="2821">
        <f t="shared" si="28"/>
        <v>2.0913074971095242E-4</v>
      </c>
      <c r="E84" s="2821">
        <f>'Natural Gas and Oil'!I69</f>
        <v>2.0992291164167572E-4</v>
      </c>
      <c r="F84" s="1"/>
    </row>
    <row r="85" spans="1:6" ht="14.4">
      <c r="A85" s="1"/>
      <c r="B85" s="2818"/>
      <c r="C85" s="2823" t="s">
        <v>2076</v>
      </c>
      <c r="D85" s="2812">
        <f>SUM(D86:D88)</f>
        <v>0</v>
      </c>
      <c r="E85" s="2812">
        <f>SUM(E86:E88)</f>
        <v>0</v>
      </c>
      <c r="F85" s="1"/>
    </row>
    <row r="86" spans="1:6" ht="15.6">
      <c r="A86" s="1"/>
      <c r="B86" s="2818"/>
      <c r="C86" s="2820" t="s">
        <v>2070</v>
      </c>
      <c r="D86" s="2821">
        <f>E86/_xlfn.XLOOKUP(C86,C$4:C$7,E$4:E$7,"ERROR")*_xlfn.XLOOKUP(C86,C$4:C$7,D$4:D$7,"ERROR")</f>
        <v>0</v>
      </c>
      <c r="E86" s="2821">
        <v>0</v>
      </c>
      <c r="F86" s="1"/>
    </row>
    <row r="87" spans="1:6" ht="15.6">
      <c r="A87" s="1"/>
      <c r="B87" s="2818"/>
      <c r="C87" s="2820" t="s">
        <v>2071</v>
      </c>
      <c r="D87" s="2821">
        <f t="shared" ref="D87:D88" si="29">E87/_xlfn.XLOOKUP(C87,C$4:C$7,E$4:E$7,"ERROR")*_xlfn.XLOOKUP(C87,C$4:C$7,D$4:D$7,"ERROR")</f>
        <v>0</v>
      </c>
      <c r="E87" s="2821">
        <v>0</v>
      </c>
      <c r="F87" s="1"/>
    </row>
    <row r="88" spans="1:6" ht="15.6">
      <c r="A88" s="1"/>
      <c r="B88" s="2818"/>
      <c r="C88" s="2820" t="s">
        <v>2072</v>
      </c>
      <c r="D88" s="2821">
        <f t="shared" si="29"/>
        <v>0</v>
      </c>
      <c r="E88" s="2821">
        <v>0</v>
      </c>
      <c r="F88" s="1"/>
    </row>
    <row r="89" spans="1:6" ht="14.4">
      <c r="A89" s="1"/>
      <c r="B89" s="2818"/>
      <c r="C89" s="2823" t="s">
        <v>1743</v>
      </c>
      <c r="D89" s="2812">
        <f>SUM(D90:D92)</f>
        <v>0.36333542555519999</v>
      </c>
      <c r="E89" s="2812">
        <f>SUM(E90:E92)</f>
        <v>0.12111180851839999</v>
      </c>
      <c r="F89" s="1"/>
    </row>
    <row r="90" spans="1:6" ht="15.6">
      <c r="A90" s="1"/>
      <c r="B90" s="2818"/>
      <c r="C90" s="2820" t="s">
        <v>2070</v>
      </c>
      <c r="D90" s="2821">
        <f>E90/_xlfn.XLOOKUP(C90,C$4:C$7,E$4:E$7,"ERROR")*_xlfn.XLOOKUP(C90,C$4:C$7,D$4:D$7,"ERROR")</f>
        <v>0</v>
      </c>
      <c r="E90" s="2821">
        <v>0</v>
      </c>
      <c r="F90" s="1"/>
    </row>
    <row r="91" spans="1:6" ht="15.6">
      <c r="A91" s="1"/>
      <c r="B91" s="2818"/>
      <c r="C91" s="2820" t="s">
        <v>2071</v>
      </c>
      <c r="D91" s="2821">
        <f t="shared" ref="D91:D92" si="30">E91/_xlfn.XLOOKUP(C91,C$4:C$7,E$4:E$7,"ERROR")*_xlfn.XLOOKUP(C91,C$4:C$7,D$4:D$7,"ERROR")</f>
        <v>0.36333542555519999</v>
      </c>
      <c r="E91" s="2821">
        <f>Mining!C35+Mining!C36</f>
        <v>0.12111180851839999</v>
      </c>
      <c r="F91" s="1"/>
    </row>
    <row r="92" spans="1:6" ht="15.6">
      <c r="A92" s="1"/>
      <c r="B92" s="2822"/>
      <c r="C92" s="2820" t="s">
        <v>2072</v>
      </c>
      <c r="D92" s="2821">
        <f t="shared" si="30"/>
        <v>0</v>
      </c>
      <c r="E92" s="2821">
        <v>0</v>
      </c>
      <c r="F92" s="1"/>
    </row>
    <row r="93" spans="1:6" ht="14.4">
      <c r="A93" s="1"/>
      <c r="B93" s="2813" t="s">
        <v>25</v>
      </c>
      <c r="C93" s="2824"/>
      <c r="D93" s="2825">
        <f t="shared" ref="D93" si="31">D94+D98+D102+D106+D110+D114+D118+D122+D126</f>
        <v>6.7120143916608459</v>
      </c>
      <c r="E93" s="2825">
        <f t="shared" ref="E93" si="32">E94+E98+E102+E106+E110+E114+E118+E122+E126</f>
        <v>4.0079013083304007</v>
      </c>
      <c r="F93" s="1"/>
    </row>
    <row r="94" spans="1:6" ht="14.4">
      <c r="A94" s="1"/>
      <c r="B94" s="2816"/>
      <c r="C94" s="2823" t="s">
        <v>1296</v>
      </c>
      <c r="D94" s="2812">
        <f>SUM(D95:D97)</f>
        <v>1.5118397266608463</v>
      </c>
      <c r="E94" s="2812">
        <f>SUM(E95:E97)</f>
        <v>1.5118397266608463</v>
      </c>
      <c r="F94" s="1"/>
    </row>
    <row r="95" spans="1:6" ht="15.6">
      <c r="A95" s="1"/>
      <c r="B95" s="2818"/>
      <c r="C95" s="2820" t="s">
        <v>2070</v>
      </c>
      <c r="D95" s="2821">
        <f>E95/_xlfn.XLOOKUP(C95,C$4:C$7,E$4:E$7,"ERROR")*_xlfn.XLOOKUP(C95,C$4:C$7,D$4:D$7,"ERROR")</f>
        <v>1.5118397266608463</v>
      </c>
      <c r="E95" s="2821">
        <f>Cement!G84</f>
        <v>1.5118397266608463</v>
      </c>
      <c r="F95" s="1"/>
    </row>
    <row r="96" spans="1:6" ht="15.6">
      <c r="A96" s="1"/>
      <c r="B96" s="2818"/>
      <c r="C96" s="2820" t="s">
        <v>2071</v>
      </c>
      <c r="D96" s="2821">
        <f t="shared" ref="D96:D97" si="33">E96/_xlfn.XLOOKUP(C96,C$4:C$7,E$4:E$7,"ERROR")*_xlfn.XLOOKUP(C96,C$4:C$7,D$4:D$7,"ERROR")</f>
        <v>0</v>
      </c>
      <c r="E96" s="2821">
        <v>0</v>
      </c>
      <c r="F96" s="1"/>
    </row>
    <row r="97" spans="1:6" ht="15.6">
      <c r="A97" s="1"/>
      <c r="B97" s="2818"/>
      <c r="C97" s="2820" t="s">
        <v>2072</v>
      </c>
      <c r="D97" s="2821">
        <f t="shared" si="33"/>
        <v>0</v>
      </c>
      <c r="E97" s="2821">
        <v>0</v>
      </c>
      <c r="F97" s="1"/>
    </row>
    <row r="98" spans="1:6" ht="14.4">
      <c r="A98" s="1"/>
      <c r="B98" s="2818"/>
      <c r="C98" s="2823" t="s">
        <v>2077</v>
      </c>
      <c r="D98" s="2812">
        <f>SUM(D99:D101)</f>
        <v>0.14589123999999998</v>
      </c>
      <c r="E98" s="2812">
        <f>SUM(E99:E101)</f>
        <v>0.14589123999999998</v>
      </c>
      <c r="F98" s="1"/>
    </row>
    <row r="99" spans="1:6" ht="15.6">
      <c r="A99" s="1"/>
      <c r="B99" s="2818"/>
      <c r="C99" s="2820" t="s">
        <v>2070</v>
      </c>
      <c r="D99" s="2821">
        <f>E99/_xlfn.XLOOKUP(C99,C$4:C$7,E$4:E$7,"ERROR")*_xlfn.XLOOKUP(C99,C$4:C$7,D$4:D$7,"ERROR")</f>
        <v>0.14589123999999998</v>
      </c>
      <c r="E99" s="2821">
        <f>'LimeT&amp;DSodaODS'!D44/1000000</f>
        <v>0.14589123999999998</v>
      </c>
      <c r="F99" s="1"/>
    </row>
    <row r="100" spans="1:6" ht="15.6">
      <c r="A100" s="1"/>
      <c r="B100" s="2818"/>
      <c r="C100" s="2820" t="s">
        <v>2071</v>
      </c>
      <c r="D100" s="2821">
        <f t="shared" ref="D100:D101" si="34">E100/_xlfn.XLOOKUP(C100,C$4:C$7,E$4:E$7,"ERROR")*_xlfn.XLOOKUP(C100,C$4:C$7,D$4:D$7,"ERROR")</f>
        <v>0</v>
      </c>
      <c r="E100" s="2821">
        <v>0</v>
      </c>
      <c r="F100" s="1"/>
    </row>
    <row r="101" spans="1:6" ht="15.6">
      <c r="A101" s="1"/>
      <c r="B101" s="2818"/>
      <c r="C101" s="2820" t="s">
        <v>2072</v>
      </c>
      <c r="D101" s="2821">
        <f t="shared" si="34"/>
        <v>0</v>
      </c>
      <c r="E101" s="2821">
        <v>0</v>
      </c>
      <c r="F101" s="1"/>
    </row>
    <row r="102" spans="1:6" ht="14.4">
      <c r="A102" s="1"/>
      <c r="B102" s="2818"/>
      <c r="C102" s="2823" t="s">
        <v>2078</v>
      </c>
      <c r="D102" s="2812">
        <f>SUM(D103:D105)</f>
        <v>3.9567759999999993E-2</v>
      </c>
      <c r="E102" s="2812">
        <f>SUM(E103:E105)</f>
        <v>3.9567759999999993E-2</v>
      </c>
      <c r="F102" s="1"/>
    </row>
    <row r="103" spans="1:6" ht="15.6">
      <c r="A103" s="1"/>
      <c r="B103" s="2818"/>
      <c r="C103" s="2820" t="s">
        <v>2070</v>
      </c>
      <c r="D103" s="2821">
        <f>E103/_xlfn.XLOOKUP(C103,C$4:C$7,E$4:E$7,"ERROR")*_xlfn.XLOOKUP(C103,C$4:C$7,D$4:D$7,"ERROR")</f>
        <v>3.9567759999999993E-2</v>
      </c>
      <c r="E103" s="2821">
        <f>'LimeT&amp;DSodaODS'!D45/1000000</f>
        <v>3.9567759999999993E-2</v>
      </c>
      <c r="F103" s="1"/>
    </row>
    <row r="104" spans="1:6" ht="15.6">
      <c r="A104" s="1"/>
      <c r="B104" s="2818"/>
      <c r="C104" s="2820" t="s">
        <v>2071</v>
      </c>
      <c r="D104" s="2821">
        <f t="shared" ref="D104:D105" si="35">E104/_xlfn.XLOOKUP(C104,C$4:C$7,E$4:E$7,"ERROR")*_xlfn.XLOOKUP(C104,C$4:C$7,D$4:D$7,"ERROR")</f>
        <v>0</v>
      </c>
      <c r="E104" s="2821">
        <v>0</v>
      </c>
      <c r="F104" s="1"/>
    </row>
    <row r="105" spans="1:6" ht="15.6">
      <c r="A105" s="1"/>
      <c r="B105" s="2818"/>
      <c r="C105" s="2820" t="s">
        <v>2072</v>
      </c>
      <c r="D105" s="2821">
        <f t="shared" si="35"/>
        <v>0</v>
      </c>
      <c r="E105" s="2821">
        <v>0</v>
      </c>
      <c r="F105" s="1"/>
    </row>
    <row r="106" spans="1:6" ht="14.4">
      <c r="A106" s="1"/>
      <c r="B106" s="2818"/>
      <c r="C106" s="2823" t="s">
        <v>2079</v>
      </c>
      <c r="D106" s="2812">
        <f>SUM(D107:D109)</f>
        <v>0</v>
      </c>
      <c r="E106" s="2812">
        <f>SUM(E107:E109)</f>
        <v>0</v>
      </c>
      <c r="F106" s="1"/>
    </row>
    <row r="107" spans="1:6" ht="15.6">
      <c r="A107" s="1"/>
      <c r="B107" s="2818"/>
      <c r="C107" s="2820" t="s">
        <v>2070</v>
      </c>
      <c r="D107" s="2821">
        <f>E107/_xlfn.XLOOKUP(C107,C$4:C$7,E$4:E$7,"ERROR")*_xlfn.XLOOKUP(C107,C$4:C$7,D$4:D$7,"ERROR")</f>
        <v>0</v>
      </c>
      <c r="E107" s="2821">
        <f>'Iron And Steel'!F18/1000000</f>
        <v>0</v>
      </c>
      <c r="F107" s="1"/>
    </row>
    <row r="108" spans="1:6" ht="15.6">
      <c r="A108" s="1"/>
      <c r="B108" s="2818"/>
      <c r="C108" s="2820" t="s">
        <v>2071</v>
      </c>
      <c r="D108" s="2821">
        <f t="shared" ref="D108:D109" si="36">E108/_xlfn.XLOOKUP(C108,C$4:C$7,E$4:E$7,"ERROR")*_xlfn.XLOOKUP(C108,C$4:C$7,D$4:D$7,"ERROR")</f>
        <v>0</v>
      </c>
      <c r="E108" s="2821">
        <v>0</v>
      </c>
      <c r="F108" s="1"/>
    </row>
    <row r="109" spans="1:6" ht="15.6">
      <c r="A109" s="1"/>
      <c r="B109" s="2818"/>
      <c r="C109" s="2820" t="s">
        <v>2072</v>
      </c>
      <c r="D109" s="2821">
        <f t="shared" si="36"/>
        <v>0</v>
      </c>
      <c r="E109" s="2821">
        <v>0</v>
      </c>
      <c r="F109" s="1"/>
    </row>
    <row r="110" spans="1:6" ht="14.4">
      <c r="A110" s="1"/>
      <c r="B110" s="2818"/>
      <c r="C110" s="2823" t="s">
        <v>1305</v>
      </c>
      <c r="D110" s="2812">
        <f>SUM(D111:D113)</f>
        <v>4.9836886749999998</v>
      </c>
      <c r="E110" s="2812">
        <f>SUM(E111:E113)</f>
        <v>2.2694415916695543</v>
      </c>
      <c r="F110" s="1"/>
    </row>
    <row r="111" spans="1:6" ht="15.6">
      <c r="A111" s="1"/>
      <c r="B111" s="2818"/>
      <c r="C111" s="2820" t="s">
        <v>2070</v>
      </c>
      <c r="D111" s="2821">
        <f>E111/_xlfn.XLOOKUP(C111,C$4:C$7,E$4:E$7,"ERROR")*_xlfn.XLOOKUP(C111,C$4:C$7,D$4:D$7,"ERROR")</f>
        <v>0</v>
      </c>
      <c r="E111" s="2821">
        <v>0</v>
      </c>
      <c r="F111" s="1"/>
    </row>
    <row r="112" spans="1:6" ht="15.6">
      <c r="A112" s="1"/>
      <c r="B112" s="2818"/>
      <c r="C112" s="2820" t="s">
        <v>2071</v>
      </c>
      <c r="D112" s="2821">
        <f t="shared" ref="D112" si="37">E112/_xlfn.XLOOKUP(C112,C$4:C$7,E$4:E$7,"ERROR")*_xlfn.XLOOKUP(C112,C$4:C$7,D$4:D$7,"ERROR")</f>
        <v>0</v>
      </c>
      <c r="E112" s="2821">
        <v>0</v>
      </c>
      <c r="F112" s="1"/>
    </row>
    <row r="113" spans="1:6" ht="15.6">
      <c r="A113" s="1"/>
      <c r="B113" s="2818"/>
      <c r="C113" s="2820" t="s">
        <v>2080</v>
      </c>
      <c r="D113" s="2821">
        <f>'LimeT&amp;DSodaODS'!AF16</f>
        <v>4.9836886749999998</v>
      </c>
      <c r="E113" s="2821">
        <f>'LimeT&amp;DSodaODS'!D52/1000000</f>
        <v>2.2694415916695543</v>
      </c>
      <c r="F113" s="1"/>
    </row>
    <row r="114" spans="1:6" ht="14.4">
      <c r="A114" s="1"/>
      <c r="B114" s="2818"/>
      <c r="C114" s="2823" t="s">
        <v>2081</v>
      </c>
      <c r="D114" s="2812">
        <f>SUM(D115:D117)</f>
        <v>2.9557500000000004E-2</v>
      </c>
      <c r="E114" s="2812">
        <f>SUM(E115:E117)</f>
        <v>3.9691500000000005E-2</v>
      </c>
      <c r="F114" s="1"/>
    </row>
    <row r="115" spans="1:6" ht="15.6">
      <c r="A115" s="1"/>
      <c r="B115" s="2818"/>
      <c r="C115" s="2820" t="s">
        <v>2070</v>
      </c>
      <c r="D115" s="2821">
        <f>E115/_xlfn.XLOOKUP(C115,C$4:C$7,E$4:E$7,"ERROR")*_xlfn.XLOOKUP(C115,C$4:C$7,D$4:D$7,"ERROR")</f>
        <v>0</v>
      </c>
      <c r="E115" s="2821">
        <v>0</v>
      </c>
      <c r="F115" s="1"/>
    </row>
    <row r="116" spans="1:6" ht="15.6">
      <c r="A116" s="1"/>
      <c r="B116" s="2818"/>
      <c r="C116" s="2820" t="s">
        <v>2071</v>
      </c>
      <c r="D116" s="2821">
        <f t="shared" ref="D116" si="38">E116/_xlfn.XLOOKUP(C116,C$4:C$7,E$4:E$7,"ERROR")*_xlfn.XLOOKUP(C116,C$4:C$7,D$4:D$7,"ERROR")</f>
        <v>0</v>
      </c>
      <c r="E116" s="2821">
        <v>0</v>
      </c>
      <c r="F116" s="1"/>
    </row>
    <row r="117" spans="1:6" ht="15.6">
      <c r="A117" s="1"/>
      <c r="B117" s="2818"/>
      <c r="C117" s="2820" t="s">
        <v>2080</v>
      </c>
      <c r="D117" s="2821">
        <f>E117/_xlfn.XLOOKUP("SF6",C$4:C$7,E$4:E$7,"ERROR")*_xlfn.XLOOKUP("SF6",C$4:C$7,D$4:D$7,"ERROR")</f>
        <v>2.9557500000000004E-2</v>
      </c>
      <c r="E117" s="2821">
        <f>'LimeT&amp;DSodaODS'!D55/1000000</f>
        <v>3.9691500000000005E-2</v>
      </c>
      <c r="F117" s="1"/>
    </row>
    <row r="118" spans="1:6" ht="14.4">
      <c r="A118" s="1"/>
      <c r="B118" s="2818"/>
      <c r="C118" s="2823" t="s">
        <v>1306</v>
      </c>
      <c r="D118" s="2812">
        <f>SUM(D119:D121)</f>
        <v>0</v>
      </c>
      <c r="E118" s="2812">
        <f>SUM(E119:E121)</f>
        <v>0</v>
      </c>
      <c r="F118" s="1"/>
    </row>
    <row r="119" spans="1:6" ht="15.6">
      <c r="A119" s="1"/>
      <c r="B119" s="2818"/>
      <c r="C119" s="2820" t="s">
        <v>2070</v>
      </c>
      <c r="D119" s="2821">
        <f>E119/_xlfn.XLOOKUP(C119,C$4:C$7,E$4:E$7,"ERROR")*_xlfn.XLOOKUP(C119,C$4:C$7,D$4:D$7,"ERROR")</f>
        <v>0</v>
      </c>
      <c r="E119" s="2821">
        <v>0</v>
      </c>
      <c r="F119" s="1"/>
    </row>
    <row r="120" spans="1:6" ht="15.6">
      <c r="A120" s="1"/>
      <c r="B120" s="2818"/>
      <c r="C120" s="2820" t="s">
        <v>2071</v>
      </c>
      <c r="D120" s="2821">
        <f t="shared" ref="D120" si="39">E120/_xlfn.XLOOKUP(C120,C$4:C$7,E$4:E$7,"ERROR")*_xlfn.XLOOKUP(C120,C$4:C$7,D$4:D$7,"ERROR")</f>
        <v>0</v>
      </c>
      <c r="E120" s="2821">
        <v>0</v>
      </c>
      <c r="F120" s="1"/>
    </row>
    <row r="121" spans="1:6" ht="15.6">
      <c r="A121" s="1"/>
      <c r="B121" s="2818"/>
      <c r="C121" s="2820" t="s">
        <v>2080</v>
      </c>
      <c r="D121" s="2821">
        <f>E121</f>
        <v>0</v>
      </c>
      <c r="E121" s="2821">
        <v>0</v>
      </c>
      <c r="F121" s="1"/>
    </row>
    <row r="122" spans="1:6" ht="14.4">
      <c r="A122" s="1"/>
      <c r="B122" s="2818"/>
      <c r="C122" s="2823" t="s">
        <v>2082</v>
      </c>
      <c r="D122" s="2812">
        <f>SUM(D123:D125)</f>
        <v>1.4694899999999999E-3</v>
      </c>
      <c r="E122" s="2812">
        <f>SUM(E123:E125)</f>
        <v>1.4694899999999999E-3</v>
      </c>
      <c r="F122" s="1"/>
    </row>
    <row r="123" spans="1:6" ht="15.6">
      <c r="A123" s="1"/>
      <c r="B123" s="2818"/>
      <c r="C123" s="2820" t="s">
        <v>2070</v>
      </c>
      <c r="D123" s="2821">
        <f>E123/_xlfn.XLOOKUP(C123,C$4:C$7,E$4:E$7,"ERROR")*_xlfn.XLOOKUP(C123,C$4:C$7,D$4:D$7,"ERROR")</f>
        <v>1.4694899999999999E-3</v>
      </c>
      <c r="E123" s="2821">
        <f>'LimeT&amp;DSodaODS'!D46/1000000</f>
        <v>1.4694899999999999E-3</v>
      </c>
      <c r="F123" s="1"/>
    </row>
    <row r="124" spans="1:6" ht="15.6">
      <c r="A124" s="1"/>
      <c r="B124" s="2818"/>
      <c r="C124" s="2820" t="s">
        <v>2071</v>
      </c>
      <c r="D124" s="2821">
        <f t="shared" ref="D124" si="40">E124/_xlfn.XLOOKUP(C124,C$4:C$7,E$4:E$7,"ERROR")*_xlfn.XLOOKUP(C124,C$4:C$7,D$4:D$7,"ERROR")</f>
        <v>0</v>
      </c>
      <c r="E124" s="2821">
        <v>0</v>
      </c>
      <c r="F124" s="1"/>
    </row>
    <row r="125" spans="1:6" ht="15.6">
      <c r="A125" s="1"/>
      <c r="B125" s="2818"/>
      <c r="C125" s="2820" t="s">
        <v>2080</v>
      </c>
      <c r="D125" s="2821">
        <f>E125</f>
        <v>0</v>
      </c>
      <c r="E125" s="2821">
        <v>0</v>
      </c>
      <c r="F125" s="1"/>
    </row>
    <row r="126" spans="1:6" ht="14.4">
      <c r="A126" s="1"/>
      <c r="B126" s="2818"/>
      <c r="C126" s="2823" t="s">
        <v>1310</v>
      </c>
      <c r="D126" s="2812">
        <f>SUM(D127:D129)</f>
        <v>0</v>
      </c>
      <c r="E126" s="2812">
        <f>SUM(E127:E129)</f>
        <v>0</v>
      </c>
      <c r="F126" s="1"/>
    </row>
    <row r="127" spans="1:6" ht="15.6">
      <c r="A127" s="1"/>
      <c r="B127" s="2818"/>
      <c r="C127" s="2820" t="s">
        <v>2070</v>
      </c>
      <c r="D127" s="2821">
        <f>E127/_xlfn.XLOOKUP(C127,C$4:C$7,E$4:E$7,"ERROR")*_xlfn.XLOOKUP(C127,C$4:C$7,D$4:D$7,"ERROR")</f>
        <v>0</v>
      </c>
      <c r="E127" s="2821">
        <v>0</v>
      </c>
      <c r="F127" s="1"/>
    </row>
    <row r="128" spans="1:6" ht="15.6">
      <c r="A128" s="1"/>
      <c r="B128" s="2818"/>
      <c r="C128" s="2820" t="s">
        <v>2071</v>
      </c>
      <c r="D128" s="2821">
        <f t="shared" ref="D128" si="41">E128/_xlfn.XLOOKUP(C128,C$4:C$7,E$4:E$7,"ERROR")*_xlfn.XLOOKUP(C128,C$4:C$7,D$4:D$7,"ERROR")</f>
        <v>0</v>
      </c>
      <c r="E128" s="2821">
        <v>0</v>
      </c>
      <c r="F128" s="1"/>
    </row>
    <row r="129" spans="1:6" ht="15.6">
      <c r="A129" s="1"/>
      <c r="B129" s="2822"/>
      <c r="C129" s="2820" t="s">
        <v>2080</v>
      </c>
      <c r="D129" s="2821">
        <f>E129</f>
        <v>0</v>
      </c>
      <c r="E129" s="2821">
        <v>0</v>
      </c>
      <c r="F129" s="1"/>
    </row>
    <row r="130" spans="1:6" ht="14.4">
      <c r="A130" s="1"/>
      <c r="B130" s="2813" t="s">
        <v>26</v>
      </c>
      <c r="C130" s="2824"/>
      <c r="D130" s="2815">
        <f t="shared" ref="D130" si="42">D131+D135+D139+D143+D147</f>
        <v>2.9196195687493716</v>
      </c>
      <c r="E130" s="2815">
        <f t="shared" ref="E130" si="43">E131+E135+E139+E143+E147</f>
        <v>1.6443183366986251</v>
      </c>
      <c r="F130" s="1"/>
    </row>
    <row r="131" spans="1:6" ht="14.4">
      <c r="A131" s="1"/>
      <c r="B131" s="2816"/>
      <c r="C131" s="2823" t="s">
        <v>27</v>
      </c>
      <c r="D131" s="2812">
        <f>SUM(D132:D134)</f>
        <v>1.5277994256</v>
      </c>
      <c r="E131" s="2812">
        <f>SUM(E132:E134)</f>
        <v>0.50926647520000001</v>
      </c>
      <c r="F131" s="1"/>
    </row>
    <row r="132" spans="1:6" ht="15.6">
      <c r="A132" s="1"/>
      <c r="B132" s="2818"/>
      <c r="C132" s="2820" t="s">
        <v>2070</v>
      </c>
      <c r="D132" s="2821">
        <f>E132/_xlfn.XLOOKUP(C132,C$4:C$7,E$4:E$7,"ERROR")*_xlfn.XLOOKUP(C132,C$4:C$7,D$4:D$7,"ERROR")</f>
        <v>0</v>
      </c>
      <c r="E132" s="2821">
        <v>0</v>
      </c>
      <c r="F132" s="1"/>
    </row>
    <row r="133" spans="1:6" ht="15.6">
      <c r="A133" s="1"/>
      <c r="B133" s="2818"/>
      <c r="C133" s="2820" t="s">
        <v>2071</v>
      </c>
      <c r="D133" s="2821">
        <f t="shared" ref="D133:D134" si="44">E133/_xlfn.XLOOKUP(C133,C$4:C$7,E$4:E$7,"ERROR")*_xlfn.XLOOKUP(C133,C$4:C$7,D$4:D$7,"ERROR")</f>
        <v>1.5277994256</v>
      </c>
      <c r="E133" s="2821">
        <f>Agricultural!M25</f>
        <v>0.50926647520000001</v>
      </c>
      <c r="F133" s="1"/>
    </row>
    <row r="134" spans="1:6" ht="15.6">
      <c r="A134" s="1"/>
      <c r="B134" s="2818"/>
      <c r="C134" s="2820" t="s">
        <v>2072</v>
      </c>
      <c r="D134" s="2821">
        <f t="shared" si="44"/>
        <v>0</v>
      </c>
      <c r="E134" s="2821">
        <v>0</v>
      </c>
      <c r="F134" s="1"/>
    </row>
    <row r="135" spans="1:6" ht="14.4">
      <c r="A135" s="1"/>
      <c r="B135" s="2818"/>
      <c r="C135" s="2823" t="s">
        <v>28</v>
      </c>
      <c r="D135" s="2812">
        <f>SUM(D136:D138)</f>
        <v>0.55715493922452797</v>
      </c>
      <c r="E135" s="2812">
        <f>SUM(E136:E138)</f>
        <v>0.30753006707484265</v>
      </c>
      <c r="F135" s="1"/>
    </row>
    <row r="136" spans="1:6" ht="15.6">
      <c r="A136" s="1"/>
      <c r="B136" s="2818"/>
      <c r="C136" s="2820" t="s">
        <v>2070</v>
      </c>
      <c r="D136" s="2821">
        <f>E136/_xlfn.XLOOKUP(C136,C$4:C$7,E$4:E$7,"ERROR")*_xlfn.XLOOKUP(C136,C$4:C$7,D$4:D$7,"ERROR")</f>
        <v>0</v>
      </c>
      <c r="E136" s="2821">
        <v>0</v>
      </c>
      <c r="F136" s="1"/>
    </row>
    <row r="137" spans="1:6" ht="15.6">
      <c r="A137" s="1"/>
      <c r="B137" s="2818"/>
      <c r="C137" s="2820" t="s">
        <v>2071</v>
      </c>
      <c r="D137" s="2821">
        <f t="shared" ref="D137:D138" si="45">E137/_xlfn.XLOOKUP(C137,C$4:C$7,E$4:E$7,"ERROR")*_xlfn.XLOOKUP(C137,C$4:C$7,D$4:D$7,"ERROR")</f>
        <v>0.37546961122452799</v>
      </c>
      <c r="E137" s="2821">
        <f>Agricultural!W61</f>
        <v>0.12515653707484267</v>
      </c>
      <c r="F137" s="1"/>
    </row>
    <row r="138" spans="1:6" ht="15.6">
      <c r="A138" s="1"/>
      <c r="B138" s="2818"/>
      <c r="C138" s="2820" t="s">
        <v>2072</v>
      </c>
      <c r="D138" s="2821">
        <f t="shared" si="45"/>
        <v>0.18168532799999998</v>
      </c>
      <c r="E138" s="2821">
        <f>Agricultural!U89</f>
        <v>0.18237352999999998</v>
      </c>
      <c r="F138" s="1"/>
    </row>
    <row r="139" spans="1:6" ht="14.4">
      <c r="A139" s="1"/>
      <c r="B139" s="2818"/>
      <c r="C139" s="2823" t="s">
        <v>29</v>
      </c>
      <c r="D139" s="2812">
        <f>SUM(D140:D142)</f>
        <v>0.77341031888967759</v>
      </c>
      <c r="E139" s="2812">
        <f>SUM(E140:E142)</f>
        <v>0.7763399034309264</v>
      </c>
      <c r="F139" s="1"/>
    </row>
    <row r="140" spans="1:6" ht="15.6">
      <c r="A140" s="1"/>
      <c r="B140" s="2818"/>
      <c r="C140" s="2820" t="s">
        <v>2070</v>
      </c>
      <c r="D140" s="2821">
        <f>E140/_xlfn.XLOOKUP(C140,C$4:C$7,E$4:E$7,"ERROR")*_xlfn.XLOOKUP(C140,C$4:C$7,D$4:D$7,"ERROR")</f>
        <v>0</v>
      </c>
      <c r="E140" s="2821">
        <v>0</v>
      </c>
      <c r="F140" s="1"/>
    </row>
    <row r="141" spans="1:6" ht="15.6">
      <c r="A141" s="1"/>
      <c r="B141" s="2818"/>
      <c r="C141" s="2820" t="s">
        <v>2071</v>
      </c>
      <c r="D141" s="2821">
        <f t="shared" ref="D141:D142" si="46">E141/_xlfn.XLOOKUP(C141,C$4:C$7,E$4:E$7,"ERROR")*_xlfn.XLOOKUP(C141,C$4:C$7,D$4:D$7,"ERROR")</f>
        <v>0</v>
      </c>
      <c r="E141" s="2821">
        <v>0</v>
      </c>
      <c r="F141" s="1"/>
    </row>
    <row r="142" spans="1:6" ht="15.6">
      <c r="A142" s="1"/>
      <c r="B142" s="2818"/>
      <c r="C142" s="2820" t="s">
        <v>2072</v>
      </c>
      <c r="D142" s="2821">
        <f t="shared" si="46"/>
        <v>0.77341031888967759</v>
      </c>
      <c r="E142" s="2821">
        <f>Agricultural!E233</f>
        <v>0.7763399034309264</v>
      </c>
      <c r="F142" s="1"/>
    </row>
    <row r="143" spans="1:6" ht="14.4">
      <c r="A143" s="1"/>
      <c r="B143" s="2818"/>
      <c r="C143" s="2823" t="s">
        <v>30</v>
      </c>
      <c r="D143" s="2812">
        <f>SUM(D144:D146)</f>
        <v>1.7250228368499237E-2</v>
      </c>
      <c r="E143" s="2812">
        <f>SUM(E144:E146)</f>
        <v>7.1772343261893648E-3</v>
      </c>
      <c r="F143" s="1"/>
    </row>
    <row r="144" spans="1:6" ht="15.6">
      <c r="A144" s="1"/>
      <c r="B144" s="2818"/>
      <c r="C144" s="2820" t="s">
        <v>2070</v>
      </c>
      <c r="D144" s="2821">
        <f>E144/_xlfn.XLOOKUP(C144,C$4:C$7,E$4:E$7,"ERROR")*_xlfn.XLOOKUP(C144,C$4:C$7,D$4:D$7,"ERROR")</f>
        <v>0</v>
      </c>
      <c r="E144" s="2821">
        <v>0</v>
      </c>
      <c r="F144" s="1"/>
    </row>
    <row r="145" spans="1:8" ht="15.6">
      <c r="A145" s="1"/>
      <c r="B145" s="2818"/>
      <c r="C145" s="2820" t="s">
        <v>2071</v>
      </c>
      <c r="D145" s="2821">
        <f t="shared" ref="D145:D146" si="47">E145/_xlfn.XLOOKUP(C145,C$4:C$7,E$4:E$7,"ERROR")*_xlfn.XLOOKUP(C145,C$4:C$7,D$4:D$7,"ERROR")</f>
        <v>1.5121585624510204E-2</v>
      </c>
      <c r="E145" s="2821">
        <f>Agricultural!E243</f>
        <v>5.0405285415034019E-3</v>
      </c>
      <c r="F145" s="1"/>
    </row>
    <row r="146" spans="1:8" ht="15.6">
      <c r="A146" s="1"/>
      <c r="B146" s="2818"/>
      <c r="C146" s="2820" t="s">
        <v>2072</v>
      </c>
      <c r="D146" s="2821">
        <f t="shared" si="47"/>
        <v>2.128642743989034E-3</v>
      </c>
      <c r="E146" s="2821">
        <f>Agricultural!E247</f>
        <v>2.1367057846859625E-3</v>
      </c>
      <c r="F146" s="1"/>
    </row>
    <row r="147" spans="1:8" ht="14.4">
      <c r="A147" s="1"/>
      <c r="B147" s="2818"/>
      <c r="C147" s="2823" t="s">
        <v>2083</v>
      </c>
      <c r="D147" s="2812">
        <f>SUM(D148:D150)</f>
        <v>4.4004656666666662E-2</v>
      </c>
      <c r="E147" s="2812">
        <f>SUM(E148:E150)</f>
        <v>4.4004656666666662E-2</v>
      </c>
      <c r="F147" s="1"/>
    </row>
    <row r="148" spans="1:8" ht="15.6">
      <c r="A148" s="1"/>
      <c r="B148" s="2818"/>
      <c r="C148" s="2820" t="s">
        <v>2070</v>
      </c>
      <c r="D148" s="2821">
        <f>E148/_xlfn.XLOOKUP(C148,C$4:C$7,E$4:E$7,"ERROR")*_xlfn.XLOOKUP(C148,C$4:C$7,D$4:D$7,"ERROR")</f>
        <v>4.4004656666666662E-2</v>
      </c>
      <c r="E148" s="2821">
        <f>Agriculture_Liming!G9+Agriculture_Liming!G23</f>
        <v>4.4004656666666662E-2</v>
      </c>
      <c r="F148" s="1"/>
    </row>
    <row r="149" spans="1:8" ht="15.6">
      <c r="A149" s="1"/>
      <c r="B149" s="2818"/>
      <c r="C149" s="2820" t="s">
        <v>2071</v>
      </c>
      <c r="D149" s="2821">
        <f t="shared" ref="D149:D150" si="48">E149/_xlfn.XLOOKUP(C149,C$4:C$7,E$4:E$7,"ERROR")*_xlfn.XLOOKUP(C149,C$4:C$7,D$4:D$7,"ERROR")</f>
        <v>0</v>
      </c>
      <c r="E149" s="2821">
        <v>0</v>
      </c>
      <c r="F149" s="1"/>
    </row>
    <row r="150" spans="1:8" ht="15.6">
      <c r="A150" s="1"/>
      <c r="B150" s="2822"/>
      <c r="C150" s="2820" t="s">
        <v>2072</v>
      </c>
      <c r="D150" s="2821">
        <f t="shared" si="48"/>
        <v>0</v>
      </c>
      <c r="E150" s="2821">
        <v>0</v>
      </c>
      <c r="F150" s="1"/>
    </row>
    <row r="151" spans="1:8" ht="14.4">
      <c r="A151" s="1"/>
      <c r="B151" s="2826" t="s">
        <v>31</v>
      </c>
      <c r="C151" s="2827"/>
      <c r="D151" s="2825">
        <f t="shared" ref="D151" si="49">D152+D156+D160+D164</f>
        <v>8.3903400389332745</v>
      </c>
      <c r="E151" s="2825">
        <f t="shared" ref="E151" si="50">E152+E156+E160+E164</f>
        <v>4.0184212887006687</v>
      </c>
      <c r="F151" s="1"/>
    </row>
    <row r="152" spans="1:8" ht="14.4">
      <c r="A152" s="1"/>
      <c r="B152" s="2816"/>
      <c r="C152" s="2823" t="s">
        <v>32</v>
      </c>
      <c r="D152" s="2812">
        <f>SUM(D153:D155)</f>
        <v>1.2172457828306924</v>
      </c>
      <c r="E152" s="2812">
        <f>SUM(E153:E155)</f>
        <v>1.2032138078525103</v>
      </c>
      <c r="F152" s="1"/>
    </row>
    <row r="153" spans="1:8" ht="15.6">
      <c r="A153" s="1"/>
      <c r="B153" s="2818"/>
      <c r="C153" s="2820" t="s">
        <v>2070</v>
      </c>
      <c r="D153" s="2821">
        <f>E153/_xlfn.XLOOKUP(C153,C$4:C$7,E$4:E$7,"ERROR")*_xlfn.XLOOKUP(C153,C$4:C$7,D$4:D$7,"ERROR")</f>
        <v>1.1874930861931199</v>
      </c>
      <c r="E153" s="2821">
        <f>(Incinerators!AC23*0.9072)/1000000</f>
        <v>1.1874930861931199</v>
      </c>
      <c r="F153" s="1"/>
    </row>
    <row r="154" spans="1:8" ht="15.6">
      <c r="A154" s="1"/>
      <c r="B154" s="2818"/>
      <c r="C154" s="2820" t="s">
        <v>2071</v>
      </c>
      <c r="D154" s="2821">
        <f t="shared" ref="D154:D155" si="51">E154/_xlfn.XLOOKUP(C154,C$4:C$7,E$4:E$7,"ERROR")*_xlfn.XLOOKUP(C154,C$4:C$7,D$4:D$7,"ERROR")</f>
        <v>2.1097141756371073E-2</v>
      </c>
      <c r="E154" s="2821">
        <f>(Incinerators!AC29*0.9072)/1000000</f>
        <v>7.0323805854570235E-3</v>
      </c>
      <c r="F154" s="1"/>
    </row>
    <row r="155" spans="1:8" ht="15.6">
      <c r="A155" s="1"/>
      <c r="B155" s="2818"/>
      <c r="C155" s="2820" t="s">
        <v>2072</v>
      </c>
      <c r="D155" s="2821">
        <f t="shared" si="51"/>
        <v>8.6555548812015347E-3</v>
      </c>
      <c r="E155" s="2821">
        <f>Incinerators!AC35*0.9072/1000000</f>
        <v>8.6883410739333599E-3</v>
      </c>
      <c r="F155" s="1"/>
    </row>
    <row r="156" spans="1:8" ht="14.4">
      <c r="A156" s="1"/>
      <c r="B156" s="2818"/>
      <c r="C156" s="2823" t="s">
        <v>33</v>
      </c>
      <c r="D156" s="2812">
        <f>SUM(D157:D159)</f>
        <v>5.3440921146021534</v>
      </c>
      <c r="E156" s="2812">
        <f>SUM(E157:E159)</f>
        <v>2.0735657001914358</v>
      </c>
      <c r="F156" s="1"/>
      <c r="H156" s="9"/>
    </row>
    <row r="157" spans="1:8" ht="15.6">
      <c r="A157" s="1"/>
      <c r="B157" s="2818"/>
      <c r="C157" s="2820" t="s">
        <v>2070</v>
      </c>
      <c r="D157" s="2821">
        <f>E157/_xlfn.XLOOKUP(C157,C$4:C$7,E$4:E$7,"ERROR")*_xlfn.XLOOKUP(C157,C$4:C$7,D$4:D$7,"ERROR")</f>
        <v>0.4383024929860776</v>
      </c>
      <c r="E157" s="2821">
        <f>Landfills!V103</f>
        <v>0.4383024929860776</v>
      </c>
      <c r="F157" s="1"/>
    </row>
    <row r="158" spans="1:8" ht="15.6">
      <c r="A158" s="1"/>
      <c r="B158" s="2818"/>
      <c r="C158" s="2820" t="s">
        <v>2071</v>
      </c>
      <c r="D158" s="2821">
        <f t="shared" ref="D158:D159" si="52">E158/_xlfn.XLOOKUP(C158,C$4:C$7,E$4:E$7,"ERROR")*_xlfn.XLOOKUP(C158,C$4:C$7,D$4:D$7,"ERROR")</f>
        <v>4.9057896216160755</v>
      </c>
      <c r="E158" s="2821">
        <f>Landfills!V105</f>
        <v>1.6352632072053583</v>
      </c>
      <c r="F158" s="1"/>
    </row>
    <row r="159" spans="1:8" ht="15.6">
      <c r="A159" s="1"/>
      <c r="B159" s="2818"/>
      <c r="C159" s="2820" t="s">
        <v>2072</v>
      </c>
      <c r="D159" s="2821">
        <f t="shared" si="52"/>
        <v>0</v>
      </c>
      <c r="E159" s="2821">
        <v>0</v>
      </c>
      <c r="F159" s="1"/>
    </row>
    <row r="160" spans="1:8" ht="14.4">
      <c r="A160" s="1"/>
      <c r="B160" s="2818"/>
      <c r="C160" s="2823" t="s">
        <v>34</v>
      </c>
      <c r="D160" s="2812">
        <f>SUM(D161:D163)</f>
        <v>1.7960021415004284</v>
      </c>
      <c r="E160" s="2812">
        <f>SUM(E161:E163)</f>
        <v>0.70864178065672279</v>
      </c>
      <c r="F160" s="1"/>
    </row>
    <row r="161" spans="1:8" ht="15.6">
      <c r="A161" s="1"/>
      <c r="B161" s="2818"/>
      <c r="C161" s="2820" t="s">
        <v>2070</v>
      </c>
      <c r="D161" s="2821">
        <f>E161/_xlfn.XLOOKUP(C161,C$4:C$7,E$4:E$7,"ERROR")*_xlfn.XLOOKUP(C161,C$4:C$7,D$4:D$7,"ERROR")</f>
        <v>0</v>
      </c>
      <c r="E161" s="2821">
        <v>0</v>
      </c>
      <c r="F161" s="1"/>
    </row>
    <row r="162" spans="1:8" ht="15.6">
      <c r="A162" s="1"/>
      <c r="B162" s="2818"/>
      <c r="C162" s="2820" t="s">
        <v>2071</v>
      </c>
      <c r="D162" s="2821">
        <f t="shared" ref="D162:D163" si="53">E162/_xlfn.XLOOKUP(C162,C$4:C$7,E$4:E$7,"ERROR")*_xlfn.XLOOKUP(C162,C$4:C$7,D$4:D$7,"ERROR")</f>
        <v>1.6319725277075634</v>
      </c>
      <c r="E162" s="2821">
        <f>Wastewater!C31+Wastewater!C33</f>
        <v>0.54399084256918784</v>
      </c>
      <c r="F162" s="1"/>
    </row>
    <row r="163" spans="1:8" ht="15.6">
      <c r="A163" s="1"/>
      <c r="B163" s="2818"/>
      <c r="C163" s="2820" t="s">
        <v>2072</v>
      </c>
      <c r="D163" s="2821">
        <f t="shared" si="53"/>
        <v>0.16402961379286501</v>
      </c>
      <c r="E163" s="2821">
        <f>Wastewater!C32</f>
        <v>0.16465093808753495</v>
      </c>
      <c r="F163" s="1"/>
    </row>
    <row r="164" spans="1:8" ht="14.4">
      <c r="A164" s="1"/>
      <c r="B164" s="2818"/>
      <c r="C164" s="2823" t="s">
        <v>35</v>
      </c>
      <c r="D164" s="2812">
        <f>SUM(D165:D167)</f>
        <v>3.3000000000000002E-2</v>
      </c>
      <c r="E164" s="2812">
        <f>SUM(E165:E167)</f>
        <v>3.3000000000000002E-2</v>
      </c>
      <c r="F164" s="1"/>
    </row>
    <row r="165" spans="1:8" ht="15.6">
      <c r="A165" s="1"/>
      <c r="B165" s="2818"/>
      <c r="C165" s="2820" t="s">
        <v>2070</v>
      </c>
      <c r="D165" s="2821">
        <f>E165/_xlfn.XLOOKUP(C165,C$4:C$7,E$4:E$7,"ERROR")*_xlfn.XLOOKUP(C165,C$4:C$7,D$4:D$7,"ERROR")</f>
        <v>3.3000000000000002E-2</v>
      </c>
      <c r="E165" s="2821">
        <f>OpenBurn!D7</f>
        <v>3.3000000000000002E-2</v>
      </c>
      <c r="F165" s="1"/>
    </row>
    <row r="166" spans="1:8" ht="15.6">
      <c r="A166" s="1"/>
      <c r="B166" s="2818"/>
      <c r="C166" s="2820" t="s">
        <v>2071</v>
      </c>
      <c r="D166" s="2821">
        <f t="shared" ref="D166:D167" si="54">E166/_xlfn.XLOOKUP(C166,C$4:C$7,E$4:E$7,"ERROR")*_xlfn.XLOOKUP(C166,C$4:C$7,D$4:D$7,"ERROR")</f>
        <v>0</v>
      </c>
      <c r="E166" s="2821">
        <v>0</v>
      </c>
      <c r="F166" s="1"/>
    </row>
    <row r="167" spans="1:8" ht="15.6">
      <c r="A167" s="1"/>
      <c r="B167" s="2822"/>
      <c r="C167" s="2820" t="s">
        <v>2072</v>
      </c>
      <c r="D167" s="2821">
        <f t="shared" si="54"/>
        <v>0</v>
      </c>
      <c r="E167" s="2821">
        <v>0</v>
      </c>
      <c r="F167" s="1"/>
    </row>
    <row r="168" spans="1:8" ht="14.4">
      <c r="A168" s="1"/>
      <c r="B168" s="2848" t="s">
        <v>36</v>
      </c>
      <c r="C168" s="2849"/>
      <c r="D168" s="2815">
        <f t="shared" ref="D168" si="55">D151+D130+D93+D80+D47+D30+D11</f>
        <v>94.1800488796016</v>
      </c>
      <c r="E168" s="2815">
        <f t="shared" ref="E168" si="56">E151+E130+E93+E80+E47+E30+E11</f>
        <v>83.15706355977548</v>
      </c>
      <c r="F168" s="1"/>
      <c r="G168" s="8"/>
      <c r="H168" s="9"/>
    </row>
    <row r="169" spans="1:8" ht="14.4">
      <c r="A169" s="1"/>
      <c r="B169" s="2828"/>
      <c r="C169" s="2829"/>
      <c r="D169" s="2830"/>
      <c r="E169" s="2831"/>
      <c r="F169" s="1"/>
    </row>
    <row r="170" spans="1:8" ht="14.4">
      <c r="A170" s="1"/>
      <c r="B170" s="2848" t="s">
        <v>37</v>
      </c>
      <c r="C170" s="2849"/>
      <c r="D170" s="2815">
        <f t="shared" ref="D170" si="57">D171+D172+D173+D175+D178+D179</f>
        <v>-6.5061242602398224</v>
      </c>
      <c r="E170" s="2815">
        <f t="shared" ref="E170" si="58">E171+E172+E173+E175+E178+E179</f>
        <v>-7.236995078641427</v>
      </c>
      <c r="F170" s="1"/>
    </row>
    <row r="171" spans="1:8" ht="14.4">
      <c r="A171" s="1"/>
      <c r="B171" s="2816"/>
      <c r="C171" s="2817" t="s">
        <v>38</v>
      </c>
      <c r="D171" s="2821">
        <f>E171</f>
        <v>-5.8893733333333342</v>
      </c>
      <c r="E171" s="2821">
        <f>Land_Use!C249</f>
        <v>-5.8893733333333342</v>
      </c>
      <c r="F171" s="1"/>
    </row>
    <row r="172" spans="1:8" ht="14.4">
      <c r="A172" s="1"/>
      <c r="B172" s="2818"/>
      <c r="C172" s="2817" t="s">
        <v>39</v>
      </c>
      <c r="D172" s="2821">
        <f>E172</f>
        <v>-0.88864007253577504</v>
      </c>
      <c r="E172" s="2821">
        <f>Land_Use!C256</f>
        <v>-0.88864007253577504</v>
      </c>
      <c r="F172" s="1"/>
    </row>
    <row r="173" spans="1:8" ht="14.4">
      <c r="A173" s="1"/>
      <c r="B173" s="2818"/>
      <c r="C173" s="2817" t="s">
        <v>40</v>
      </c>
      <c r="D173" s="2832">
        <f t="shared" ref="D173" si="59">D174</f>
        <v>1.6670385599999997E-2</v>
      </c>
      <c r="E173" s="2832">
        <f t="shared" ref="E173" si="60">E174</f>
        <v>1.6733530999999999E-2</v>
      </c>
      <c r="F173" s="1"/>
    </row>
    <row r="174" spans="1:8" ht="15.6">
      <c r="A174" s="1"/>
      <c r="B174" s="2818"/>
      <c r="C174" s="2820" t="s">
        <v>2072</v>
      </c>
      <c r="D174" s="2821">
        <f>E174/_xlfn.XLOOKUP(C174,C$4:C$7,E$4:E$7,"ERROR")*_xlfn.XLOOKUP(C174,C$4:C$7,D$4:D$7,"ERROR")</f>
        <v>1.6670385599999997E-2</v>
      </c>
      <c r="E174" s="2821">
        <f>Land_Use!C260</f>
        <v>1.6733530999999999E-2</v>
      </c>
      <c r="F174" s="1"/>
    </row>
    <row r="175" spans="1:8" ht="14.4">
      <c r="A175" s="1"/>
      <c r="B175" s="2818"/>
      <c r="C175" s="2817" t="s">
        <v>41</v>
      </c>
      <c r="D175" s="2832">
        <f t="shared" ref="D175" si="61">D176+D177</f>
        <v>8.992728655534081E-2</v>
      </c>
      <c r="E175" s="2832">
        <f t="shared" ref="E175" si="62">E176+E177</f>
        <v>3.2443742943504002E-2</v>
      </c>
      <c r="F175" s="1"/>
    </row>
    <row r="176" spans="1:8" ht="15.6">
      <c r="A176" s="1"/>
      <c r="B176" s="2818"/>
      <c r="C176" s="2820" t="s">
        <v>2071</v>
      </c>
      <c r="D176" s="2821">
        <f>E176/_xlfn.XLOOKUP(C176,C$4:C$7,E$4:E$7,"ERROR")*_xlfn.XLOOKUP(C176,C$4:C$7,D$4:D$7,"ERROR")</f>
        <v>8.6246230508928004E-2</v>
      </c>
      <c r="E176" s="2821">
        <f>Land_Use!C262</f>
        <v>2.8748743502976001E-2</v>
      </c>
      <c r="F176" s="1"/>
    </row>
    <row r="177" spans="1:8" ht="15.6">
      <c r="A177" s="1"/>
      <c r="B177" s="2818"/>
      <c r="C177" s="2820" t="s">
        <v>2072</v>
      </c>
      <c r="D177" s="2821">
        <f>E177/_xlfn.XLOOKUP(C177,C$4:C$7,E$4:E$7,"ERROR")*_xlfn.XLOOKUP(C177,C$4:C$7,D$4:D$7,"ERROR")</f>
        <v>3.6810560464127996E-3</v>
      </c>
      <c r="E177" s="2821">
        <f>Land_Use!C263</f>
        <v>3.694999440528E-3</v>
      </c>
      <c r="F177" s="1"/>
      <c r="G177" s="8"/>
      <c r="H177" s="9"/>
    </row>
    <row r="178" spans="1:8" ht="14.4">
      <c r="A178" s="1"/>
      <c r="B178" s="2818"/>
      <c r="C178" s="2817" t="s">
        <v>42</v>
      </c>
      <c r="D178" s="2821">
        <f>E178</f>
        <v>-0.22700000000000001</v>
      </c>
      <c r="E178" s="2821">
        <f>Land_Use!C264</f>
        <v>-0.22700000000000001</v>
      </c>
    </row>
    <row r="179" spans="1:8" ht="14.4">
      <c r="A179" s="1"/>
      <c r="B179" s="2818"/>
      <c r="C179" s="2817" t="s">
        <v>43</v>
      </c>
      <c r="D179" s="2832">
        <f t="shared" ref="D179" si="63">D180+D181</f>
        <v>0.39229147347394666</v>
      </c>
      <c r="E179" s="2832">
        <f t="shared" ref="E179" si="64">E180+E181</f>
        <v>-0.28115894671582126</v>
      </c>
    </row>
    <row r="180" spans="1:8" ht="15.6">
      <c r="A180" s="1"/>
      <c r="B180" s="2818"/>
      <c r="C180" s="2820" t="s">
        <v>2070</v>
      </c>
      <c r="D180" s="2821">
        <f>E180/_xlfn.XLOOKUP(C180,C$4:C$7,E$4:E$7,"ERROR")*_xlfn.XLOOKUP(C180,C$4:C$7,D$4:D$7,"ERROR")</f>
        <v>-0.61788415681070519</v>
      </c>
      <c r="E180" s="2821">
        <f>Land_Use!C266</f>
        <v>-0.61788415681070519</v>
      </c>
    </row>
    <row r="181" spans="1:8" ht="15.6">
      <c r="A181" s="1"/>
      <c r="B181" s="2822"/>
      <c r="C181" s="2820" t="s">
        <v>2071</v>
      </c>
      <c r="D181" s="2821">
        <f>E181/_xlfn.XLOOKUP(C181,C$4:C$7,E$4:E$7,"ERROR")*_xlfn.XLOOKUP(C181,C$4:C$7,D$4:D$7,"ERROR")</f>
        <v>1.0101756302846518</v>
      </c>
      <c r="E181" s="2821">
        <f>Land_Use!C267</f>
        <v>0.33672521009488393</v>
      </c>
    </row>
    <row r="182" spans="1:8" ht="14.4">
      <c r="A182" s="1"/>
      <c r="B182" s="2850" t="s">
        <v>44</v>
      </c>
      <c r="C182" s="2851"/>
      <c r="D182" s="2815">
        <f t="shared" ref="D182" si="65">D168+D170</f>
        <v>87.67392461936177</v>
      </c>
      <c r="E182" s="2815">
        <f t="shared" ref="E182" si="66">E168+E170</f>
        <v>75.920068481134052</v>
      </c>
    </row>
    <row r="183" spans="1:8" thickBot="1">
      <c r="A183" s="1"/>
      <c r="B183" s="2834"/>
      <c r="C183" s="2835"/>
      <c r="D183" s="2833"/>
      <c r="E183" s="2833"/>
    </row>
    <row r="184" spans="1:8" ht="11.25" customHeight="1">
      <c r="A184" s="1"/>
      <c r="B184" s="3"/>
      <c r="D184" s="15"/>
    </row>
    <row r="185" spans="1:8" ht="11.25" customHeight="1" thickBot="1">
      <c r="A185" s="1"/>
      <c r="B185" s="3"/>
      <c r="D185" s="16"/>
    </row>
    <row r="186" spans="1:8" ht="15" customHeight="1">
      <c r="A186" s="1"/>
      <c r="B186" s="3"/>
      <c r="C186" s="2836"/>
      <c r="D186" s="2837" t="s">
        <v>2069</v>
      </c>
      <c r="E186" s="2838" t="s">
        <v>45</v>
      </c>
    </row>
    <row r="187" spans="1:8" ht="15" customHeight="1">
      <c r="A187" s="1"/>
      <c r="B187" s="3"/>
      <c r="C187" s="2839" t="s">
        <v>46</v>
      </c>
      <c r="D187" s="2840">
        <f>D11</f>
        <v>24.369456841701407</v>
      </c>
      <c r="E187" s="2841">
        <f t="shared" ref="E187" si="67">E11</f>
        <v>24.307187717619982</v>
      </c>
    </row>
    <row r="188" spans="1:8" ht="15" customHeight="1">
      <c r="A188" s="1"/>
      <c r="B188" s="3"/>
      <c r="C188" s="2839" t="s">
        <v>47</v>
      </c>
      <c r="D188" s="2840">
        <f>D30</f>
        <v>13.875223206429631</v>
      </c>
      <c r="E188" s="2841">
        <f t="shared" ref="E188" si="68">E30</f>
        <v>13.698000698704631</v>
      </c>
    </row>
    <row r="189" spans="1:8" ht="15" customHeight="1">
      <c r="A189" s="1"/>
      <c r="B189" s="3"/>
      <c r="C189" s="2839" t="s">
        <v>48</v>
      </c>
      <c r="D189" s="2840">
        <f>D48+D56</f>
        <v>28.581962367077509</v>
      </c>
      <c r="E189" s="2841">
        <f t="shared" ref="E189" si="69">E48+E56</f>
        <v>28.565006508160426</v>
      </c>
    </row>
    <row r="190" spans="1:8" ht="15" customHeight="1">
      <c r="A190" s="1"/>
      <c r="C190" s="2839" t="s">
        <v>49</v>
      </c>
      <c r="D190" s="2840">
        <f>D52+D60+D64+D68+D72+D76</f>
        <v>5.3991751861579278</v>
      </c>
      <c r="E190" s="2841">
        <f t="shared" ref="E190" si="70">E52+E60+E64+E68+E72+E76</f>
        <v>5.3379005518302369</v>
      </c>
    </row>
    <row r="191" spans="1:8" ht="15" customHeight="1">
      <c r="A191" s="1"/>
      <c r="C191" s="2839" t="str">
        <f>B80</f>
        <v>Fossil Fuel Industry</v>
      </c>
      <c r="D191" s="2840">
        <f>D80</f>
        <v>3.932257278891631</v>
      </c>
      <c r="E191" s="2841">
        <f t="shared" ref="E191" si="71">E80</f>
        <v>1.5783271497305025</v>
      </c>
    </row>
    <row r="192" spans="1:8" ht="15" customHeight="1">
      <c r="A192" s="1"/>
      <c r="C192" s="2839" t="str">
        <f>B93</f>
        <v>Industrial Processes and Product Use</v>
      </c>
      <c r="D192" s="2840">
        <f>D93</f>
        <v>6.7120143916608459</v>
      </c>
      <c r="E192" s="2841">
        <f t="shared" ref="E192" si="72">E93</f>
        <v>4.0079013083304007</v>
      </c>
    </row>
    <row r="193" spans="1:5" ht="15" customHeight="1">
      <c r="A193" s="1"/>
      <c r="C193" s="2839" t="str">
        <f>B130</f>
        <v>Agriculture</v>
      </c>
      <c r="D193" s="2840">
        <f>D130</f>
        <v>2.9196195687493716</v>
      </c>
      <c r="E193" s="2841">
        <f t="shared" ref="E193" si="73">E130</f>
        <v>1.6443183366986251</v>
      </c>
    </row>
    <row r="194" spans="1:5" ht="15" customHeight="1">
      <c r="A194" s="1"/>
      <c r="C194" s="2839" t="str">
        <f>B151</f>
        <v>Waste Management</v>
      </c>
      <c r="D194" s="2840">
        <f>D151</f>
        <v>8.3903400389332745</v>
      </c>
      <c r="E194" s="2841">
        <f t="shared" ref="E194" si="74">E151</f>
        <v>4.0184212887006687</v>
      </c>
    </row>
    <row r="195" spans="1:5" ht="15" customHeight="1" thickBot="1">
      <c r="A195" s="1"/>
      <c r="C195" s="2842"/>
      <c r="D195" s="2843">
        <f>SUM(D187:D194)</f>
        <v>94.180048879601586</v>
      </c>
      <c r="E195" s="2844">
        <f t="shared" ref="E195" si="75">SUM(E187:E194)</f>
        <v>83.157063559775466</v>
      </c>
    </row>
    <row r="196" spans="1:5" ht="11.25" customHeight="1">
      <c r="A196" s="1"/>
      <c r="E196" s="19"/>
    </row>
    <row r="197" spans="1:5" ht="11.25" customHeight="1">
      <c r="A197" s="1"/>
      <c r="E197" s="19"/>
    </row>
    <row r="198" spans="1:5" ht="11.25" customHeight="1">
      <c r="A198" s="1"/>
      <c r="E198" s="19"/>
    </row>
    <row r="199" spans="1:5" ht="11.25" customHeight="1">
      <c r="A199" s="1"/>
      <c r="E199" s="19"/>
    </row>
    <row r="200" spans="1:5" ht="11.25" customHeight="1">
      <c r="A200" s="1"/>
      <c r="E200" s="19"/>
    </row>
    <row r="201" spans="1:5" ht="11.25" customHeight="1">
      <c r="A201" s="1"/>
      <c r="E201" s="19"/>
    </row>
    <row r="202" spans="1:5" ht="11.25" customHeight="1">
      <c r="A202" s="1"/>
      <c r="E202" s="19"/>
    </row>
    <row r="203" spans="1:5" ht="11.25" customHeight="1">
      <c r="A203" s="1"/>
      <c r="E203" s="19"/>
    </row>
    <row r="204" spans="1:5" ht="11.25" customHeight="1">
      <c r="A204" s="1"/>
      <c r="E204" s="19"/>
    </row>
    <row r="205" spans="1:5" ht="11.25" customHeight="1">
      <c r="A205" s="1"/>
      <c r="E205" s="19"/>
    </row>
    <row r="206" spans="1:5" ht="11.25" customHeight="1">
      <c r="A206" s="1"/>
      <c r="E206" s="19"/>
    </row>
    <row r="207" spans="1:5" ht="11.25" customHeight="1">
      <c r="A207" s="1"/>
      <c r="E207" s="19"/>
    </row>
    <row r="208" spans="1:5" ht="11.25" customHeight="1">
      <c r="A208" s="1"/>
      <c r="E208" s="19"/>
    </row>
    <row r="209" spans="1:5" ht="11.25" customHeight="1">
      <c r="A209" s="1"/>
      <c r="E209" s="19"/>
    </row>
    <row r="210" spans="1:5" ht="11.25" customHeight="1">
      <c r="A210" s="1"/>
      <c r="E210" s="19"/>
    </row>
    <row r="211" spans="1:5" ht="11.25" customHeight="1">
      <c r="A211" s="1"/>
      <c r="E211" s="19"/>
    </row>
    <row r="212" spans="1:5" ht="11.25" customHeight="1">
      <c r="A212" s="1"/>
      <c r="E212" s="19"/>
    </row>
    <row r="213" spans="1:5" ht="11.25" customHeight="1">
      <c r="A213" s="1"/>
      <c r="E213" s="19"/>
    </row>
    <row r="214" spans="1:5" ht="11.25" customHeight="1">
      <c r="A214" s="1"/>
      <c r="E214" s="19"/>
    </row>
    <row r="215" spans="1:5" ht="11.25" customHeight="1">
      <c r="A215" s="1"/>
      <c r="E215" s="19"/>
    </row>
    <row r="216" spans="1:5" ht="11.25" customHeight="1">
      <c r="A216" s="1"/>
      <c r="E216" s="19"/>
    </row>
    <row r="217" spans="1:5" ht="11.25" customHeight="1">
      <c r="A217" s="1"/>
      <c r="E217" s="19"/>
    </row>
    <row r="218" spans="1:5" ht="11.25" customHeight="1">
      <c r="A218" s="1"/>
      <c r="E218" s="19"/>
    </row>
    <row r="219" spans="1:5" ht="11.25" customHeight="1">
      <c r="A219" s="1"/>
      <c r="E219" s="19"/>
    </row>
    <row r="220" spans="1:5" ht="11.25" customHeight="1">
      <c r="A220" s="1"/>
      <c r="E220" s="19"/>
    </row>
    <row r="221" spans="1:5" ht="11.25" customHeight="1">
      <c r="A221" s="1"/>
      <c r="E221" s="19"/>
    </row>
    <row r="222" spans="1:5" ht="11.25" customHeight="1">
      <c r="A222" s="1"/>
      <c r="E222" s="19"/>
    </row>
    <row r="223" spans="1:5" ht="11.25" customHeight="1">
      <c r="A223" s="1"/>
      <c r="E223" s="19"/>
    </row>
    <row r="224" spans="1:5" ht="11.25" customHeight="1">
      <c r="A224" s="1"/>
      <c r="E224" s="19"/>
    </row>
    <row r="225" spans="1:5" ht="11.25" customHeight="1">
      <c r="A225" s="1"/>
      <c r="E225" s="19"/>
    </row>
    <row r="226" spans="1:5" ht="11.25" customHeight="1">
      <c r="A226" s="1"/>
      <c r="E226" s="19"/>
    </row>
    <row r="227" spans="1:5" ht="11.25" customHeight="1">
      <c r="A227" s="1"/>
      <c r="E227" s="19"/>
    </row>
    <row r="228" spans="1:5" ht="11.25" customHeight="1">
      <c r="A228" s="1"/>
      <c r="E228" s="19"/>
    </row>
    <row r="229" spans="1:5" ht="11.25" customHeight="1">
      <c r="A229" s="1"/>
      <c r="E229" s="19"/>
    </row>
    <row r="230" spans="1:5" ht="11.25" customHeight="1">
      <c r="A230" s="1"/>
      <c r="E230" s="19"/>
    </row>
    <row r="231" spans="1:5" ht="11.25" customHeight="1">
      <c r="A231" s="1"/>
      <c r="E231" s="19"/>
    </row>
    <row r="232" spans="1:5" ht="11.25" customHeight="1">
      <c r="A232" s="1"/>
      <c r="E232" s="19"/>
    </row>
    <row r="233" spans="1:5" ht="11.25" customHeight="1">
      <c r="A233" s="1"/>
      <c r="E233" s="19"/>
    </row>
    <row r="234" spans="1:5" ht="11.25" customHeight="1">
      <c r="A234" s="1"/>
      <c r="E234" s="19"/>
    </row>
    <row r="235" spans="1:5" ht="11.25" customHeight="1">
      <c r="A235" s="1"/>
      <c r="E235" s="19"/>
    </row>
    <row r="236" spans="1:5" ht="11.25" customHeight="1">
      <c r="A236" s="1"/>
      <c r="E236" s="19"/>
    </row>
    <row r="237" spans="1:5" ht="11.25" customHeight="1">
      <c r="A237" s="1"/>
      <c r="E237" s="19"/>
    </row>
    <row r="238" spans="1:5" ht="11.25" customHeight="1">
      <c r="A238" s="1"/>
      <c r="E238" s="19"/>
    </row>
    <row r="239" spans="1:5" ht="11.25" customHeight="1">
      <c r="A239" s="1"/>
      <c r="E239" s="19"/>
    </row>
    <row r="240" spans="1:5" ht="11.25" customHeight="1">
      <c r="A240" s="1"/>
      <c r="E240" s="19"/>
    </row>
    <row r="241" spans="1:5" ht="11.25" customHeight="1">
      <c r="A241" s="1"/>
      <c r="E241" s="19"/>
    </row>
    <row r="242" spans="1:5" ht="11.25" customHeight="1">
      <c r="A242" s="1"/>
      <c r="E242" s="19"/>
    </row>
    <row r="243" spans="1:5" ht="11.25" customHeight="1">
      <c r="A243" s="1"/>
      <c r="E243" s="19"/>
    </row>
    <row r="244" spans="1:5" ht="11.25" customHeight="1">
      <c r="A244" s="1"/>
      <c r="E244" s="19"/>
    </row>
    <row r="245" spans="1:5" ht="11.25" customHeight="1">
      <c r="A245" s="1"/>
      <c r="E245" s="19"/>
    </row>
    <row r="246" spans="1:5" ht="11.25" customHeight="1">
      <c r="A246" s="1"/>
      <c r="E246" s="19"/>
    </row>
    <row r="247" spans="1:5" ht="11.25" customHeight="1">
      <c r="A247" s="1"/>
      <c r="E247" s="19"/>
    </row>
    <row r="248" spans="1:5" ht="11.25" customHeight="1">
      <c r="A248" s="1"/>
      <c r="E248" s="19"/>
    </row>
    <row r="249" spans="1:5" ht="11.25" customHeight="1">
      <c r="A249" s="1"/>
      <c r="E249" s="19"/>
    </row>
    <row r="250" spans="1:5" ht="11.25" customHeight="1">
      <c r="A250" s="1"/>
      <c r="E250" s="19"/>
    </row>
    <row r="251" spans="1:5" ht="11.25" customHeight="1">
      <c r="A251" s="1"/>
      <c r="E251" s="19"/>
    </row>
    <row r="252" spans="1:5" ht="11.25" customHeight="1">
      <c r="A252" s="1"/>
      <c r="E252" s="19"/>
    </row>
    <row r="253" spans="1:5" ht="11.25" customHeight="1">
      <c r="A253" s="1"/>
      <c r="E253" s="19"/>
    </row>
    <row r="254" spans="1:5" ht="11.25" customHeight="1">
      <c r="A254" s="1"/>
      <c r="E254" s="19"/>
    </row>
    <row r="255" spans="1:5" ht="11.25" customHeight="1">
      <c r="A255" s="1"/>
      <c r="E255" s="19"/>
    </row>
    <row r="256" spans="1:5" ht="11.25" customHeight="1">
      <c r="A256" s="1"/>
      <c r="E256" s="19"/>
    </row>
    <row r="257" spans="1:5" ht="11.25" customHeight="1">
      <c r="A257" s="1"/>
      <c r="E257" s="19"/>
    </row>
    <row r="258" spans="1:5" ht="11.25" customHeight="1">
      <c r="A258" s="1"/>
      <c r="E258" s="19"/>
    </row>
    <row r="259" spans="1:5" ht="11.25" customHeight="1">
      <c r="A259" s="1"/>
      <c r="E259" s="19"/>
    </row>
    <row r="260" spans="1:5" ht="11.25" customHeight="1">
      <c r="A260" s="1"/>
      <c r="E260" s="19"/>
    </row>
    <row r="261" spans="1:5" ht="11.25" customHeight="1">
      <c r="A261" s="1"/>
      <c r="E261" s="19"/>
    </row>
    <row r="262" spans="1:5" ht="11.25" customHeight="1">
      <c r="A262" s="1"/>
      <c r="E262" s="19"/>
    </row>
    <row r="263" spans="1:5" ht="11.25" customHeight="1">
      <c r="A263" s="1"/>
      <c r="E263" s="19"/>
    </row>
    <row r="264" spans="1:5" ht="11.25" customHeight="1">
      <c r="A264" s="1"/>
      <c r="E264" s="19"/>
    </row>
    <row r="265" spans="1:5" ht="11.25" customHeight="1">
      <c r="A265" s="1"/>
      <c r="E265" s="19"/>
    </row>
    <row r="266" spans="1:5" ht="11.25" customHeight="1">
      <c r="A266" s="1"/>
      <c r="E266" s="19"/>
    </row>
    <row r="267" spans="1:5" ht="11.25" customHeight="1">
      <c r="A267" s="1"/>
      <c r="E267" s="19"/>
    </row>
    <row r="268" spans="1:5" ht="11.25" customHeight="1">
      <c r="A268" s="1"/>
      <c r="E268" s="19"/>
    </row>
    <row r="269" spans="1:5" ht="11.25" customHeight="1">
      <c r="A269" s="1"/>
      <c r="E269" s="19"/>
    </row>
    <row r="270" spans="1:5" ht="11.25" customHeight="1">
      <c r="A270" s="1"/>
      <c r="E270" s="19"/>
    </row>
    <row r="271" spans="1:5" ht="11.25" customHeight="1">
      <c r="A271" s="1"/>
      <c r="E271" s="19"/>
    </row>
    <row r="272" spans="1:5" ht="11.25" customHeight="1">
      <c r="A272" s="1"/>
      <c r="E272" s="19"/>
    </row>
    <row r="273" spans="1:5" ht="11.25" customHeight="1">
      <c r="A273" s="1"/>
      <c r="E273" s="19"/>
    </row>
    <row r="274" spans="1:5" ht="11.25" customHeight="1">
      <c r="A274" s="1"/>
      <c r="E274" s="19"/>
    </row>
    <row r="275" spans="1:5" ht="11.25" customHeight="1">
      <c r="A275" s="1"/>
      <c r="E275" s="19"/>
    </row>
    <row r="276" spans="1:5" ht="11.25" customHeight="1">
      <c r="A276" s="1"/>
      <c r="E276" s="19"/>
    </row>
    <row r="277" spans="1:5" ht="11.25" customHeight="1">
      <c r="A277" s="1"/>
      <c r="E277" s="19"/>
    </row>
    <row r="278" spans="1:5" ht="11.25" customHeight="1">
      <c r="A278" s="1"/>
      <c r="E278" s="19"/>
    </row>
    <row r="279" spans="1:5" ht="11.25" customHeight="1">
      <c r="A279" s="1"/>
      <c r="E279" s="19"/>
    </row>
    <row r="280" spans="1:5" ht="11.25" customHeight="1">
      <c r="A280" s="1"/>
      <c r="E280" s="19"/>
    </row>
    <row r="281" spans="1:5" ht="11.25" customHeight="1">
      <c r="A281" s="1"/>
      <c r="E281" s="19"/>
    </row>
    <row r="282" spans="1:5" ht="11.25" customHeight="1">
      <c r="A282" s="1"/>
      <c r="E282" s="19"/>
    </row>
    <row r="283" spans="1:5" ht="11.25" customHeight="1">
      <c r="A283" s="1"/>
      <c r="E283" s="19"/>
    </row>
    <row r="284" spans="1:5" ht="11.25" customHeight="1">
      <c r="A284" s="1"/>
      <c r="E284" s="19"/>
    </row>
    <row r="285" spans="1:5" ht="11.25" customHeight="1">
      <c r="A285" s="1"/>
      <c r="E285" s="19"/>
    </row>
    <row r="286" spans="1:5" ht="11.25" customHeight="1">
      <c r="A286" s="1"/>
      <c r="E286" s="19"/>
    </row>
    <row r="287" spans="1:5" ht="11.25" customHeight="1">
      <c r="A287" s="1"/>
      <c r="E287" s="19"/>
    </row>
    <row r="288" spans="1:5" ht="11.25" customHeight="1">
      <c r="A288" s="1"/>
      <c r="E288" s="19"/>
    </row>
    <row r="289" spans="1:5" ht="11.25" customHeight="1">
      <c r="A289" s="1"/>
      <c r="E289" s="19"/>
    </row>
    <row r="290" spans="1:5" ht="11.25" customHeight="1">
      <c r="A290" s="1"/>
      <c r="E290" s="19"/>
    </row>
    <row r="291" spans="1:5" ht="11.25" customHeight="1">
      <c r="A291" s="1"/>
      <c r="E291" s="19"/>
    </row>
    <row r="292" spans="1:5" ht="11.25" customHeight="1">
      <c r="A292" s="1"/>
      <c r="E292" s="19"/>
    </row>
    <row r="293" spans="1:5" ht="11.25" customHeight="1">
      <c r="A293" s="1"/>
      <c r="E293" s="19"/>
    </row>
    <row r="294" spans="1:5" ht="11.25" customHeight="1">
      <c r="A294" s="1"/>
      <c r="E294" s="19"/>
    </row>
    <row r="295" spans="1:5" ht="11.25" customHeight="1">
      <c r="A295" s="1"/>
      <c r="E295" s="19"/>
    </row>
    <row r="296" spans="1:5" ht="11.25" customHeight="1">
      <c r="A296" s="1"/>
      <c r="E296" s="19"/>
    </row>
    <row r="297" spans="1:5" ht="11.25" customHeight="1">
      <c r="A297" s="1"/>
      <c r="E297" s="19"/>
    </row>
    <row r="298" spans="1:5" ht="11.25" customHeight="1">
      <c r="A298" s="1"/>
      <c r="E298" s="19"/>
    </row>
    <row r="299" spans="1:5" ht="11.25" customHeight="1">
      <c r="A299" s="1"/>
      <c r="E299" s="19"/>
    </row>
    <row r="300" spans="1:5" ht="11.25" customHeight="1">
      <c r="A300" s="1"/>
      <c r="E300" s="19"/>
    </row>
    <row r="301" spans="1:5" ht="11.25" customHeight="1">
      <c r="A301" s="1"/>
      <c r="E301" s="19"/>
    </row>
    <row r="302" spans="1:5" ht="11.25" customHeight="1">
      <c r="A302" s="1"/>
      <c r="E302" s="19"/>
    </row>
    <row r="303" spans="1:5" ht="11.25" customHeight="1">
      <c r="A303" s="1"/>
      <c r="E303" s="19"/>
    </row>
    <row r="304" spans="1:5" ht="11.25" customHeight="1">
      <c r="A304" s="1"/>
      <c r="E304" s="19"/>
    </row>
    <row r="305" spans="1:5" ht="11.25" customHeight="1">
      <c r="A305" s="1"/>
      <c r="E305" s="19"/>
    </row>
    <row r="306" spans="1:5" ht="11.25" customHeight="1">
      <c r="A306" s="1"/>
      <c r="E306" s="19"/>
    </row>
    <row r="307" spans="1:5" ht="11.25" customHeight="1">
      <c r="A307" s="1"/>
      <c r="E307" s="19"/>
    </row>
    <row r="308" spans="1:5" ht="11.25" customHeight="1">
      <c r="A308" s="1"/>
      <c r="E308" s="19"/>
    </row>
    <row r="309" spans="1:5" ht="11.25" customHeight="1">
      <c r="A309" s="1"/>
      <c r="E309" s="19"/>
    </row>
    <row r="310" spans="1:5" ht="11.25" customHeight="1">
      <c r="A310" s="1"/>
      <c r="E310" s="19"/>
    </row>
    <row r="311" spans="1:5" ht="11.25" customHeight="1">
      <c r="A311" s="1"/>
      <c r="E311" s="19"/>
    </row>
    <row r="312" spans="1:5" ht="11.25" customHeight="1">
      <c r="A312" s="1"/>
      <c r="E312" s="19"/>
    </row>
    <row r="313" spans="1:5" ht="11.25" customHeight="1">
      <c r="A313" s="1"/>
      <c r="E313" s="19"/>
    </row>
    <row r="314" spans="1:5" ht="11.25" customHeight="1">
      <c r="A314" s="1"/>
      <c r="E314" s="19"/>
    </row>
    <row r="315" spans="1:5" ht="11.25" customHeight="1">
      <c r="A315" s="1"/>
      <c r="E315" s="19"/>
    </row>
    <row r="316" spans="1:5" ht="11.25" customHeight="1">
      <c r="A316" s="1"/>
      <c r="E316" s="19"/>
    </row>
    <row r="317" spans="1:5" ht="11.25" customHeight="1">
      <c r="A317" s="1"/>
      <c r="E317" s="19"/>
    </row>
    <row r="318" spans="1:5" ht="11.25" customHeight="1">
      <c r="A318" s="1"/>
      <c r="E318" s="19"/>
    </row>
    <row r="319" spans="1:5" ht="11.25" customHeight="1">
      <c r="A319" s="1"/>
      <c r="E319" s="19"/>
    </row>
    <row r="320" spans="1:5" ht="11.25" customHeight="1">
      <c r="A320" s="1"/>
      <c r="E320" s="19"/>
    </row>
    <row r="321" spans="1:5" ht="11.25" customHeight="1">
      <c r="A321" s="1"/>
      <c r="E321" s="19"/>
    </row>
    <row r="322" spans="1:5" ht="11.25" customHeight="1">
      <c r="A322" s="1"/>
      <c r="E322" s="19"/>
    </row>
    <row r="323" spans="1:5" ht="11.25" customHeight="1">
      <c r="A323" s="1"/>
      <c r="E323" s="19"/>
    </row>
    <row r="324" spans="1:5" ht="11.25" customHeight="1">
      <c r="A324" s="1"/>
      <c r="E324" s="19"/>
    </row>
    <row r="325" spans="1:5" ht="11.25" customHeight="1">
      <c r="A325" s="1"/>
      <c r="E325" s="19"/>
    </row>
    <row r="326" spans="1:5" ht="11.25" customHeight="1">
      <c r="A326" s="1"/>
      <c r="E326" s="19"/>
    </row>
    <row r="327" spans="1:5" ht="11.25" customHeight="1">
      <c r="A327" s="1"/>
      <c r="E327" s="19"/>
    </row>
    <row r="328" spans="1:5" ht="11.25" customHeight="1">
      <c r="A328" s="1"/>
      <c r="E328" s="19"/>
    </row>
    <row r="329" spans="1:5" ht="11.25" customHeight="1">
      <c r="A329" s="1"/>
      <c r="E329" s="19"/>
    </row>
    <row r="330" spans="1:5" ht="11.25" customHeight="1">
      <c r="A330" s="1"/>
      <c r="E330" s="19"/>
    </row>
    <row r="331" spans="1:5" ht="11.25" customHeight="1">
      <c r="A331" s="1"/>
      <c r="E331" s="19"/>
    </row>
    <row r="332" spans="1:5" ht="11.25" customHeight="1">
      <c r="A332" s="1"/>
      <c r="E332" s="19"/>
    </row>
    <row r="333" spans="1:5" ht="11.25" customHeight="1">
      <c r="A333" s="1"/>
      <c r="E333" s="19"/>
    </row>
    <row r="334" spans="1:5" ht="11.25" customHeight="1">
      <c r="A334" s="1"/>
      <c r="E334" s="19"/>
    </row>
    <row r="335" spans="1:5" ht="11.25" customHeight="1">
      <c r="A335" s="1"/>
      <c r="E335" s="19"/>
    </row>
    <row r="336" spans="1:5" ht="11.25" customHeight="1">
      <c r="A336" s="1"/>
      <c r="E336" s="19"/>
    </row>
    <row r="337" spans="1:5" ht="11.25" customHeight="1">
      <c r="A337" s="1"/>
      <c r="E337" s="19"/>
    </row>
    <row r="338" spans="1:5" ht="11.25" customHeight="1">
      <c r="A338" s="1"/>
      <c r="E338" s="19"/>
    </row>
    <row r="339" spans="1:5" ht="11.25" customHeight="1">
      <c r="A339" s="1"/>
      <c r="E339" s="19"/>
    </row>
    <row r="340" spans="1:5" ht="11.25" customHeight="1">
      <c r="A340" s="1"/>
      <c r="E340" s="19"/>
    </row>
    <row r="341" spans="1:5" ht="11.25" customHeight="1">
      <c r="A341" s="1"/>
      <c r="E341" s="19"/>
    </row>
    <row r="342" spans="1:5" ht="11.25" customHeight="1">
      <c r="A342" s="1"/>
      <c r="E342" s="19"/>
    </row>
    <row r="343" spans="1:5" ht="11.25" customHeight="1">
      <c r="A343" s="1"/>
      <c r="E343" s="19"/>
    </row>
    <row r="344" spans="1:5" ht="11.25" customHeight="1">
      <c r="A344" s="1"/>
      <c r="E344" s="19"/>
    </row>
    <row r="345" spans="1:5" ht="11.25" customHeight="1">
      <c r="A345" s="1"/>
      <c r="E345" s="19"/>
    </row>
    <row r="346" spans="1:5" ht="11.25" customHeight="1">
      <c r="A346" s="1"/>
      <c r="E346" s="19"/>
    </row>
    <row r="347" spans="1:5" ht="11.25" customHeight="1">
      <c r="A347" s="1"/>
      <c r="E347" s="19"/>
    </row>
    <row r="348" spans="1:5" ht="11.25" customHeight="1">
      <c r="A348" s="1"/>
      <c r="E348" s="19"/>
    </row>
    <row r="349" spans="1:5" ht="11.25" customHeight="1">
      <c r="A349" s="1"/>
      <c r="E349" s="19"/>
    </row>
    <row r="350" spans="1:5" ht="11.25" customHeight="1">
      <c r="A350" s="1"/>
      <c r="E350" s="19"/>
    </row>
    <row r="351" spans="1:5" ht="11.25" customHeight="1">
      <c r="A351" s="1"/>
      <c r="E351" s="19"/>
    </row>
    <row r="352" spans="1:5" ht="11.25" customHeight="1">
      <c r="A352" s="1"/>
      <c r="E352" s="19"/>
    </row>
    <row r="353" spans="1:5" ht="11.25" customHeight="1">
      <c r="A353" s="1"/>
      <c r="E353" s="19"/>
    </row>
    <row r="354" spans="1:5" ht="11.25" customHeight="1">
      <c r="A354" s="1"/>
      <c r="E354" s="19"/>
    </row>
    <row r="355" spans="1:5" ht="11.25" customHeight="1">
      <c r="A355" s="1"/>
      <c r="E355" s="19"/>
    </row>
    <row r="356" spans="1:5" ht="11.25" customHeight="1">
      <c r="A356" s="1"/>
      <c r="E356" s="19"/>
    </row>
    <row r="357" spans="1:5" ht="11.25" customHeight="1">
      <c r="A357" s="1"/>
      <c r="E357" s="19"/>
    </row>
    <row r="358" spans="1:5" ht="11.25" customHeight="1">
      <c r="A358" s="1"/>
      <c r="E358" s="19"/>
    </row>
    <row r="359" spans="1:5" ht="11.25" customHeight="1">
      <c r="A359" s="1"/>
      <c r="E359" s="19"/>
    </row>
    <row r="360" spans="1:5" ht="11.25" customHeight="1">
      <c r="A360" s="1"/>
      <c r="E360" s="19"/>
    </row>
    <row r="361" spans="1:5" ht="11.25" customHeight="1">
      <c r="A361" s="1"/>
      <c r="E361" s="19"/>
    </row>
    <row r="362" spans="1:5" ht="11.25" customHeight="1">
      <c r="A362" s="1"/>
      <c r="E362" s="19"/>
    </row>
    <row r="363" spans="1:5" ht="11.25" customHeight="1">
      <c r="A363" s="1"/>
      <c r="E363" s="19"/>
    </row>
    <row r="364" spans="1:5" ht="11.25" customHeight="1">
      <c r="A364" s="1"/>
      <c r="E364" s="19"/>
    </row>
    <row r="365" spans="1:5" ht="11.25" customHeight="1">
      <c r="A365" s="1"/>
      <c r="E365" s="19"/>
    </row>
    <row r="366" spans="1:5" ht="11.25" customHeight="1">
      <c r="A366" s="1"/>
      <c r="E366" s="19"/>
    </row>
    <row r="367" spans="1:5" ht="11.25" customHeight="1">
      <c r="A367" s="1"/>
      <c r="E367" s="19"/>
    </row>
    <row r="368" spans="1:5" ht="11.25" customHeight="1">
      <c r="A368" s="1"/>
      <c r="E368" s="19"/>
    </row>
    <row r="369" spans="1:5" ht="11.25" customHeight="1">
      <c r="A369" s="1"/>
      <c r="E369" s="19"/>
    </row>
    <row r="370" spans="1:5" ht="11.25" customHeight="1">
      <c r="A370" s="1"/>
      <c r="E370" s="19"/>
    </row>
    <row r="371" spans="1:5" ht="11.25" customHeight="1">
      <c r="A371" s="1"/>
      <c r="E371" s="19"/>
    </row>
    <row r="372" spans="1:5" ht="11.25" customHeight="1">
      <c r="A372" s="1"/>
      <c r="E372" s="19"/>
    </row>
    <row r="373" spans="1:5" ht="11.25" customHeight="1">
      <c r="A373" s="1"/>
      <c r="E373" s="19"/>
    </row>
    <row r="374" spans="1:5" ht="11.25" customHeight="1">
      <c r="A374" s="1"/>
      <c r="E374" s="19"/>
    </row>
    <row r="375" spans="1:5" ht="11.25" customHeight="1">
      <c r="A375" s="1"/>
      <c r="E375" s="19"/>
    </row>
    <row r="376" spans="1:5" ht="11.25" customHeight="1">
      <c r="A376" s="1"/>
      <c r="E376" s="19"/>
    </row>
    <row r="377" spans="1:5" ht="11.25" customHeight="1">
      <c r="A377" s="1"/>
      <c r="E377" s="19"/>
    </row>
    <row r="378" spans="1:5" ht="11.25" customHeight="1">
      <c r="A378" s="1"/>
      <c r="E378" s="19"/>
    </row>
    <row r="379" spans="1:5" ht="11.25" customHeight="1">
      <c r="A379" s="1"/>
      <c r="E379" s="19"/>
    </row>
    <row r="380" spans="1:5" ht="11.25" customHeight="1">
      <c r="A380" s="1"/>
      <c r="E380" s="19"/>
    </row>
    <row r="381" spans="1:5" ht="11.25" customHeight="1">
      <c r="A381" s="1"/>
      <c r="E381" s="19"/>
    </row>
    <row r="382" spans="1:5" ht="11.25" customHeight="1">
      <c r="A382" s="1"/>
      <c r="E382" s="19"/>
    </row>
    <row r="383" spans="1:5" ht="11.25" customHeight="1">
      <c r="A383" s="1"/>
      <c r="E383" s="19"/>
    </row>
    <row r="384" spans="1:5" ht="11.25" customHeight="1">
      <c r="A384" s="1"/>
      <c r="E384" s="19"/>
    </row>
    <row r="385" spans="1:5" ht="11.25" customHeight="1">
      <c r="A385" s="1"/>
      <c r="E385" s="19"/>
    </row>
    <row r="386" spans="1:5" ht="11.25" customHeight="1">
      <c r="A386" s="1"/>
      <c r="E386" s="19"/>
    </row>
    <row r="387" spans="1:5" ht="11.25" customHeight="1">
      <c r="A387" s="1"/>
      <c r="E387" s="19"/>
    </row>
    <row r="388" spans="1:5" ht="11.25" customHeight="1">
      <c r="A388" s="1"/>
      <c r="E388" s="19"/>
    </row>
    <row r="389" spans="1:5" ht="11.25" customHeight="1">
      <c r="A389" s="1"/>
      <c r="E389" s="19"/>
    </row>
    <row r="390" spans="1:5" ht="11.25" customHeight="1">
      <c r="A390" s="1"/>
      <c r="E390" s="19"/>
    </row>
    <row r="391" spans="1:5" ht="11.25" customHeight="1"/>
    <row r="392" spans="1:5" ht="11.25" customHeight="1"/>
    <row r="393" spans="1:5" ht="11.25" customHeight="1"/>
    <row r="394" spans="1:5" ht="11.25" customHeight="1"/>
    <row r="395" spans="1:5" ht="11.25" customHeight="1"/>
    <row r="396" spans="1:5" ht="11.25" customHeight="1"/>
    <row r="397" spans="1:5" ht="11.25" customHeight="1"/>
    <row r="398" spans="1:5" ht="11.25" customHeight="1"/>
    <row r="399" spans="1:5" ht="11.25" customHeight="1"/>
    <row r="400" spans="1:5"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sheetData>
  <mergeCells count="7">
    <mergeCell ref="B170:C170"/>
    <mergeCell ref="B182:C182"/>
    <mergeCell ref="D2:E2"/>
    <mergeCell ref="D8:E8"/>
    <mergeCell ref="B9:C9"/>
    <mergeCell ref="B10:C10"/>
    <mergeCell ref="B168:C168"/>
  </mergeCells>
  <printOptions gridLines="1"/>
  <pageMargins left="0.25" right="0.26" top="0.17" bottom="0.2" header="0" footer="0"/>
  <pageSetup orientation="portrait" r:id="rId1"/>
  <rowBreaks count="4" manualBreakCount="4">
    <brk id="129" man="1"/>
    <brk id="178" man="1"/>
    <brk id="92" man="1"/>
    <brk id="46" man="1"/>
  </rowBreaks>
  <ignoredErrors>
    <ignoredError sqref="D17:D112 D114:D175" formula="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G1000"/>
  <sheetViews>
    <sheetView workbookViewId="0"/>
  </sheetViews>
  <sheetFormatPr defaultColWidth="16.85546875" defaultRowHeight="15" customHeight="1"/>
  <cols>
    <col min="1" max="1" width="4.28515625" customWidth="1"/>
    <col min="2" max="2" width="27.7109375" customWidth="1"/>
    <col min="3" max="3" width="17.7109375" customWidth="1"/>
    <col min="4" max="4" width="14.7109375" customWidth="1"/>
    <col min="5" max="5" width="16.28515625" customWidth="1"/>
    <col min="6" max="6" width="13.7109375" customWidth="1"/>
    <col min="7" max="7" width="15.7109375" customWidth="1"/>
    <col min="8" max="8" width="19.42578125" customWidth="1"/>
    <col min="9" max="9" width="13.85546875" customWidth="1"/>
    <col min="10" max="10" width="20.140625" customWidth="1"/>
    <col min="11" max="11" width="14.140625" customWidth="1"/>
    <col min="12" max="12" width="14.28515625" customWidth="1"/>
    <col min="13" max="13" width="17.7109375" customWidth="1"/>
    <col min="14" max="14" width="18" customWidth="1"/>
    <col min="15" max="15" width="4.42578125" customWidth="1"/>
    <col min="16" max="16" width="10" customWidth="1"/>
    <col min="17" max="17" width="3" customWidth="1"/>
    <col min="18" max="18" width="14" customWidth="1"/>
    <col min="19" max="19" width="15.7109375" customWidth="1"/>
    <col min="20" max="20" width="3.140625" customWidth="1"/>
    <col min="21" max="21" width="12" customWidth="1"/>
    <col min="22" max="22" width="9.7109375" customWidth="1"/>
    <col min="23" max="23" width="11.140625" customWidth="1"/>
    <col min="24" max="24" width="2.28515625" customWidth="1"/>
    <col min="25" max="25" width="10.42578125" customWidth="1"/>
    <col min="26" max="26" width="13.85546875" customWidth="1"/>
    <col min="27" max="27" width="2.7109375" customWidth="1"/>
    <col min="28" max="28" width="9.28515625" customWidth="1"/>
    <col min="29" max="29" width="1.42578125" customWidth="1"/>
    <col min="30" max="30" width="9.28515625" customWidth="1"/>
    <col min="31" max="31" width="3.140625" customWidth="1"/>
    <col min="32" max="33" width="9.28515625" customWidth="1"/>
  </cols>
  <sheetData>
    <row r="1" spans="1:32" ht="32.4">
      <c r="A1" s="134" t="s">
        <v>1048</v>
      </c>
      <c r="B1" s="134"/>
      <c r="C1" s="136"/>
      <c r="D1" s="136"/>
      <c r="E1" s="137"/>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row>
    <row r="2" spans="1:32" ht="10.199999999999999">
      <c r="A2" s="2871"/>
      <c r="B2" s="2863"/>
      <c r="C2" s="2863"/>
      <c r="D2" s="2863"/>
      <c r="E2" s="2863"/>
      <c r="F2" s="2863"/>
      <c r="G2" s="2863"/>
      <c r="H2" s="2863"/>
      <c r="I2" s="2863"/>
      <c r="J2" s="2863"/>
      <c r="K2" s="2863"/>
      <c r="L2" s="136"/>
      <c r="M2" s="136"/>
      <c r="N2" s="136"/>
      <c r="O2" s="136"/>
      <c r="P2" s="136"/>
      <c r="Q2" s="136"/>
      <c r="R2" s="136"/>
      <c r="S2" s="136"/>
      <c r="T2" s="136"/>
      <c r="U2" s="136"/>
      <c r="V2" s="136"/>
      <c r="W2" s="136"/>
      <c r="X2" s="136"/>
      <c r="Y2" s="136"/>
      <c r="Z2" s="136"/>
      <c r="AA2" s="136"/>
      <c r="AB2" s="136"/>
      <c r="AC2" s="136"/>
      <c r="AD2" s="136"/>
      <c r="AE2" s="136"/>
      <c r="AF2" s="136"/>
    </row>
    <row r="3" spans="1:32" ht="75" customHeight="1">
      <c r="A3" s="1"/>
      <c r="B3" s="1"/>
      <c r="C3" s="1"/>
      <c r="D3" s="1"/>
      <c r="E3" s="1"/>
      <c r="F3" s="1"/>
      <c r="G3" s="1"/>
      <c r="H3" s="1"/>
      <c r="I3" s="1"/>
      <c r="J3" s="799"/>
      <c r="K3" s="800"/>
      <c r="L3" s="800"/>
      <c r="M3" s="801"/>
      <c r="N3" s="1"/>
      <c r="O3" s="1"/>
      <c r="P3" s="1"/>
      <c r="Q3" s="1"/>
      <c r="R3" s="1"/>
      <c r="S3" s="1"/>
      <c r="T3" s="1"/>
      <c r="U3" s="1"/>
      <c r="V3" s="1"/>
      <c r="W3" s="1"/>
      <c r="X3" s="1"/>
      <c r="Y3" s="1"/>
      <c r="Z3" s="1"/>
      <c r="AA3" s="1"/>
      <c r="AB3" s="1"/>
      <c r="AC3" s="1"/>
      <c r="AD3" s="1"/>
      <c r="AE3" s="1"/>
      <c r="AF3" s="1"/>
    </row>
    <row r="4" spans="1:32" ht="21">
      <c r="A4" s="1"/>
      <c r="B4" s="2874" t="s">
        <v>1049</v>
      </c>
      <c r="C4" s="2861"/>
      <c r="D4" s="2861"/>
      <c r="E4" s="2861"/>
      <c r="F4" s="2861"/>
      <c r="G4" s="2861"/>
      <c r="H4" s="2859"/>
      <c r="I4" s="1"/>
      <c r="J4" s="2875" t="s">
        <v>1050</v>
      </c>
      <c r="K4" s="2861"/>
      <c r="L4" s="2861"/>
      <c r="M4" s="2859"/>
      <c r="N4" s="321"/>
      <c r="O4" s="1"/>
      <c r="P4" s="1"/>
      <c r="Q4" s="1"/>
      <c r="R4" s="1"/>
      <c r="S4" s="1"/>
      <c r="T4" s="1"/>
      <c r="U4" s="1"/>
      <c r="V4" s="1"/>
      <c r="W4" s="1"/>
      <c r="X4" s="1"/>
      <c r="Y4" s="1"/>
      <c r="Z4" s="1"/>
      <c r="AA4" s="1"/>
      <c r="AB4" s="1"/>
      <c r="AC4" s="1"/>
      <c r="AD4" s="1"/>
      <c r="AE4" s="1"/>
      <c r="AF4" s="1"/>
    </row>
    <row r="5" spans="1:32" ht="21">
      <c r="A5" s="1"/>
      <c r="B5" s="802" t="s">
        <v>1051</v>
      </c>
      <c r="C5" s="380"/>
      <c r="D5" s="380"/>
      <c r="E5" s="380"/>
      <c r="F5" s="380"/>
      <c r="G5" s="380"/>
      <c r="H5" s="803"/>
      <c r="I5" s="1"/>
      <c r="J5" s="2876" t="s">
        <v>1052</v>
      </c>
      <c r="K5" s="2877"/>
      <c r="L5" s="2877"/>
      <c r="M5" s="2878"/>
      <c r="N5" s="321"/>
      <c r="O5" s="1"/>
      <c r="P5" s="1"/>
      <c r="Q5" s="1"/>
      <c r="R5" s="1"/>
      <c r="S5" s="1"/>
      <c r="T5" s="1"/>
      <c r="U5" s="1"/>
      <c r="V5" s="1"/>
      <c r="W5" s="1"/>
      <c r="X5" s="1"/>
      <c r="Y5" s="1"/>
      <c r="Z5" s="1"/>
      <c r="AA5" s="1"/>
      <c r="AB5" s="1"/>
      <c r="AC5" s="1"/>
      <c r="AD5" s="1"/>
      <c r="AE5" s="1"/>
      <c r="AF5" s="1"/>
    </row>
    <row r="6" spans="1:32" ht="15.6">
      <c r="A6" s="1"/>
      <c r="B6" s="378"/>
      <c r="C6" s="2879" t="s">
        <v>1053</v>
      </c>
      <c r="D6" s="2877"/>
      <c r="E6" s="2877"/>
      <c r="F6" s="2877"/>
      <c r="G6" s="2880"/>
      <c r="H6" s="804" t="s">
        <v>1054</v>
      </c>
      <c r="I6" s="1"/>
      <c r="J6" s="805"/>
      <c r="K6" s="649"/>
      <c r="L6" s="649"/>
      <c r="M6" s="806"/>
      <c r="N6" s="1"/>
      <c r="O6" s="1"/>
      <c r="P6" s="1"/>
      <c r="Q6" s="1"/>
      <c r="R6" s="1"/>
      <c r="S6" s="1"/>
      <c r="T6" s="1"/>
      <c r="U6" s="1"/>
      <c r="V6" s="1"/>
      <c r="W6" s="1"/>
      <c r="X6" s="1"/>
      <c r="Y6" s="1"/>
      <c r="Z6" s="1"/>
      <c r="AA6" s="1"/>
      <c r="AB6" s="1"/>
      <c r="AC6" s="1"/>
      <c r="AD6" s="1"/>
      <c r="AE6" s="1"/>
      <c r="AF6" s="1"/>
    </row>
    <row r="7" spans="1:32" ht="14.4">
      <c r="A7" s="1"/>
      <c r="B7" s="807" t="s">
        <v>1055</v>
      </c>
      <c r="C7" s="380" t="s">
        <v>662</v>
      </c>
      <c r="D7" s="380" t="s">
        <v>244</v>
      </c>
      <c r="E7" s="380" t="s">
        <v>1056</v>
      </c>
      <c r="F7" s="380" t="s">
        <v>1057</v>
      </c>
      <c r="G7" s="380" t="s">
        <v>1058</v>
      </c>
      <c r="H7" s="808" t="s">
        <v>1059</v>
      </c>
      <c r="I7" s="1"/>
      <c r="J7" s="807" t="s">
        <v>1055</v>
      </c>
      <c r="K7" s="809" t="s">
        <v>662</v>
      </c>
      <c r="L7" s="810" t="s">
        <v>244</v>
      </c>
      <c r="M7" s="803"/>
      <c r="N7" s="1"/>
      <c r="O7" s="1"/>
      <c r="P7" s="1"/>
      <c r="Q7" s="1"/>
      <c r="R7" s="1"/>
      <c r="S7" s="1"/>
      <c r="T7" s="1"/>
      <c r="U7" s="1"/>
      <c r="V7" s="1"/>
      <c r="W7" s="1"/>
      <c r="X7" s="1"/>
      <c r="Y7" s="1"/>
      <c r="Z7" s="1"/>
      <c r="AA7" s="1"/>
      <c r="AB7" s="1"/>
      <c r="AC7" s="1"/>
      <c r="AD7" s="1"/>
      <c r="AE7" s="1"/>
      <c r="AF7" s="1"/>
    </row>
    <row r="8" spans="1:32" ht="10.199999999999999">
      <c r="A8" s="1"/>
      <c r="B8" s="378" t="s">
        <v>1060</v>
      </c>
      <c r="C8" s="811">
        <v>308000610328.80688</v>
      </c>
      <c r="D8" s="811">
        <v>122747018358.39999</v>
      </c>
      <c r="E8" s="811">
        <v>261386862.39999998</v>
      </c>
      <c r="F8" s="811">
        <v>1692486198</v>
      </c>
      <c r="G8" s="811">
        <v>432701501747.60693</v>
      </c>
      <c r="H8" s="812">
        <v>0.43270150174760691</v>
      </c>
      <c r="I8" s="1"/>
      <c r="J8" s="807">
        <v>24001</v>
      </c>
      <c r="K8" s="813">
        <v>4024625.7498999778</v>
      </c>
      <c r="L8" s="813">
        <v>1566266.9579059007</v>
      </c>
      <c r="M8" s="382"/>
      <c r="N8" s="1"/>
      <c r="O8" s="1"/>
      <c r="P8" s="1"/>
      <c r="Q8" s="1"/>
      <c r="R8" s="1"/>
      <c r="S8" s="1"/>
      <c r="T8" s="1"/>
      <c r="U8" s="1"/>
      <c r="V8" s="1"/>
      <c r="W8" s="1"/>
      <c r="X8" s="1"/>
      <c r="Y8" s="1"/>
      <c r="Z8" s="1"/>
      <c r="AA8" s="1"/>
      <c r="AB8" s="1"/>
      <c r="AC8" s="1"/>
      <c r="AD8" s="1"/>
      <c r="AE8" s="1"/>
      <c r="AF8" s="1"/>
    </row>
    <row r="9" spans="1:32" ht="10.199999999999999">
      <c r="A9" s="1"/>
      <c r="B9" s="378" t="s">
        <v>1061</v>
      </c>
      <c r="C9" s="811">
        <v>2310633384423.9053</v>
      </c>
      <c r="D9" s="811">
        <v>587373534154</v>
      </c>
      <c r="E9" s="811">
        <v>1021149872</v>
      </c>
      <c r="F9" s="811">
        <v>13427825026</v>
      </c>
      <c r="G9" s="811">
        <v>2912455893475.9053</v>
      </c>
      <c r="H9" s="812">
        <v>2.9124558934759053</v>
      </c>
      <c r="I9" s="1"/>
      <c r="J9" s="807">
        <v>24003</v>
      </c>
      <c r="K9" s="813">
        <v>30211831.7058492</v>
      </c>
      <c r="L9" s="813">
        <v>7507403.7956752907</v>
      </c>
      <c r="M9" s="382"/>
      <c r="N9" s="1"/>
      <c r="O9" s="1"/>
      <c r="P9" s="1"/>
      <c r="Q9" s="1"/>
      <c r="R9" s="1"/>
      <c r="S9" s="1"/>
      <c r="T9" s="1"/>
      <c r="U9" s="1"/>
      <c r="V9" s="1"/>
      <c r="W9" s="1"/>
      <c r="X9" s="1"/>
      <c r="Y9" s="1"/>
      <c r="Z9" s="1"/>
      <c r="AA9" s="1"/>
      <c r="AB9" s="1"/>
      <c r="AC9" s="1"/>
      <c r="AD9" s="1"/>
      <c r="AE9" s="1"/>
      <c r="AF9" s="1"/>
    </row>
    <row r="10" spans="1:32" ht="10.199999999999999">
      <c r="A10" s="1"/>
      <c r="B10" s="378" t="s">
        <v>1062</v>
      </c>
      <c r="C10" s="811">
        <v>3189909768954.606</v>
      </c>
      <c r="D10" s="811">
        <v>901693196150</v>
      </c>
      <c r="E10" s="811">
        <v>931872990</v>
      </c>
      <c r="F10" s="811">
        <v>18021169228</v>
      </c>
      <c r="G10" s="811">
        <v>4110556007322.606</v>
      </c>
      <c r="H10" s="812">
        <v>4.1105560073226064</v>
      </c>
      <c r="I10" s="1"/>
      <c r="J10" s="807">
        <v>24005</v>
      </c>
      <c r="K10" s="813">
        <v>41732916.603577204</v>
      </c>
      <c r="L10" s="813">
        <v>11523176.879963193</v>
      </c>
      <c r="M10" s="382"/>
      <c r="N10" s="1"/>
      <c r="O10" s="1"/>
      <c r="P10" s="1"/>
      <c r="Q10" s="1"/>
      <c r="R10" s="1"/>
      <c r="S10" s="1"/>
      <c r="T10" s="1"/>
      <c r="U10" s="1"/>
      <c r="V10" s="1"/>
      <c r="W10" s="1"/>
      <c r="X10" s="1"/>
      <c r="Y10" s="1"/>
      <c r="Z10" s="1"/>
      <c r="AA10" s="1"/>
      <c r="AB10" s="1"/>
      <c r="AC10" s="1"/>
      <c r="AD10" s="1"/>
      <c r="AE10" s="1"/>
      <c r="AF10" s="1"/>
    </row>
    <row r="11" spans="1:32" ht="10.199999999999999">
      <c r="A11" s="1"/>
      <c r="B11" s="378" t="s">
        <v>1063</v>
      </c>
      <c r="C11" s="811">
        <v>281480510940.0614</v>
      </c>
      <c r="D11" s="811">
        <v>52110213741.390625</v>
      </c>
      <c r="E11" s="811">
        <v>125760116.49218851</v>
      </c>
      <c r="F11" s="811">
        <v>1607423365</v>
      </c>
      <c r="G11" s="811">
        <v>335323908162.94421</v>
      </c>
      <c r="H11" s="812">
        <v>0.33532390816294422</v>
      </c>
      <c r="I11" s="1"/>
      <c r="J11" s="807">
        <v>24009</v>
      </c>
      <c r="K11" s="813">
        <v>3668145.5388240311</v>
      </c>
      <c r="L11" s="813">
        <v>666125.53684306052</v>
      </c>
      <c r="M11" s="382"/>
      <c r="N11" s="1"/>
      <c r="O11" s="1"/>
      <c r="P11" s="1"/>
      <c r="Q11" s="1"/>
      <c r="R11" s="1"/>
      <c r="S11" s="1"/>
      <c r="T11" s="1"/>
      <c r="U11" s="1"/>
      <c r="V11" s="1"/>
      <c r="W11" s="1"/>
      <c r="X11" s="1"/>
      <c r="Y11" s="1"/>
      <c r="Z11" s="1"/>
      <c r="AA11" s="1"/>
      <c r="AB11" s="1"/>
      <c r="AC11" s="1"/>
      <c r="AD11" s="1"/>
      <c r="AE11" s="1"/>
      <c r="AF11" s="1"/>
    </row>
    <row r="12" spans="1:32" ht="10.199999999999999">
      <c r="A12" s="1"/>
      <c r="B12" s="378" t="s">
        <v>1064</v>
      </c>
      <c r="C12" s="811">
        <v>145259850063.36288</v>
      </c>
      <c r="D12" s="811">
        <v>47409338731.625</v>
      </c>
      <c r="E12" s="811">
        <v>22215655.849609401</v>
      </c>
      <c r="F12" s="811">
        <v>753481510</v>
      </c>
      <c r="G12" s="811">
        <v>193444885960.83749</v>
      </c>
      <c r="H12" s="812">
        <v>0.1934448859608375</v>
      </c>
      <c r="I12" s="1"/>
      <c r="J12" s="807">
        <v>24011</v>
      </c>
      <c r="K12" s="813">
        <v>1892416.8039617413</v>
      </c>
      <c r="L12" s="813">
        <v>606201.52102202049</v>
      </c>
      <c r="M12" s="382"/>
      <c r="N12" s="1"/>
      <c r="O12" s="1"/>
      <c r="P12" s="1"/>
      <c r="Q12" s="1"/>
      <c r="R12" s="1"/>
      <c r="S12" s="1"/>
      <c r="T12" s="1"/>
      <c r="U12" s="1"/>
      <c r="V12" s="1"/>
      <c r="W12" s="1"/>
      <c r="X12" s="1"/>
      <c r="Y12" s="1"/>
      <c r="Z12" s="1"/>
      <c r="AA12" s="1"/>
      <c r="AB12" s="1"/>
      <c r="AC12" s="1"/>
      <c r="AD12" s="1"/>
      <c r="AE12" s="1"/>
      <c r="AF12" s="1"/>
    </row>
    <row r="13" spans="1:32" ht="10.199999999999999">
      <c r="A13" s="1"/>
      <c r="B13" s="378" t="s">
        <v>1065</v>
      </c>
      <c r="C13" s="811">
        <v>520560620101.63086</v>
      </c>
      <c r="D13" s="811">
        <v>113378271225</v>
      </c>
      <c r="E13" s="811">
        <v>167539934</v>
      </c>
      <c r="F13" s="811">
        <v>3006817900</v>
      </c>
      <c r="G13" s="811">
        <v>637113249160.63086</v>
      </c>
      <c r="H13" s="812">
        <v>0.63711324916063083</v>
      </c>
      <c r="I13" s="1"/>
      <c r="J13" s="807">
        <v>24013</v>
      </c>
      <c r="K13" s="813">
        <v>6777297.6520936666</v>
      </c>
      <c r="L13" s="813">
        <v>1449291.4402562417</v>
      </c>
      <c r="M13" s="382"/>
      <c r="N13" s="1"/>
      <c r="O13" s="1"/>
      <c r="P13" s="1"/>
      <c r="Q13" s="1"/>
      <c r="R13" s="1"/>
      <c r="S13" s="1"/>
      <c r="T13" s="1"/>
      <c r="U13" s="1"/>
      <c r="V13" s="1"/>
      <c r="W13" s="1"/>
      <c r="X13" s="1"/>
      <c r="Y13" s="1"/>
      <c r="Z13" s="1"/>
      <c r="AA13" s="1"/>
      <c r="AB13" s="1"/>
      <c r="AC13" s="1"/>
      <c r="AD13" s="1"/>
      <c r="AE13" s="1"/>
      <c r="AF13" s="1"/>
    </row>
    <row r="14" spans="1:32" ht="10.199999999999999">
      <c r="A14" s="1"/>
      <c r="B14" s="378" t="s">
        <v>1066</v>
      </c>
      <c r="C14" s="811">
        <v>455752498317.04785</v>
      </c>
      <c r="D14" s="811">
        <v>235577119168.99902</v>
      </c>
      <c r="E14" s="811">
        <v>437006934.80468798</v>
      </c>
      <c r="F14" s="811">
        <v>2531632977</v>
      </c>
      <c r="G14" s="811">
        <v>694298257397.85156</v>
      </c>
      <c r="H14" s="812">
        <v>0.69429825739785156</v>
      </c>
      <c r="I14" s="1"/>
      <c r="J14" s="807">
        <v>24015</v>
      </c>
      <c r="K14" s="813">
        <v>5960204.3599246712</v>
      </c>
      <c r="L14" s="813">
        <v>3007734.0485862512</v>
      </c>
      <c r="M14" s="382"/>
      <c r="N14" s="1"/>
      <c r="O14" s="1"/>
      <c r="P14" s="1"/>
      <c r="Q14" s="1"/>
      <c r="R14" s="1"/>
      <c r="S14" s="1"/>
      <c r="T14" s="1"/>
      <c r="U14" s="1"/>
      <c r="V14" s="1"/>
      <c r="W14" s="1"/>
      <c r="X14" s="1"/>
      <c r="Y14" s="1"/>
      <c r="Z14" s="1"/>
      <c r="AA14" s="1"/>
      <c r="AB14" s="1"/>
      <c r="AC14" s="1"/>
      <c r="AD14" s="1"/>
      <c r="AE14" s="1"/>
      <c r="AF14" s="1"/>
    </row>
    <row r="15" spans="1:32" ht="10.199999999999999">
      <c r="A15" s="1"/>
      <c r="B15" s="378" t="s">
        <v>1067</v>
      </c>
      <c r="C15" s="811">
        <v>487874554062.20239</v>
      </c>
      <c r="D15" s="811">
        <v>103255949117</v>
      </c>
      <c r="E15" s="811">
        <v>123811505</v>
      </c>
      <c r="F15" s="811">
        <v>2608431041</v>
      </c>
      <c r="G15" s="811">
        <v>593862745725.20239</v>
      </c>
      <c r="H15" s="812">
        <v>0.59386274572520237</v>
      </c>
      <c r="I15" s="1"/>
      <c r="J15" s="807">
        <v>24017</v>
      </c>
      <c r="K15" s="813">
        <v>6362541.7291770391</v>
      </c>
      <c r="L15" s="813">
        <v>1320009.3593211155</v>
      </c>
      <c r="M15" s="382"/>
      <c r="N15" s="1"/>
      <c r="O15" s="1"/>
      <c r="P15" s="1"/>
      <c r="Q15" s="1"/>
      <c r="R15" s="1"/>
      <c r="S15" s="1"/>
      <c r="T15" s="1"/>
      <c r="U15" s="1"/>
      <c r="V15" s="1"/>
      <c r="W15" s="1"/>
      <c r="X15" s="1"/>
      <c r="Y15" s="1"/>
      <c r="Z15" s="1"/>
      <c r="AA15" s="1"/>
      <c r="AB15" s="1"/>
      <c r="AC15" s="1"/>
      <c r="AD15" s="1"/>
      <c r="AE15" s="1"/>
      <c r="AF15" s="1"/>
    </row>
    <row r="16" spans="1:32" ht="10.199999999999999">
      <c r="A16" s="1"/>
      <c r="B16" s="378" t="s">
        <v>1068</v>
      </c>
      <c r="C16" s="811">
        <v>135056223290.78943</v>
      </c>
      <c r="D16" s="811">
        <v>38385800667.902344</v>
      </c>
      <c r="E16" s="811">
        <v>209591468</v>
      </c>
      <c r="F16" s="811">
        <v>676566300</v>
      </c>
      <c r="G16" s="811">
        <v>174328181726.69177</v>
      </c>
      <c r="H16" s="812">
        <v>0.17432818172669176</v>
      </c>
      <c r="I16" s="1"/>
      <c r="J16" s="807">
        <v>24019</v>
      </c>
      <c r="K16" s="813">
        <v>1761361.4320852866</v>
      </c>
      <c r="L16" s="813">
        <v>490818.59431088087</v>
      </c>
      <c r="M16" s="382"/>
      <c r="N16" s="1"/>
      <c r="O16" s="1"/>
      <c r="P16" s="1"/>
      <c r="Q16" s="1"/>
      <c r="R16" s="1"/>
      <c r="S16" s="1"/>
      <c r="T16" s="1"/>
      <c r="U16" s="1"/>
      <c r="V16" s="1"/>
      <c r="W16" s="1"/>
      <c r="X16" s="1"/>
      <c r="Y16" s="1"/>
      <c r="Z16" s="1"/>
      <c r="AA16" s="1"/>
      <c r="AB16" s="1"/>
      <c r="AC16" s="1"/>
      <c r="AD16" s="1"/>
      <c r="AE16" s="1"/>
      <c r="AF16" s="1"/>
    </row>
    <row r="17" spans="1:33" ht="10.199999999999999">
      <c r="A17" s="1"/>
      <c r="B17" s="378" t="s">
        <v>1069</v>
      </c>
      <c r="C17" s="811">
        <v>1209064405591.2637</v>
      </c>
      <c r="D17" s="811">
        <v>324125385257.6875</v>
      </c>
      <c r="E17" s="811">
        <v>506871146</v>
      </c>
      <c r="F17" s="811">
        <v>6883555998</v>
      </c>
      <c r="G17" s="811">
        <v>1540580217992.9512</v>
      </c>
      <c r="H17" s="812">
        <v>1.5405802179929511</v>
      </c>
      <c r="I17" s="1"/>
      <c r="J17" s="807">
        <v>24021</v>
      </c>
      <c r="K17" s="813">
        <v>15820734.776840761</v>
      </c>
      <c r="L17" s="813">
        <v>4142039.4084790405</v>
      </c>
      <c r="M17" s="382"/>
      <c r="N17" s="1"/>
      <c r="O17" s="1"/>
      <c r="P17" s="1"/>
      <c r="Q17" s="1"/>
      <c r="R17" s="1"/>
      <c r="S17" s="1"/>
      <c r="T17" s="1"/>
      <c r="U17" s="1"/>
      <c r="V17" s="1"/>
      <c r="W17" s="1"/>
      <c r="X17" s="1"/>
      <c r="Y17" s="1"/>
      <c r="Z17" s="1"/>
      <c r="AA17" s="1"/>
      <c r="AB17" s="1"/>
      <c r="AC17" s="1"/>
      <c r="AD17" s="1"/>
      <c r="AE17" s="1"/>
      <c r="AF17" s="1"/>
    </row>
    <row r="18" spans="1:33" ht="10.199999999999999">
      <c r="A18" s="1"/>
      <c r="B18" s="378" t="s">
        <v>1070</v>
      </c>
      <c r="C18" s="811">
        <v>179261611149.90283</v>
      </c>
      <c r="D18" s="811">
        <v>91080304388.205078</v>
      </c>
      <c r="E18" s="811">
        <v>163034263.20312399</v>
      </c>
      <c r="F18" s="811">
        <v>1164097733.2998047</v>
      </c>
      <c r="G18" s="811">
        <v>271669047534.61084</v>
      </c>
      <c r="H18" s="812">
        <v>0.27166904753461085</v>
      </c>
      <c r="I18" s="1"/>
      <c r="J18" s="807">
        <v>24023</v>
      </c>
      <c r="K18" s="813">
        <v>2346589.3192598992</v>
      </c>
      <c r="L18" s="813">
        <v>1161059.5143297252</v>
      </c>
      <c r="M18" s="382"/>
      <c r="N18" s="1"/>
      <c r="O18" s="1"/>
      <c r="P18" s="1"/>
      <c r="Q18" s="1"/>
      <c r="R18" s="1"/>
      <c r="S18" s="1"/>
      <c r="T18" s="1"/>
      <c r="U18" s="1"/>
      <c r="V18" s="1"/>
      <c r="W18" s="1"/>
      <c r="X18" s="1"/>
      <c r="Y18" s="1"/>
      <c r="Z18" s="1"/>
      <c r="AA18" s="1"/>
      <c r="AB18" s="1"/>
      <c r="AC18" s="1"/>
      <c r="AD18" s="1"/>
      <c r="AE18" s="1"/>
      <c r="AF18" s="1"/>
    </row>
    <row r="19" spans="1:33" ht="10.199999999999999">
      <c r="A19" s="1"/>
      <c r="B19" s="378" t="s">
        <v>1071</v>
      </c>
      <c r="C19" s="811">
        <v>950935023801.16699</v>
      </c>
      <c r="D19" s="811">
        <v>246234168812.60156</v>
      </c>
      <c r="E19" s="811">
        <v>601612649</v>
      </c>
      <c r="F19" s="811">
        <v>5559784913</v>
      </c>
      <c r="G19" s="811">
        <v>1203330590175.7686</v>
      </c>
      <c r="H19" s="812">
        <v>1.2033305901757685</v>
      </c>
      <c r="I19" s="1"/>
      <c r="J19" s="807">
        <v>24025</v>
      </c>
      <c r="K19" s="813">
        <v>12426907.206013415</v>
      </c>
      <c r="L19" s="813">
        <v>3146844.4545620647</v>
      </c>
      <c r="M19" s="382"/>
      <c r="N19" s="1"/>
      <c r="O19" s="1"/>
      <c r="P19" s="1"/>
      <c r="Q19" s="1"/>
      <c r="R19" s="1"/>
      <c r="S19" s="1"/>
      <c r="T19" s="1"/>
      <c r="U19" s="1"/>
      <c r="V19" s="1"/>
      <c r="W19" s="1"/>
      <c r="X19" s="1"/>
      <c r="Y19" s="1"/>
      <c r="Z19" s="1"/>
      <c r="AA19" s="1"/>
      <c r="AB19" s="1"/>
      <c r="AC19" s="1"/>
      <c r="AD19" s="1"/>
      <c r="AE19" s="1"/>
      <c r="AF19" s="1"/>
    </row>
    <row r="20" spans="1:33" ht="10.199999999999999">
      <c r="A20" s="1"/>
      <c r="B20" s="378" t="s">
        <v>1072</v>
      </c>
      <c r="C20" s="811">
        <v>1569754118773.6157</v>
      </c>
      <c r="D20" s="811">
        <v>445846361343</v>
      </c>
      <c r="E20" s="811">
        <v>970676550</v>
      </c>
      <c r="F20" s="811">
        <v>9246061824</v>
      </c>
      <c r="G20" s="811">
        <v>2025817218490.6157</v>
      </c>
      <c r="H20" s="812">
        <v>2.0258172184906158</v>
      </c>
      <c r="I20" s="1"/>
      <c r="J20" s="807">
        <v>24027</v>
      </c>
      <c r="K20" s="813">
        <v>20574375.437307827</v>
      </c>
      <c r="L20" s="813">
        <v>5695656.8063449822</v>
      </c>
      <c r="M20" s="382"/>
      <c r="N20" s="1"/>
      <c r="O20" s="1"/>
      <c r="P20" s="1"/>
      <c r="Q20" s="1"/>
      <c r="R20" s="1"/>
      <c r="S20" s="1"/>
      <c r="T20" s="1"/>
      <c r="U20" s="1"/>
      <c r="V20" s="1"/>
      <c r="W20" s="1"/>
      <c r="X20" s="1"/>
      <c r="Y20" s="1"/>
      <c r="Z20" s="1"/>
      <c r="AA20" s="1"/>
      <c r="AB20" s="1"/>
      <c r="AC20" s="1"/>
      <c r="AD20" s="1"/>
      <c r="AE20" s="1"/>
      <c r="AF20" s="1"/>
    </row>
    <row r="21" spans="1:33" ht="15.75" customHeight="1">
      <c r="A21" s="1"/>
      <c r="B21" s="378" t="s">
        <v>1073</v>
      </c>
      <c r="C21" s="811">
        <v>75082008860.507324</v>
      </c>
      <c r="D21" s="811">
        <v>26468562156.37207</v>
      </c>
      <c r="E21" s="811">
        <v>74091279.501953006</v>
      </c>
      <c r="F21" s="811">
        <v>394143744.1015625</v>
      </c>
      <c r="G21" s="811">
        <v>102018806040.48291</v>
      </c>
      <c r="H21" s="812">
        <v>0.10201880604048291</v>
      </c>
      <c r="I21" s="1"/>
      <c r="J21" s="807">
        <v>24029</v>
      </c>
      <c r="K21" s="813">
        <v>978422.74624681706</v>
      </c>
      <c r="L21" s="813">
        <v>338448.30209949741</v>
      </c>
      <c r="M21" s="382"/>
      <c r="N21" s="1"/>
      <c r="O21" s="1"/>
      <c r="P21" s="1"/>
      <c r="Q21" s="1"/>
      <c r="R21" s="1"/>
      <c r="S21" s="1"/>
      <c r="T21" s="1"/>
      <c r="U21" s="1"/>
      <c r="V21" s="1"/>
      <c r="W21" s="1"/>
      <c r="X21" s="1"/>
      <c r="Y21" s="1"/>
      <c r="Z21" s="1"/>
      <c r="AA21" s="1"/>
      <c r="AB21" s="1"/>
      <c r="AC21" s="1"/>
      <c r="AD21" s="1"/>
      <c r="AE21" s="1"/>
      <c r="AF21" s="1"/>
    </row>
    <row r="22" spans="1:33" ht="15.75" customHeight="1">
      <c r="A22" s="1"/>
      <c r="B22" s="378" t="s">
        <v>1074</v>
      </c>
      <c r="C22" s="811">
        <v>2972400895786.0869</v>
      </c>
      <c r="D22" s="811">
        <v>708429587230</v>
      </c>
      <c r="E22" s="811">
        <v>3299517844</v>
      </c>
      <c r="F22" s="811">
        <v>16632161134</v>
      </c>
      <c r="G22" s="811">
        <v>3700762161994.0869</v>
      </c>
      <c r="H22" s="812">
        <v>3.7007621619940867</v>
      </c>
      <c r="I22" s="1"/>
      <c r="J22" s="807">
        <v>24031</v>
      </c>
      <c r="K22" s="813">
        <v>38845896.836231336</v>
      </c>
      <c r="L22" s="813">
        <v>9055712.8835702203</v>
      </c>
      <c r="M22" s="382"/>
      <c r="N22" s="1"/>
      <c r="O22" s="1"/>
      <c r="P22" s="1"/>
      <c r="Q22" s="1"/>
      <c r="R22" s="1"/>
      <c r="S22" s="1"/>
      <c r="T22" s="1"/>
      <c r="U22" s="1"/>
      <c r="V22" s="1"/>
      <c r="W22" s="1"/>
      <c r="X22" s="1"/>
      <c r="Y22" s="1"/>
      <c r="Z22" s="1"/>
      <c r="AA22" s="1"/>
      <c r="AB22" s="1"/>
      <c r="AC22" s="1"/>
      <c r="AD22" s="1"/>
      <c r="AE22" s="1"/>
      <c r="AF22" s="1"/>
    </row>
    <row r="23" spans="1:33" ht="15.75" customHeight="1">
      <c r="A23" s="1"/>
      <c r="B23" s="378" t="s">
        <v>1075</v>
      </c>
      <c r="C23" s="811">
        <v>3565622814685.4043</v>
      </c>
      <c r="D23" s="811">
        <v>851768226026</v>
      </c>
      <c r="E23" s="811">
        <v>2090488332</v>
      </c>
      <c r="F23" s="811">
        <v>17618499440</v>
      </c>
      <c r="G23" s="811">
        <v>4437100028483.4043</v>
      </c>
      <c r="H23" s="812">
        <v>4.4371000284834041</v>
      </c>
      <c r="I23" s="1"/>
      <c r="J23" s="807">
        <v>24033</v>
      </c>
      <c r="K23" s="813">
        <v>46651563.157646984</v>
      </c>
      <c r="L23" s="813">
        <v>10890180.796447774</v>
      </c>
      <c r="M23" s="382"/>
      <c r="N23" s="1"/>
      <c r="O23" s="1"/>
      <c r="P23" s="1"/>
      <c r="Q23" s="1"/>
      <c r="R23" s="1"/>
      <c r="S23" s="1"/>
      <c r="T23" s="1"/>
      <c r="U23" s="1"/>
      <c r="V23" s="1"/>
      <c r="W23" s="1"/>
      <c r="X23" s="1"/>
      <c r="Y23" s="1"/>
      <c r="Z23" s="1"/>
      <c r="AA23" s="1"/>
      <c r="AB23" s="1"/>
      <c r="AC23" s="1"/>
      <c r="AD23" s="1"/>
      <c r="AE23" s="1"/>
      <c r="AF23" s="1"/>
    </row>
    <row r="24" spans="1:33" ht="15.75" customHeight="1">
      <c r="A24" s="1"/>
      <c r="B24" s="378" t="s">
        <v>1076</v>
      </c>
      <c r="C24" s="811">
        <v>321539451321.09192</v>
      </c>
      <c r="D24" s="811">
        <v>131287130684.10938</v>
      </c>
      <c r="E24" s="811">
        <v>167344819.40039003</v>
      </c>
      <c r="F24" s="811">
        <v>1838679845</v>
      </c>
      <c r="G24" s="811">
        <v>454832606669.60168</v>
      </c>
      <c r="H24" s="812">
        <v>0.45483260666960168</v>
      </c>
      <c r="I24" s="1"/>
      <c r="J24" s="807">
        <v>24035</v>
      </c>
      <c r="K24" s="813">
        <v>4210243.2461693725</v>
      </c>
      <c r="L24" s="813">
        <v>1678915.4794893537</v>
      </c>
      <c r="M24" s="382"/>
      <c r="N24" s="1"/>
      <c r="O24" s="1"/>
      <c r="P24" s="1"/>
      <c r="Q24" s="1"/>
      <c r="R24" s="1"/>
      <c r="S24" s="1"/>
      <c r="T24" s="1"/>
      <c r="U24" s="1"/>
      <c r="V24" s="1"/>
      <c r="W24" s="1"/>
      <c r="X24" s="1"/>
      <c r="Y24" s="1"/>
      <c r="Z24" s="1"/>
      <c r="AA24" s="1"/>
      <c r="AB24" s="1"/>
      <c r="AC24" s="1"/>
      <c r="AD24" s="1"/>
      <c r="AE24" s="1"/>
      <c r="AF24" s="1"/>
    </row>
    <row r="25" spans="1:33" ht="15.75" customHeight="1">
      <c r="A25" s="1"/>
      <c r="B25" s="378" t="s">
        <v>1077</v>
      </c>
      <c r="C25" s="811">
        <v>350738546497.98938</v>
      </c>
      <c r="D25" s="811">
        <v>95167493076.529297</v>
      </c>
      <c r="E25" s="811">
        <v>142718739.60156101</v>
      </c>
      <c r="F25" s="811">
        <v>1902348368</v>
      </c>
      <c r="G25" s="811">
        <v>447951106682.12024</v>
      </c>
      <c r="H25" s="812">
        <v>0.44795110668212024</v>
      </c>
      <c r="I25" s="1"/>
      <c r="J25" s="807">
        <v>24037</v>
      </c>
      <c r="K25" s="813">
        <v>4567804.7166428966</v>
      </c>
      <c r="L25" s="813">
        <v>1216705.283043996</v>
      </c>
      <c r="M25" s="382"/>
      <c r="N25" s="1"/>
      <c r="O25" s="1"/>
      <c r="P25" s="1"/>
      <c r="Q25" s="1"/>
      <c r="R25" s="1"/>
      <c r="S25" s="1"/>
      <c r="T25" s="1"/>
      <c r="U25" s="1"/>
      <c r="V25" s="1"/>
      <c r="W25" s="1"/>
      <c r="X25" s="1"/>
      <c r="Y25" s="1"/>
      <c r="Z25" s="1"/>
      <c r="AA25" s="1"/>
      <c r="AB25" s="1"/>
      <c r="AC25" s="1"/>
      <c r="AD25" s="1"/>
      <c r="AE25" s="1"/>
      <c r="AF25" s="1"/>
    </row>
    <row r="26" spans="1:33" ht="15.75" customHeight="1">
      <c r="A26" s="1"/>
      <c r="B26" s="378" t="s">
        <v>1078</v>
      </c>
      <c r="C26" s="811">
        <v>98095230608.930359</v>
      </c>
      <c r="D26" s="811">
        <v>27852637523.021484</v>
      </c>
      <c r="E26" s="811">
        <v>19301969.022461001</v>
      </c>
      <c r="F26" s="811">
        <v>493159721.6953125</v>
      </c>
      <c r="G26" s="811">
        <v>126460329822.66962</v>
      </c>
      <c r="H26" s="812">
        <v>0.12646032982266961</v>
      </c>
      <c r="I26" s="1"/>
      <c r="J26" s="807">
        <v>24039</v>
      </c>
      <c r="K26" s="813">
        <v>1279456.0292922987</v>
      </c>
      <c r="L26" s="813">
        <v>356167.81581948756</v>
      </c>
      <c r="M26" s="382"/>
      <c r="N26" s="1"/>
      <c r="O26" s="1"/>
      <c r="P26" s="1"/>
      <c r="Q26" s="1"/>
      <c r="R26" s="1"/>
      <c r="S26" s="1"/>
      <c r="T26" s="1"/>
      <c r="U26" s="1"/>
      <c r="V26" s="1"/>
      <c r="W26" s="1"/>
      <c r="X26" s="1"/>
      <c r="Y26" s="1"/>
      <c r="Z26" s="1"/>
      <c r="AA26" s="1"/>
      <c r="AB26" s="1"/>
      <c r="AC26" s="1"/>
      <c r="AD26" s="1"/>
      <c r="AE26" s="1"/>
      <c r="AF26" s="1"/>
    </row>
    <row r="27" spans="1:33" ht="15.75" customHeight="1">
      <c r="A27" s="1"/>
      <c r="B27" s="378" t="s">
        <v>1079</v>
      </c>
      <c r="C27" s="811">
        <v>227129228256.84567</v>
      </c>
      <c r="D27" s="811">
        <v>66918860087.958008</v>
      </c>
      <c r="E27" s="811">
        <v>52176175.84960939</v>
      </c>
      <c r="F27" s="811">
        <v>1274722747</v>
      </c>
      <c r="G27" s="811">
        <v>295374987267.65332</v>
      </c>
      <c r="H27" s="812">
        <v>0.29537498726765332</v>
      </c>
      <c r="I27" s="1"/>
      <c r="J27" s="807">
        <v>24041</v>
      </c>
      <c r="K27" s="813">
        <v>2971022.6824704097</v>
      </c>
      <c r="L27" s="813">
        <v>855673.38774120004</v>
      </c>
      <c r="M27" s="382"/>
      <c r="N27" s="1"/>
      <c r="O27" s="1"/>
      <c r="P27" s="1"/>
      <c r="Q27" s="1"/>
      <c r="R27" s="1"/>
      <c r="S27" s="1"/>
      <c r="T27" s="1"/>
      <c r="U27" s="1"/>
      <c r="V27" s="1"/>
      <c r="W27" s="1"/>
      <c r="X27" s="1"/>
      <c r="Y27" s="1"/>
      <c r="Z27" s="1"/>
      <c r="AA27" s="1"/>
      <c r="AB27" s="1"/>
      <c r="AC27" s="1"/>
      <c r="AD27" s="1"/>
      <c r="AE27" s="1"/>
      <c r="AF27" s="1"/>
    </row>
    <row r="28" spans="1:33" ht="15.75" customHeight="1">
      <c r="A28" s="1"/>
      <c r="B28" s="378" t="s">
        <v>1080</v>
      </c>
      <c r="C28" s="811">
        <v>755019167713.14258</v>
      </c>
      <c r="D28" s="811">
        <v>390303894069</v>
      </c>
      <c r="E28" s="811">
        <v>380486251.10156298</v>
      </c>
      <c r="F28" s="811">
        <v>3858115692</v>
      </c>
      <c r="G28" s="811">
        <v>1149561663725.2441</v>
      </c>
      <c r="H28" s="812">
        <v>1.1495616637252442</v>
      </c>
      <c r="I28" s="1"/>
      <c r="J28" s="807">
        <v>24043</v>
      </c>
      <c r="K28" s="813">
        <v>9872925.8988738898</v>
      </c>
      <c r="L28" s="813">
        <v>4981358.1722214194</v>
      </c>
      <c r="M28" s="382"/>
      <c r="N28" s="1"/>
      <c r="O28" s="1"/>
      <c r="P28" s="1"/>
      <c r="Q28" s="1"/>
      <c r="R28" s="1"/>
      <c r="S28" s="1"/>
      <c r="T28" s="1"/>
      <c r="U28" s="1"/>
      <c r="V28" s="1"/>
      <c r="W28" s="1"/>
      <c r="X28" s="1"/>
      <c r="Y28" s="1"/>
      <c r="Z28" s="1"/>
      <c r="AA28" s="1"/>
      <c r="AB28" s="1"/>
      <c r="AC28" s="1"/>
      <c r="AD28" s="1"/>
      <c r="AE28" s="1"/>
      <c r="AF28" s="1"/>
    </row>
    <row r="29" spans="1:33" ht="15.75" customHeight="1">
      <c r="A29" s="1"/>
      <c r="B29" s="378" t="s">
        <v>1081</v>
      </c>
      <c r="C29" s="811">
        <v>379140857087.21313</v>
      </c>
      <c r="D29" s="811">
        <v>99549539521</v>
      </c>
      <c r="E29" s="811">
        <v>412890465</v>
      </c>
      <c r="F29" s="811">
        <v>1986664460</v>
      </c>
      <c r="G29" s="811">
        <v>481089951533.21313</v>
      </c>
      <c r="H29" s="812">
        <v>0.48108995153321316</v>
      </c>
      <c r="I29" s="1"/>
      <c r="J29" s="807">
        <v>24045</v>
      </c>
      <c r="K29" s="813">
        <v>4948193.4443784198</v>
      </c>
      <c r="L29" s="813">
        <v>1272800.3046044128</v>
      </c>
      <c r="M29" s="382"/>
      <c r="N29" s="1"/>
      <c r="O29" s="1"/>
      <c r="P29" s="1"/>
      <c r="Q29" s="1"/>
      <c r="R29" s="1"/>
      <c r="S29" s="1"/>
      <c r="T29" s="1"/>
      <c r="U29" s="1"/>
      <c r="V29" s="1"/>
      <c r="W29" s="1"/>
      <c r="X29" s="1"/>
      <c r="Y29" s="1"/>
      <c r="Z29" s="1"/>
      <c r="AA29" s="1"/>
      <c r="AB29" s="1"/>
      <c r="AC29" s="1"/>
      <c r="AD29" s="1"/>
      <c r="AE29" s="1"/>
      <c r="AF29" s="1"/>
    </row>
    <row r="30" spans="1:33" ht="15.75" customHeight="1">
      <c r="A30" s="1"/>
      <c r="B30" s="378" t="s">
        <v>1082</v>
      </c>
      <c r="C30" s="811">
        <v>304289121728.12396</v>
      </c>
      <c r="D30" s="811">
        <v>88071801377.699219</v>
      </c>
      <c r="E30" s="811">
        <v>576077238</v>
      </c>
      <c r="F30" s="811">
        <v>1703330535</v>
      </c>
      <c r="G30" s="811">
        <v>394640330878.82318</v>
      </c>
      <c r="H30" s="812">
        <v>0.39464033087882316</v>
      </c>
      <c r="I30" s="1"/>
      <c r="J30" s="807">
        <v>24047</v>
      </c>
      <c r="K30" s="813">
        <v>3978874.1254408248</v>
      </c>
      <c r="L30" s="813">
        <v>1126155.4336079489</v>
      </c>
      <c r="M30" s="382"/>
      <c r="N30" s="1"/>
      <c r="O30" s="1"/>
      <c r="P30" s="1"/>
      <c r="Q30" s="1"/>
      <c r="R30" s="1"/>
      <c r="S30" s="1"/>
      <c r="T30" s="1"/>
      <c r="U30" s="1"/>
      <c r="V30" s="1"/>
      <c r="W30" s="1"/>
      <c r="X30" s="1"/>
      <c r="Y30" s="1"/>
      <c r="Z30" s="1"/>
      <c r="AA30" s="1"/>
      <c r="AB30" s="1"/>
      <c r="AC30" s="1"/>
      <c r="AD30" s="1"/>
      <c r="AE30" s="1"/>
      <c r="AF30" s="1"/>
    </row>
    <row r="31" spans="1:33" ht="15.75" customHeight="1">
      <c r="A31" s="1"/>
      <c r="B31" s="378" t="s">
        <v>1083</v>
      </c>
      <c r="C31" s="811">
        <v>1408505840074.0625</v>
      </c>
      <c r="D31" s="811">
        <v>361589616214.01123</v>
      </c>
      <c r="E31" s="811">
        <v>3398767093.8906398</v>
      </c>
      <c r="F31" s="811">
        <v>6895404454.8007784</v>
      </c>
      <c r="G31" s="811">
        <v>1780389627836.7651</v>
      </c>
      <c r="H31" s="812">
        <v>1.7803896278367652</v>
      </c>
      <c r="I31" s="1"/>
      <c r="J31" s="807">
        <v>24510</v>
      </c>
      <c r="K31" s="813">
        <v>18426373.839391377</v>
      </c>
      <c r="L31" s="813">
        <v>4622419.6664459063</v>
      </c>
      <c r="M31" s="382"/>
      <c r="N31" s="1"/>
      <c r="O31" s="1"/>
      <c r="P31" s="1"/>
      <c r="Q31" s="1"/>
      <c r="R31" s="1"/>
      <c r="S31" s="1"/>
      <c r="T31" s="1"/>
      <c r="U31" s="1"/>
      <c r="V31" s="1"/>
      <c r="W31" s="1"/>
      <c r="X31" s="1"/>
      <c r="Y31" s="1"/>
      <c r="Z31" s="1"/>
      <c r="AA31" s="1"/>
      <c r="AB31" s="1"/>
      <c r="AC31" s="1"/>
      <c r="AD31" s="1"/>
      <c r="AE31" s="1"/>
      <c r="AF31" s="1"/>
    </row>
    <row r="32" spans="1:33" ht="15.75" customHeight="1">
      <c r="A32" s="1"/>
      <c r="B32" s="814" t="s">
        <v>1084</v>
      </c>
      <c r="C32" s="815">
        <v>22201106342417.762</v>
      </c>
      <c r="D32" s="815">
        <v>6156624009081.5117</v>
      </c>
      <c r="E32" s="815">
        <v>16156390154.117788</v>
      </c>
      <c r="F32" s="815">
        <v>121776564154.89746</v>
      </c>
      <c r="G32" s="815">
        <v>28495663305808.289</v>
      </c>
      <c r="H32" s="816">
        <v>28.495663305808289</v>
      </c>
      <c r="I32" s="1"/>
      <c r="J32" s="817" t="s">
        <v>1084</v>
      </c>
      <c r="K32" s="818">
        <v>290290725.03759927</v>
      </c>
      <c r="L32" s="818">
        <v>78677165.842691004</v>
      </c>
      <c r="M32" s="382"/>
      <c r="N32" s="1"/>
      <c r="O32" s="1"/>
      <c r="P32" s="1"/>
      <c r="Q32" s="1"/>
      <c r="R32" s="1"/>
      <c r="S32" s="1"/>
      <c r="T32" s="1"/>
      <c r="U32" s="1"/>
      <c r="V32" s="1"/>
      <c r="W32" s="1"/>
      <c r="X32" s="1"/>
      <c r="Y32" s="1"/>
      <c r="Z32" s="1"/>
      <c r="AA32" s="1"/>
      <c r="AB32" s="1"/>
      <c r="AC32" s="1"/>
      <c r="AD32" s="1"/>
      <c r="AE32" s="1"/>
      <c r="AF32" s="1"/>
      <c r="AG32" s="1"/>
    </row>
    <row r="33" spans="1:33" ht="15.75" customHeight="1">
      <c r="A33" s="1"/>
      <c r="B33" s="378"/>
      <c r="C33" s="381"/>
      <c r="D33" s="381"/>
      <c r="E33" s="381"/>
      <c r="F33" s="381"/>
      <c r="G33" s="381"/>
      <c r="H33" s="382"/>
      <c r="I33" s="1"/>
      <c r="J33" s="819"/>
      <c r="K33" s="820"/>
      <c r="L33" s="821"/>
      <c r="M33" s="382"/>
      <c r="N33" s="1"/>
      <c r="O33" s="1"/>
      <c r="P33" s="1"/>
      <c r="Q33" s="1"/>
      <c r="R33" s="1"/>
      <c r="S33" s="1"/>
      <c r="T33" s="1"/>
      <c r="U33" s="1"/>
      <c r="V33" s="1"/>
      <c r="W33" s="1"/>
      <c r="X33" s="1"/>
      <c r="Y33" s="1"/>
      <c r="Z33" s="1"/>
      <c r="AA33" s="1"/>
      <c r="AB33" s="1"/>
      <c r="AC33" s="1"/>
      <c r="AD33" s="1"/>
      <c r="AE33" s="1"/>
      <c r="AF33" s="1"/>
      <c r="AG33" s="1"/>
    </row>
    <row r="34" spans="1:33" ht="15.75" customHeight="1">
      <c r="A34" s="1"/>
      <c r="B34" s="822" t="s">
        <v>1085</v>
      </c>
      <c r="C34" s="823">
        <f t="shared" ref="C34:G34" si="0">C32/1000000000000</f>
        <v>22.201106342417763</v>
      </c>
      <c r="D34" s="823">
        <f t="shared" si="0"/>
        <v>6.1566240090815114</v>
      </c>
      <c r="E34" s="823">
        <f t="shared" si="0"/>
        <v>1.6156390154117788E-2</v>
      </c>
      <c r="F34" s="823">
        <f t="shared" si="0"/>
        <v>0.12177656415489746</v>
      </c>
      <c r="G34" s="823">
        <f t="shared" si="0"/>
        <v>28.495663305808289</v>
      </c>
      <c r="H34" s="824"/>
      <c r="I34" s="1"/>
      <c r="J34" s="378" t="s">
        <v>1086</v>
      </c>
      <c r="K34" s="813">
        <v>120452</v>
      </c>
      <c r="L34" s="813">
        <v>137381</v>
      </c>
      <c r="M34" s="803" t="s">
        <v>1087</v>
      </c>
      <c r="N34" s="1"/>
      <c r="O34" s="1"/>
      <c r="P34" s="1"/>
      <c r="Q34" s="1"/>
      <c r="R34" s="1"/>
      <c r="S34" s="1"/>
      <c r="T34" s="1"/>
      <c r="U34" s="1"/>
      <c r="V34" s="1"/>
      <c r="W34" s="1"/>
      <c r="X34" s="1"/>
      <c r="Y34" s="1"/>
      <c r="Z34" s="1"/>
      <c r="AA34" s="1"/>
      <c r="AB34" s="1"/>
      <c r="AC34" s="1"/>
      <c r="AD34" s="1"/>
      <c r="AE34" s="1"/>
      <c r="AF34" s="1"/>
      <c r="AG34" s="1"/>
    </row>
    <row r="35" spans="1:33" ht="15.75" customHeight="1">
      <c r="A35" s="1"/>
      <c r="B35" s="383"/>
      <c r="C35" s="384"/>
      <c r="D35" s="384"/>
      <c r="E35" s="384"/>
      <c r="F35" s="384"/>
      <c r="G35" s="384"/>
      <c r="H35" s="386"/>
      <c r="I35" s="1"/>
      <c r="J35" s="819"/>
      <c r="K35" s="820"/>
      <c r="L35" s="821"/>
      <c r="M35" s="382"/>
      <c r="N35" s="1"/>
      <c r="O35" s="1"/>
      <c r="P35" s="1"/>
      <c r="Q35" s="1"/>
      <c r="R35" s="1"/>
      <c r="S35" s="1"/>
      <c r="T35" s="1"/>
      <c r="U35" s="1"/>
      <c r="V35" s="1"/>
      <c r="W35" s="1"/>
      <c r="X35" s="1"/>
      <c r="Y35" s="1"/>
      <c r="Z35" s="1"/>
      <c r="AA35" s="1"/>
      <c r="AB35" s="1"/>
      <c r="AC35" s="1"/>
      <c r="AD35" s="1"/>
      <c r="AE35" s="1"/>
      <c r="AF35" s="1"/>
      <c r="AG35" s="1"/>
    </row>
    <row r="36" spans="1:33" ht="15.75" customHeight="1">
      <c r="A36" s="1"/>
      <c r="B36" s="1"/>
      <c r="C36" s="1"/>
      <c r="D36" s="1"/>
      <c r="E36" s="1"/>
      <c r="F36" s="1"/>
      <c r="G36" s="1"/>
      <c r="H36" s="1"/>
      <c r="I36" s="1"/>
      <c r="J36" s="817" t="s">
        <v>1084</v>
      </c>
      <c r="K36" s="825">
        <f t="shared" ref="K36:L36" si="1">(+K32*1000000)/K34</f>
        <v>2410011664.7095876</v>
      </c>
      <c r="L36" s="825">
        <f t="shared" si="1"/>
        <v>572693209.70651686</v>
      </c>
      <c r="M36" s="826" t="s">
        <v>1088</v>
      </c>
      <c r="N36" s="1"/>
      <c r="O36" s="1"/>
      <c r="P36" s="1"/>
      <c r="Q36" s="1"/>
      <c r="R36" s="1"/>
      <c r="S36" s="1"/>
      <c r="T36" s="1"/>
      <c r="U36" s="1"/>
      <c r="V36" s="1"/>
      <c r="W36" s="1"/>
      <c r="X36" s="1"/>
      <c r="Y36" s="1"/>
      <c r="Z36" s="1"/>
      <c r="AA36" s="1"/>
      <c r="AB36" s="1"/>
      <c r="AC36" s="1"/>
      <c r="AD36" s="1"/>
      <c r="AE36" s="1"/>
      <c r="AF36" s="1"/>
      <c r="AG36" s="1"/>
    </row>
    <row r="37" spans="1:33" ht="15.75" customHeight="1">
      <c r="A37" s="1"/>
      <c r="B37" s="1"/>
      <c r="C37" s="1"/>
      <c r="D37" s="1"/>
      <c r="E37" s="1"/>
      <c r="F37" s="1"/>
      <c r="G37" s="1"/>
      <c r="H37" s="1"/>
      <c r="I37" s="1"/>
      <c r="J37" s="827"/>
      <c r="K37" s="828"/>
      <c r="L37" s="828"/>
      <c r="M37" s="829"/>
      <c r="N37" s="1"/>
      <c r="O37" s="1"/>
      <c r="P37" s="1"/>
      <c r="Q37" s="1"/>
      <c r="R37" s="1"/>
      <c r="S37" s="1"/>
      <c r="T37" s="1"/>
      <c r="U37" s="1"/>
      <c r="V37" s="1"/>
      <c r="W37" s="1"/>
      <c r="X37" s="1"/>
      <c r="Y37" s="1"/>
      <c r="Z37" s="1"/>
      <c r="AA37" s="1"/>
      <c r="AB37" s="1"/>
      <c r="AC37" s="1"/>
      <c r="AD37" s="1"/>
      <c r="AE37" s="1"/>
      <c r="AF37" s="1"/>
      <c r="AG37" s="1"/>
    </row>
    <row r="38" spans="1:33"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row>
    <row r="39" spans="1:33" ht="15.75" customHeight="1">
      <c r="A39" s="1"/>
      <c r="B39" s="830" t="s">
        <v>1089</v>
      </c>
      <c r="C39" s="3"/>
      <c r="D39" s="3"/>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row>
    <row r="40" spans="1:33" ht="15.75" customHeight="1">
      <c r="A40" s="1"/>
      <c r="B40" s="831" t="s">
        <v>662</v>
      </c>
      <c r="C40" s="832">
        <f>K34</f>
        <v>120452</v>
      </c>
      <c r="D40" s="833" t="s">
        <v>1087</v>
      </c>
      <c r="E40" s="3"/>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row>
    <row r="41" spans="1:33" ht="15.75" customHeight="1">
      <c r="A41" s="1"/>
      <c r="B41" s="831" t="s">
        <v>244</v>
      </c>
      <c r="C41" s="832">
        <f>L34</f>
        <v>137381</v>
      </c>
      <c r="D41" s="833" t="s">
        <v>1087</v>
      </c>
      <c r="E41" s="3"/>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row>
    <row r="42" spans="1:33"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row>
    <row r="43" spans="1:3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row>
    <row r="44" spans="1:33"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row>
    <row r="45" spans="1:33"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customHeight="1">
      <c r="A47" s="1"/>
      <c r="B47" s="834" t="s">
        <v>1090</v>
      </c>
      <c r="C47" s="835"/>
      <c r="D47" s="836"/>
      <c r="E47" s="837"/>
      <c r="F47" s="836"/>
      <c r="G47" s="838"/>
      <c r="H47" s="839"/>
      <c r="I47" s="840"/>
      <c r="J47" s="839"/>
      <c r="K47" s="841"/>
      <c r="L47" s="842"/>
      <c r="M47" s="841"/>
      <c r="N47" s="843"/>
      <c r="O47" s="843"/>
      <c r="P47" s="843"/>
      <c r="Q47" s="843"/>
      <c r="R47" s="844"/>
      <c r="S47" s="1"/>
      <c r="T47" s="1"/>
      <c r="U47" s="2858" t="s">
        <v>0</v>
      </c>
      <c r="V47" s="2859"/>
      <c r="W47" s="1"/>
      <c r="X47" s="1"/>
      <c r="Y47" s="1"/>
      <c r="Z47" s="1"/>
      <c r="AA47" s="1"/>
      <c r="AB47" s="1"/>
      <c r="AC47" s="1"/>
      <c r="AD47" s="1"/>
      <c r="AE47" s="1"/>
      <c r="AF47" s="1"/>
      <c r="AG47" s="1"/>
    </row>
    <row r="48" spans="1:33" ht="15.75" customHeight="1">
      <c r="A48" s="1"/>
      <c r="B48" s="845"/>
      <c r="C48" s="381"/>
      <c r="D48" s="381"/>
      <c r="E48" s="381"/>
      <c r="F48" s="381"/>
      <c r="G48" s="381"/>
      <c r="H48" s="381"/>
      <c r="I48" s="381"/>
      <c r="J48" s="381"/>
      <c r="K48" s="381"/>
      <c r="L48" s="381"/>
      <c r="M48" s="381"/>
      <c r="N48" s="381"/>
      <c r="O48" s="381"/>
      <c r="P48" s="381"/>
      <c r="Q48" s="381"/>
      <c r="R48" s="846"/>
      <c r="S48" s="1"/>
      <c r="T48" s="1"/>
      <c r="U48" s="240"/>
      <c r="V48" s="241"/>
      <c r="W48" s="1"/>
      <c r="X48" s="1"/>
      <c r="Y48" s="1"/>
      <c r="Z48" s="1"/>
      <c r="AA48" s="1"/>
      <c r="AB48" s="1"/>
      <c r="AC48" s="1"/>
      <c r="AD48" s="1"/>
      <c r="AE48" s="1"/>
      <c r="AF48" s="1"/>
      <c r="AG48" s="1"/>
    </row>
    <row r="49" spans="1:33" ht="15.75" customHeight="1">
      <c r="A49" s="1"/>
      <c r="B49" s="847" t="s">
        <v>1091</v>
      </c>
      <c r="C49" s="848"/>
      <c r="D49" s="849"/>
      <c r="E49" s="849"/>
      <c r="F49" s="848"/>
      <c r="G49" s="848"/>
      <c r="H49" s="848"/>
      <c r="I49" s="848"/>
      <c r="J49" s="848"/>
      <c r="K49" s="848"/>
      <c r="L49" s="850"/>
      <c r="M49" s="850"/>
      <c r="N49" s="850"/>
      <c r="O49" s="850"/>
      <c r="P49" s="850"/>
      <c r="Q49" s="850"/>
      <c r="R49" s="851"/>
      <c r="S49" s="1"/>
      <c r="T49" s="1"/>
      <c r="U49" s="240" t="s">
        <v>528</v>
      </c>
      <c r="V49" s="247">
        <f>Summary!$E4</f>
        <v>1</v>
      </c>
      <c r="W49" s="1"/>
      <c r="X49" s="1"/>
      <c r="Y49" s="1"/>
      <c r="Z49" s="1"/>
      <c r="AA49" s="1"/>
      <c r="AB49" s="1"/>
      <c r="AC49" s="1"/>
      <c r="AD49" s="1"/>
      <c r="AE49" s="1"/>
      <c r="AF49" s="1"/>
      <c r="AG49" s="1"/>
    </row>
    <row r="50" spans="1:33" ht="15.75" customHeight="1">
      <c r="A50" s="1"/>
      <c r="B50" s="845"/>
      <c r="C50" s="381"/>
      <c r="D50" s="381"/>
      <c r="E50" s="381"/>
      <c r="F50" s="381"/>
      <c r="G50" s="381"/>
      <c r="H50" s="381"/>
      <c r="I50" s="381"/>
      <c r="J50" s="381"/>
      <c r="K50" s="381"/>
      <c r="L50" s="381"/>
      <c r="M50" s="381"/>
      <c r="N50" s="381"/>
      <c r="O50" s="381"/>
      <c r="P50" s="381"/>
      <c r="Q50" s="381"/>
      <c r="R50" s="846"/>
      <c r="S50" s="1"/>
      <c r="T50" s="1"/>
      <c r="U50" s="240" t="s">
        <v>530</v>
      </c>
      <c r="V50" s="247">
        <f>Summary!$E5</f>
        <v>28</v>
      </c>
      <c r="W50" s="1"/>
      <c r="X50" s="1"/>
      <c r="Y50" s="1"/>
      <c r="Z50" s="1"/>
      <c r="AA50" s="1"/>
      <c r="AB50" s="1"/>
      <c r="AC50" s="1"/>
      <c r="AD50" s="1"/>
      <c r="AE50" s="1"/>
      <c r="AF50" s="1"/>
      <c r="AG50" s="1"/>
    </row>
    <row r="51" spans="1:33" ht="15.75" customHeight="1">
      <c r="A51" s="1"/>
      <c r="B51" s="852"/>
      <c r="C51" s="853"/>
      <c r="D51" s="853"/>
      <c r="E51" s="854"/>
      <c r="F51" s="855"/>
      <c r="G51" s="855"/>
      <c r="H51" s="854"/>
      <c r="I51" s="854"/>
      <c r="J51" s="854"/>
      <c r="K51" s="854"/>
      <c r="L51" s="856"/>
      <c r="M51" s="857"/>
      <c r="N51" s="854"/>
      <c r="O51" s="854"/>
      <c r="P51" s="854"/>
      <c r="Q51" s="853"/>
      <c r="R51" s="858"/>
      <c r="S51" s="1"/>
      <c r="T51" s="1"/>
      <c r="U51" s="240" t="s">
        <v>532</v>
      </c>
      <c r="V51" s="247">
        <f>Summary!$E6</f>
        <v>265</v>
      </c>
      <c r="W51" s="1"/>
      <c r="X51" s="1"/>
      <c r="Y51" s="1"/>
      <c r="Z51" s="1"/>
      <c r="AA51" s="1"/>
      <c r="AB51" s="1"/>
      <c r="AC51" s="1"/>
      <c r="AD51" s="1"/>
      <c r="AE51" s="1"/>
      <c r="AF51" s="859"/>
      <c r="AG51" s="1"/>
    </row>
    <row r="52" spans="1:33" ht="15.75" customHeight="1">
      <c r="A52" s="1"/>
      <c r="B52" s="860"/>
      <c r="C52" s="861" t="s">
        <v>519</v>
      </c>
      <c r="D52" s="2872" t="s">
        <v>1092</v>
      </c>
      <c r="E52" s="2861"/>
      <c r="F52" s="2861"/>
      <c r="G52" s="2861"/>
      <c r="H52" s="2861"/>
      <c r="I52" s="2861"/>
      <c r="J52" s="2861"/>
      <c r="K52" s="2859"/>
      <c r="L52" s="862"/>
      <c r="M52" s="2872" t="s">
        <v>1093</v>
      </c>
      <c r="N52" s="2861"/>
      <c r="O52" s="2861"/>
      <c r="P52" s="2861"/>
      <c r="Q52" s="2861"/>
      <c r="R52" s="2873"/>
      <c r="S52" s="1"/>
      <c r="T52" s="1"/>
      <c r="U52" s="240" t="s">
        <v>533</v>
      </c>
      <c r="V52" s="247">
        <f>Summary!$E7</f>
        <v>23500</v>
      </c>
      <c r="W52" s="1"/>
      <c r="X52" s="1"/>
      <c r="Y52" s="1"/>
      <c r="Z52" s="1"/>
      <c r="AA52" s="1"/>
      <c r="AB52" s="1"/>
      <c r="AC52" s="1"/>
      <c r="AD52" s="1"/>
      <c r="AE52" s="863"/>
      <c r="AF52" s="859"/>
      <c r="AG52" s="863"/>
    </row>
    <row r="53" spans="1:33" ht="15.75" customHeight="1">
      <c r="A53" s="1"/>
      <c r="B53" s="864" t="s">
        <v>177</v>
      </c>
      <c r="C53" s="865" t="s">
        <v>1094</v>
      </c>
      <c r="D53" s="866"/>
      <c r="E53" s="867" t="s">
        <v>1095</v>
      </c>
      <c r="F53" s="867" t="s">
        <v>1096</v>
      </c>
      <c r="G53" s="867" t="s">
        <v>1097</v>
      </c>
      <c r="H53" s="868"/>
      <c r="I53" s="867" t="s">
        <v>1098</v>
      </c>
      <c r="J53" s="868"/>
      <c r="K53" s="869" t="s">
        <v>1099</v>
      </c>
      <c r="L53" s="870"/>
      <c r="M53" s="867" t="s">
        <v>1100</v>
      </c>
      <c r="N53" s="867" t="s">
        <v>1101</v>
      </c>
      <c r="O53" s="868"/>
      <c r="P53" s="867" t="s">
        <v>1102</v>
      </c>
      <c r="Q53" s="868"/>
      <c r="R53" s="871" t="s">
        <v>1103</v>
      </c>
      <c r="S53" s="1"/>
      <c r="T53" s="1"/>
      <c r="U53" s="259"/>
      <c r="V53" s="247"/>
      <c r="W53" s="1"/>
      <c r="X53" s="1"/>
      <c r="Y53" s="1"/>
      <c r="Z53" s="1"/>
      <c r="AA53" s="1"/>
      <c r="AB53" s="1"/>
      <c r="AC53" s="1"/>
      <c r="AD53" s="1"/>
      <c r="AE53" s="863"/>
      <c r="AF53" s="872"/>
      <c r="AG53" s="863"/>
    </row>
    <row r="54" spans="1:33" ht="15.75" customHeight="1">
      <c r="A54" s="1"/>
      <c r="B54" s="873" t="s">
        <v>1104</v>
      </c>
      <c r="C54" s="874">
        <f>L36</f>
        <v>572693209.70651686</v>
      </c>
      <c r="D54" s="875"/>
      <c r="E54" s="876">
        <v>3.1920000000000002</v>
      </c>
      <c r="F54" s="877">
        <v>4.0000000000000002E-4</v>
      </c>
      <c r="G54" s="878">
        <f t="shared" ref="G54:G55" si="2">(C54*E54*F54)/1000000000</f>
        <v>7.3121469015328077E-4</v>
      </c>
      <c r="H54" s="879" t="s">
        <v>1105</v>
      </c>
      <c r="I54" s="880">
        <f>G54*V51*12/44*1000</f>
        <v>52.846879879259845</v>
      </c>
      <c r="J54" s="879" t="s">
        <v>1105</v>
      </c>
      <c r="K54" s="881">
        <f t="shared" ref="K54:K55" si="3">(I54*310)/1000000</f>
        <v>1.6382532762570554E-2</v>
      </c>
      <c r="L54" s="882"/>
      <c r="M54" s="883">
        <v>2.3E-3</v>
      </c>
      <c r="N54" s="884">
        <f t="shared" ref="N54:N55" si="4">C54*E54*M54/1000000000</f>
        <v>4.2044844683813637E-3</v>
      </c>
      <c r="O54" s="885" t="s">
        <v>1105</v>
      </c>
      <c r="P54" s="886">
        <f t="shared" ref="P54:P55" si="5">N54*1000</f>
        <v>4.2044844683813638</v>
      </c>
      <c r="Q54" s="885" t="s">
        <v>1105</v>
      </c>
      <c r="R54" s="887">
        <f>(P54*V50)/1000000</f>
        <v>1.1772556511467819E-4</v>
      </c>
      <c r="S54" s="1"/>
      <c r="T54" s="1"/>
      <c r="U54" s="1"/>
      <c r="V54" s="1"/>
      <c r="W54" s="1"/>
      <c r="X54" s="1"/>
      <c r="Y54" s="1"/>
      <c r="Z54" s="1"/>
      <c r="AA54" s="1"/>
      <c r="AB54" s="1"/>
      <c r="AC54" s="1"/>
      <c r="AD54" s="1"/>
      <c r="AE54" s="863"/>
      <c r="AF54" s="888"/>
      <c r="AG54" s="863"/>
    </row>
    <row r="55" spans="1:33" ht="15.75" customHeight="1">
      <c r="A55" s="1"/>
      <c r="B55" s="889" t="s">
        <v>1106</v>
      </c>
      <c r="C55" s="890">
        <f>K36</f>
        <v>2410011664.7095876</v>
      </c>
      <c r="D55" s="891"/>
      <c r="E55" s="892">
        <v>2.8008999999999999</v>
      </c>
      <c r="F55" s="893">
        <v>4.0000000000000002E-4</v>
      </c>
      <c r="G55" s="894">
        <f t="shared" si="2"/>
        <v>2.7000806686740338E-3</v>
      </c>
      <c r="H55" s="895" t="s">
        <v>1105</v>
      </c>
      <c r="I55" s="896">
        <f>G55*V51*(12/44)*1000</f>
        <v>195.14219378144151</v>
      </c>
      <c r="J55" s="895" t="s">
        <v>1105</v>
      </c>
      <c r="K55" s="897">
        <f t="shared" si="3"/>
        <v>6.0494080072246867E-2</v>
      </c>
      <c r="L55" s="898"/>
      <c r="M55" s="899">
        <v>4.4999999999999998E-2</v>
      </c>
      <c r="N55" s="900">
        <f t="shared" si="4"/>
        <v>0.30375907522582879</v>
      </c>
      <c r="O55" s="901" t="s">
        <v>1105</v>
      </c>
      <c r="P55" s="902">
        <f t="shared" si="5"/>
        <v>303.75907522582878</v>
      </c>
      <c r="Q55" s="901" t="s">
        <v>1105</v>
      </c>
      <c r="R55" s="903">
        <f>(P55*V50)/1000000</f>
        <v>8.5052541063232057E-3</v>
      </c>
      <c r="S55" s="1"/>
      <c r="T55" s="1"/>
      <c r="U55" s="1"/>
      <c r="V55" s="1"/>
      <c r="W55" s="1"/>
      <c r="X55" s="1"/>
      <c r="Y55" s="1"/>
      <c r="Z55" s="1"/>
      <c r="AA55" s="1"/>
      <c r="AB55" s="1"/>
      <c r="AC55" s="1"/>
      <c r="AD55" s="1"/>
      <c r="AE55" s="863"/>
      <c r="AF55" s="888"/>
      <c r="AG55" s="863"/>
    </row>
    <row r="56" spans="1:33" ht="15.75" customHeight="1">
      <c r="A56" s="1"/>
      <c r="B56" s="904"/>
      <c r="C56" s="905"/>
      <c r="D56" s="866"/>
      <c r="E56" s="906"/>
      <c r="F56" s="906"/>
      <c r="G56" s="907" t="s">
        <v>1107</v>
      </c>
      <c r="H56" s="908"/>
      <c r="I56" s="909"/>
      <c r="J56" s="908"/>
      <c r="K56" s="910">
        <f>(K54+K55)</f>
        <v>7.687661283481742E-2</v>
      </c>
      <c r="L56" s="911"/>
      <c r="M56" s="912"/>
      <c r="N56" s="913"/>
      <c r="O56" s="914"/>
      <c r="P56" s="915"/>
      <c r="Q56" s="914"/>
      <c r="R56" s="916">
        <f>SUM(R54:R55)</f>
        <v>8.6229796714378838E-3</v>
      </c>
      <c r="S56" s="1"/>
      <c r="T56" s="1"/>
      <c r="U56" s="1"/>
      <c r="V56" s="1"/>
      <c r="W56" s="1"/>
      <c r="X56" s="1"/>
      <c r="Y56" s="1"/>
      <c r="Z56" s="1"/>
      <c r="AA56" s="1"/>
      <c r="AB56" s="1"/>
      <c r="AC56" s="1"/>
      <c r="AD56" s="1"/>
      <c r="AE56" s="863"/>
      <c r="AF56" s="888"/>
      <c r="AG56" s="863"/>
    </row>
    <row r="57" spans="1:33" ht="15.75" customHeight="1">
      <c r="A57" s="1"/>
      <c r="B57" s="917"/>
      <c r="C57" s="918"/>
      <c r="D57" s="918"/>
      <c r="E57" s="918"/>
      <c r="F57" s="918"/>
      <c r="G57" s="918"/>
      <c r="H57" s="918"/>
      <c r="I57" s="918"/>
      <c r="J57" s="918"/>
      <c r="K57" s="918"/>
      <c r="L57" s="918"/>
      <c r="M57" s="918"/>
      <c r="N57" s="918"/>
      <c r="O57" s="918"/>
      <c r="P57" s="918"/>
      <c r="Q57" s="918"/>
      <c r="R57" s="919"/>
      <c r="S57" s="1"/>
      <c r="T57" s="1"/>
      <c r="U57" s="1"/>
      <c r="V57" s="1"/>
      <c r="W57" s="1"/>
      <c r="X57" s="1"/>
      <c r="Y57" s="1"/>
      <c r="Z57" s="1"/>
      <c r="AA57" s="1"/>
      <c r="AB57" s="1"/>
      <c r="AC57" s="1"/>
      <c r="AD57" s="1"/>
      <c r="AE57" s="1"/>
      <c r="AF57" s="1"/>
      <c r="AG57" s="1"/>
    </row>
    <row r="58" spans="1:33"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row>
    <row r="242" spans="1:33"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row>
    <row r="243" spans="1:3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row>
    <row r="244" spans="1:33"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row>
    <row r="245" spans="1:33"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row>
    <row r="246" spans="1:33"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row>
    <row r="247" spans="1:33"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row>
    <row r="248" spans="1:33"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row>
    <row r="249" spans="1:33"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row>
    <row r="250" spans="1:33"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row>
    <row r="251" spans="1:33"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row>
    <row r="252" spans="1:33"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row>
    <row r="253" spans="1:3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row>
    <row r="254" spans="1:33"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row>
    <row r="255" spans="1:33"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row>
    <row r="256" spans="1:33"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row>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U47:V47"/>
    <mergeCell ref="D52:K52"/>
    <mergeCell ref="M52:R52"/>
    <mergeCell ref="A2:K2"/>
    <mergeCell ref="B4:H4"/>
    <mergeCell ref="J4:M4"/>
    <mergeCell ref="J5:M5"/>
    <mergeCell ref="C6:G6"/>
  </mergeCells>
  <printOptions gridLines="1"/>
  <pageMargins left="0.38" right="0.7" top="0.23" bottom="0.32" header="0" footer="0"/>
  <pageSetup paperSize="5" scale="8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4784"/>
  <sheetViews>
    <sheetView workbookViewId="0"/>
  </sheetViews>
  <sheetFormatPr defaultColWidth="16.85546875" defaultRowHeight="15" customHeight="1" outlineLevelRow="2"/>
  <cols>
    <col min="1" max="1" width="10" customWidth="1"/>
    <col min="2" max="2" width="48" customWidth="1"/>
    <col min="3" max="3" width="26.140625" customWidth="1"/>
    <col min="4" max="4" width="22.85546875" customWidth="1"/>
    <col min="5" max="5" width="25.7109375" customWidth="1"/>
    <col min="6" max="6" width="18.7109375" customWidth="1"/>
    <col min="7" max="7" width="47.42578125" customWidth="1"/>
    <col min="8" max="8" width="33.85546875" customWidth="1"/>
    <col min="9" max="10" width="14" customWidth="1"/>
    <col min="11" max="11" width="9.28515625" customWidth="1"/>
  </cols>
  <sheetData>
    <row r="1" spans="1:11" ht="18.75" customHeight="1">
      <c r="A1" s="771" t="s">
        <v>752</v>
      </c>
      <c r="B1" s="771"/>
      <c r="C1" s="772"/>
      <c r="D1" s="772"/>
      <c r="E1" s="773"/>
      <c r="F1" s="772"/>
      <c r="G1" s="772"/>
      <c r="H1" s="772"/>
      <c r="I1" s="772"/>
      <c r="J1" s="772"/>
      <c r="K1" s="772"/>
    </row>
    <row r="2" spans="1:11" ht="95.25" customHeight="1">
      <c r="A2" s="2881"/>
      <c r="B2" s="2863"/>
      <c r="C2" s="2863"/>
      <c r="D2" s="2863"/>
      <c r="E2" s="2863"/>
      <c r="F2" s="2863"/>
      <c r="G2" s="2863"/>
      <c r="H2" s="2863"/>
      <c r="I2" s="2863"/>
      <c r="J2" s="2863"/>
      <c r="K2" s="2863"/>
    </row>
    <row r="3" spans="1:11" ht="13.5" customHeight="1">
      <c r="A3" s="771"/>
      <c r="B3" s="771"/>
      <c r="C3" s="771"/>
      <c r="D3" s="771"/>
      <c r="E3" s="771"/>
      <c r="F3" s="771"/>
      <c r="G3" s="771"/>
      <c r="H3" s="771"/>
      <c r="I3" s="771"/>
      <c r="J3" s="771"/>
      <c r="K3" s="771"/>
    </row>
    <row r="4" spans="1:11" ht="18.75" customHeight="1">
      <c r="A4" s="771"/>
      <c r="B4" s="2882" t="s">
        <v>753</v>
      </c>
      <c r="C4" s="2868"/>
      <c r="D4" s="2868"/>
      <c r="E4" s="2868"/>
      <c r="F4" s="2869"/>
      <c r="G4" s="771"/>
      <c r="H4" s="2858" t="s">
        <v>0</v>
      </c>
      <c r="I4" s="2859"/>
      <c r="J4" s="771"/>
      <c r="K4" s="771"/>
    </row>
    <row r="5" spans="1:11" ht="18.75" customHeight="1">
      <c r="A5" s="771"/>
      <c r="B5" s="774"/>
      <c r="C5" s="775"/>
      <c r="D5" s="775"/>
      <c r="E5" s="775"/>
      <c r="F5" s="776"/>
      <c r="G5" s="771"/>
      <c r="H5" s="240"/>
      <c r="I5" s="241"/>
      <c r="J5" s="771"/>
      <c r="K5" s="771"/>
    </row>
    <row r="6" spans="1:11" ht="18.75" customHeight="1">
      <c r="A6" s="771"/>
      <c r="B6" s="777"/>
      <c r="C6" s="778" t="s">
        <v>754</v>
      </c>
      <c r="D6" s="778" t="s">
        <v>755</v>
      </c>
      <c r="E6" s="778" t="s">
        <v>756</v>
      </c>
      <c r="F6" s="779" t="s">
        <v>757</v>
      </c>
      <c r="G6" s="771"/>
      <c r="H6" s="240" t="s">
        <v>528</v>
      </c>
      <c r="I6" s="247">
        <f>Summary!$E4</f>
        <v>1</v>
      </c>
      <c r="J6" s="771"/>
      <c r="K6" s="771"/>
    </row>
    <row r="7" spans="1:11" ht="18.75" customHeight="1">
      <c r="A7" s="771"/>
      <c r="B7" s="777"/>
      <c r="C7" s="780" t="s">
        <v>758</v>
      </c>
      <c r="D7" s="780" t="s">
        <v>758</v>
      </c>
      <c r="E7" s="780" t="s">
        <v>759</v>
      </c>
      <c r="F7" s="781" t="s">
        <v>760</v>
      </c>
      <c r="G7" s="771"/>
      <c r="H7" s="240" t="s">
        <v>530</v>
      </c>
      <c r="I7" s="247">
        <f>Summary!$E5</f>
        <v>28</v>
      </c>
      <c r="J7" s="771"/>
      <c r="K7" s="771"/>
    </row>
    <row r="8" spans="1:11" ht="18.75" customHeight="1">
      <c r="A8" s="771"/>
      <c r="B8" s="777" t="s">
        <v>761</v>
      </c>
      <c r="C8" s="782">
        <f t="shared" ref="C8:D8" si="0">I4780</f>
        <v>144.76642411887534</v>
      </c>
      <c r="D8" s="782">
        <f t="shared" si="0"/>
        <v>15882.54545303574</v>
      </c>
      <c r="E8" s="783">
        <f t="shared" ref="E8:E12" si="1">C8*$I$7*0.907184/1000000</f>
        <v>3.6772339435400185E-3</v>
      </c>
      <c r="F8" s="784">
        <f t="shared" ref="F8:F12" si="2">D8*0.907184/1000000</f>
        <v>1.4408391114266774E-2</v>
      </c>
      <c r="G8" s="771"/>
      <c r="H8" s="240" t="s">
        <v>532</v>
      </c>
      <c r="I8" s="247">
        <f>Summary!$E6</f>
        <v>265</v>
      </c>
      <c r="J8" s="771"/>
      <c r="K8" s="771"/>
    </row>
    <row r="9" spans="1:11" ht="18.75" customHeight="1">
      <c r="A9" s="771"/>
      <c r="B9" s="777" t="s">
        <v>762</v>
      </c>
      <c r="C9" s="782">
        <f t="shared" ref="C9:D9" si="3">I4781</f>
        <v>908.42813943085628</v>
      </c>
      <c r="D9" s="782">
        <f t="shared" si="3"/>
        <v>1038820.1242113099</v>
      </c>
      <c r="E9" s="783">
        <f t="shared" si="1"/>
        <v>2.3075121250760375E-2</v>
      </c>
      <c r="F9" s="784">
        <f t="shared" si="2"/>
        <v>0.942400995562513</v>
      </c>
      <c r="G9" s="771"/>
      <c r="H9" s="240" t="s">
        <v>533</v>
      </c>
      <c r="I9" s="247">
        <f>Summary!$E7</f>
        <v>23500</v>
      </c>
      <c r="J9" s="771"/>
      <c r="K9" s="771"/>
    </row>
    <row r="10" spans="1:11" ht="18.75" customHeight="1">
      <c r="A10" s="771"/>
      <c r="B10" s="777" t="s">
        <v>763</v>
      </c>
      <c r="C10" s="782">
        <f t="shared" ref="C10:D10" si="4">I4782</f>
        <v>14.766107282413545</v>
      </c>
      <c r="D10" s="782">
        <f t="shared" si="4"/>
        <v>166851.40523870086</v>
      </c>
      <c r="E10" s="783">
        <f t="shared" si="1"/>
        <v>3.7507613552889335E-4</v>
      </c>
      <c r="F10" s="784">
        <f t="shared" si="2"/>
        <v>0.15136492521006559</v>
      </c>
      <c r="G10" s="771"/>
      <c r="H10" s="259"/>
      <c r="I10" s="260"/>
      <c r="J10" s="771"/>
      <c r="K10" s="771"/>
    </row>
    <row r="11" spans="1:11" ht="18.75" customHeight="1">
      <c r="A11" s="771"/>
      <c r="B11" s="777" t="s">
        <v>764</v>
      </c>
      <c r="C11" s="782">
        <f t="shared" ref="C11:D11" si="5">I4783</f>
        <v>1.5598899438349469</v>
      </c>
      <c r="D11" s="782">
        <f t="shared" si="5"/>
        <v>55961.485858346525</v>
      </c>
      <c r="E11" s="783">
        <f t="shared" si="1"/>
        <v>3.9623001566622954E-5</v>
      </c>
      <c r="F11" s="784">
        <f t="shared" si="2"/>
        <v>5.0767364586918239E-2</v>
      </c>
      <c r="G11" s="771"/>
      <c r="H11" s="771"/>
      <c r="I11" s="771"/>
      <c r="J11" s="771"/>
      <c r="K11" s="771"/>
    </row>
    <row r="12" spans="1:11" ht="18.75" customHeight="1">
      <c r="A12" s="771"/>
      <c r="B12" s="777" t="s">
        <v>765</v>
      </c>
      <c r="C12" s="782">
        <f t="shared" ref="C12:D12" si="6">I4784</f>
        <v>24.461741877043224</v>
      </c>
      <c r="D12" s="782">
        <f t="shared" si="6"/>
        <v>1052155.3195559583</v>
      </c>
      <c r="E12" s="783">
        <f t="shared" si="1"/>
        <v>6.2135642360354026E-4</v>
      </c>
      <c r="F12" s="784">
        <f t="shared" si="2"/>
        <v>0.95449847141605249</v>
      </c>
      <c r="G12" s="771"/>
      <c r="H12" s="771"/>
      <c r="I12" s="771"/>
      <c r="J12" s="771"/>
      <c r="K12" s="771"/>
    </row>
    <row r="13" spans="1:11" ht="18.75" customHeight="1">
      <c r="A13" s="771"/>
      <c r="B13" s="785"/>
      <c r="C13" s="786"/>
      <c r="D13" s="786">
        <f t="shared" ref="D13:F13" si="7">SUM(D8:D12)</f>
        <v>2329670.8803173513</v>
      </c>
      <c r="E13" s="787">
        <f t="shared" si="7"/>
        <v>2.7788410754999451E-2</v>
      </c>
      <c r="F13" s="788">
        <f t="shared" si="7"/>
        <v>2.1134401478898157</v>
      </c>
      <c r="G13" s="771"/>
      <c r="H13" s="771"/>
      <c r="I13" s="771"/>
      <c r="J13" s="771"/>
      <c r="K13" s="771"/>
    </row>
    <row r="14" spans="1:11" ht="18.75" customHeight="1">
      <c r="A14" s="771"/>
      <c r="B14" s="771"/>
      <c r="C14" s="771"/>
      <c r="D14" s="771"/>
      <c r="E14" s="771"/>
      <c r="F14" s="771"/>
      <c r="G14" s="771"/>
      <c r="H14" s="771"/>
      <c r="I14" s="771"/>
      <c r="J14" s="771"/>
      <c r="K14" s="771"/>
    </row>
    <row r="15" spans="1:11" ht="18.75" customHeight="1">
      <c r="A15" s="771"/>
      <c r="B15" s="771"/>
      <c r="C15" s="771"/>
      <c r="D15" s="771"/>
      <c r="E15" s="771"/>
      <c r="F15" s="771"/>
      <c r="G15" s="771"/>
      <c r="H15" s="771"/>
      <c r="I15" s="771"/>
      <c r="J15" s="771"/>
      <c r="K15" s="771"/>
    </row>
    <row r="16" spans="1:11" ht="18.75" customHeight="1">
      <c r="A16" s="771"/>
      <c r="B16" s="771"/>
      <c r="C16" s="771"/>
      <c r="D16" s="771"/>
      <c r="E16" s="771"/>
      <c r="F16" s="771"/>
      <c r="G16" s="771"/>
      <c r="H16" s="771"/>
      <c r="I16" s="771"/>
      <c r="J16" s="771"/>
      <c r="K16" s="771"/>
    </row>
    <row r="17" spans="1:11" ht="18.75" customHeight="1">
      <c r="A17" s="771"/>
      <c r="B17" s="771"/>
      <c r="C17" s="771"/>
      <c r="D17" s="771"/>
      <c r="E17" s="771"/>
      <c r="F17" s="771"/>
      <c r="G17" s="771"/>
      <c r="H17" s="771"/>
      <c r="I17" s="771"/>
      <c r="J17" s="771"/>
      <c r="K17" s="771"/>
    </row>
    <row r="18" spans="1:11" ht="18.75" customHeight="1">
      <c r="A18" s="771"/>
      <c r="B18" s="771"/>
      <c r="C18" s="771"/>
      <c r="D18" s="771"/>
      <c r="E18" s="771"/>
      <c r="F18" s="771"/>
      <c r="G18" s="771"/>
      <c r="H18" s="771"/>
      <c r="I18" s="771"/>
      <c r="J18" s="771"/>
      <c r="K18" s="771"/>
    </row>
    <row r="19" spans="1:11" ht="18.75" customHeight="1">
      <c r="A19" s="771"/>
      <c r="B19" s="771"/>
      <c r="C19" s="771"/>
      <c r="D19" s="771"/>
      <c r="E19" s="771"/>
      <c r="F19" s="771"/>
      <c r="G19" s="771"/>
      <c r="H19" s="771"/>
      <c r="I19" s="771"/>
      <c r="J19" s="771"/>
      <c r="K19" s="771"/>
    </row>
    <row r="20" spans="1:11" ht="18.75" customHeight="1">
      <c r="A20" s="771"/>
      <c r="B20" s="771"/>
      <c r="C20" s="771"/>
      <c r="D20" s="771"/>
      <c r="E20" s="771"/>
      <c r="F20" s="771"/>
      <c r="G20" s="771"/>
      <c r="H20" s="771"/>
      <c r="I20" s="771"/>
      <c r="J20" s="771"/>
      <c r="K20" s="771"/>
    </row>
    <row r="21" spans="1:11" ht="18.75" customHeight="1">
      <c r="A21" s="771"/>
      <c r="B21" s="771"/>
      <c r="C21" s="771"/>
      <c r="D21" s="771"/>
      <c r="E21" s="771"/>
      <c r="F21" s="771"/>
      <c r="G21" s="771"/>
      <c r="H21" s="771"/>
      <c r="I21" s="771"/>
      <c r="J21" s="771"/>
      <c r="K21" s="771"/>
    </row>
    <row r="22" spans="1:11" ht="18.75" customHeight="1">
      <c r="A22" s="789" t="s">
        <v>766</v>
      </c>
      <c r="B22" s="789" t="s">
        <v>767</v>
      </c>
      <c r="C22" s="789" t="s">
        <v>768</v>
      </c>
      <c r="D22" s="790" t="s">
        <v>769</v>
      </c>
      <c r="E22" s="789" t="s">
        <v>770</v>
      </c>
      <c r="F22" s="789" t="s">
        <v>771</v>
      </c>
      <c r="G22" s="789" t="s">
        <v>772</v>
      </c>
      <c r="H22" s="789" t="s">
        <v>773</v>
      </c>
      <c r="I22" s="789" t="s">
        <v>774</v>
      </c>
      <c r="J22" s="789" t="s">
        <v>775</v>
      </c>
      <c r="K22" s="771"/>
    </row>
    <row r="23" spans="1:11" ht="18.75" customHeight="1" outlineLevel="2">
      <c r="A23" s="791" t="s">
        <v>776</v>
      </c>
      <c r="B23" s="791" t="s">
        <v>777</v>
      </c>
      <c r="C23" s="791" t="s">
        <v>778</v>
      </c>
      <c r="D23" s="792" t="s">
        <v>779</v>
      </c>
      <c r="E23" s="793" t="s">
        <v>780</v>
      </c>
      <c r="F23" s="793" t="s">
        <v>781</v>
      </c>
      <c r="G23" s="793" t="s">
        <v>782</v>
      </c>
      <c r="H23" s="793" t="s">
        <v>783</v>
      </c>
      <c r="I23" s="794">
        <v>1.4742114698451368E-3</v>
      </c>
      <c r="J23" s="794">
        <v>2.1685997337436563E-2</v>
      </c>
      <c r="K23" s="771"/>
    </row>
    <row r="24" spans="1:11" ht="18.75" customHeight="1" outlineLevel="2">
      <c r="A24" s="791" t="s">
        <v>776</v>
      </c>
      <c r="B24" s="791" t="s">
        <v>777</v>
      </c>
      <c r="C24" s="791" t="s">
        <v>778</v>
      </c>
      <c r="D24" s="792" t="s">
        <v>779</v>
      </c>
      <c r="E24" s="793" t="s">
        <v>780</v>
      </c>
      <c r="F24" s="793" t="s">
        <v>784</v>
      </c>
      <c r="G24" s="793" t="s">
        <v>785</v>
      </c>
      <c r="H24" s="793" t="s">
        <v>783</v>
      </c>
      <c r="I24" s="794">
        <v>1.430394350004212</v>
      </c>
      <c r="J24" s="794">
        <v>232.28758376890596</v>
      </c>
      <c r="K24" s="771"/>
    </row>
    <row r="25" spans="1:11" ht="18.75" customHeight="1" outlineLevel="2">
      <c r="A25" s="791" t="s">
        <v>776</v>
      </c>
      <c r="B25" s="791" t="s">
        <v>777</v>
      </c>
      <c r="C25" s="791" t="s">
        <v>778</v>
      </c>
      <c r="D25" s="792" t="s">
        <v>779</v>
      </c>
      <c r="E25" s="793" t="s">
        <v>780</v>
      </c>
      <c r="F25" s="793" t="s">
        <v>786</v>
      </c>
      <c r="G25" s="793" t="s">
        <v>785</v>
      </c>
      <c r="H25" s="793" t="s">
        <v>783</v>
      </c>
      <c r="I25" s="794">
        <v>1.161622095534776E-3</v>
      </c>
      <c r="J25" s="794">
        <v>0.19678871276553769</v>
      </c>
      <c r="K25" s="771"/>
    </row>
    <row r="26" spans="1:11" ht="18.75" customHeight="1" outlineLevel="2">
      <c r="A26" s="791" t="s">
        <v>776</v>
      </c>
      <c r="B26" s="791" t="s">
        <v>777</v>
      </c>
      <c r="C26" s="791" t="s">
        <v>778</v>
      </c>
      <c r="D26" s="792" t="s">
        <v>779</v>
      </c>
      <c r="E26" s="793" t="s">
        <v>780</v>
      </c>
      <c r="F26" s="793" t="s">
        <v>787</v>
      </c>
      <c r="G26" s="793" t="s">
        <v>785</v>
      </c>
      <c r="H26" s="793" t="s">
        <v>783</v>
      </c>
      <c r="I26" s="794">
        <v>5.8374614496071043E-4</v>
      </c>
      <c r="J26" s="794">
        <v>0.10723645096231567</v>
      </c>
      <c r="K26" s="771"/>
    </row>
    <row r="27" spans="1:11" ht="18.75" customHeight="1" outlineLevel="2">
      <c r="A27" s="791" t="s">
        <v>776</v>
      </c>
      <c r="B27" s="791" t="s">
        <v>777</v>
      </c>
      <c r="C27" s="791" t="s">
        <v>778</v>
      </c>
      <c r="D27" s="792" t="s">
        <v>779</v>
      </c>
      <c r="E27" s="793" t="s">
        <v>780</v>
      </c>
      <c r="F27" s="793" t="s">
        <v>788</v>
      </c>
      <c r="G27" s="793" t="s">
        <v>785</v>
      </c>
      <c r="H27" s="793" t="s">
        <v>783</v>
      </c>
      <c r="I27" s="794">
        <v>3.1334420562610229E-3</v>
      </c>
      <c r="J27" s="794">
        <v>0.49912899069247973</v>
      </c>
      <c r="K27" s="771"/>
    </row>
    <row r="28" spans="1:11" ht="18.75" customHeight="1" outlineLevel="2">
      <c r="A28" s="791" t="s">
        <v>776</v>
      </c>
      <c r="B28" s="791" t="s">
        <v>777</v>
      </c>
      <c r="C28" s="791" t="s">
        <v>778</v>
      </c>
      <c r="D28" s="792" t="s">
        <v>779</v>
      </c>
      <c r="E28" s="793" t="s">
        <v>780</v>
      </c>
      <c r="F28" s="793" t="s">
        <v>789</v>
      </c>
      <c r="G28" s="793" t="s">
        <v>785</v>
      </c>
      <c r="H28" s="793" t="s">
        <v>783</v>
      </c>
      <c r="I28" s="794">
        <v>5.3431676196046326E-3</v>
      </c>
      <c r="J28" s="794">
        <v>1.314373860197543</v>
      </c>
      <c r="K28" s="771"/>
    </row>
    <row r="29" spans="1:11" ht="18.75" customHeight="1" outlineLevel="2">
      <c r="A29" s="791" t="s">
        <v>776</v>
      </c>
      <c r="B29" s="791" t="s">
        <v>777</v>
      </c>
      <c r="C29" s="791" t="s">
        <v>778</v>
      </c>
      <c r="D29" s="792" t="s">
        <v>779</v>
      </c>
      <c r="E29" s="793" t="s">
        <v>780</v>
      </c>
      <c r="F29" s="793" t="s">
        <v>790</v>
      </c>
      <c r="G29" s="793" t="s">
        <v>791</v>
      </c>
      <c r="H29" s="793" t="s">
        <v>783</v>
      </c>
      <c r="I29" s="794">
        <v>9.5759006629020013E-4</v>
      </c>
      <c r="J29" s="794">
        <v>1.2719584564905465E-2</v>
      </c>
      <c r="K29" s="771"/>
    </row>
    <row r="30" spans="1:11" ht="18.75" customHeight="1" outlineLevel="2">
      <c r="A30" s="791" t="s">
        <v>776</v>
      </c>
      <c r="B30" s="791" t="s">
        <v>777</v>
      </c>
      <c r="C30" s="791" t="s">
        <v>778</v>
      </c>
      <c r="D30" s="792" t="s">
        <v>779</v>
      </c>
      <c r="E30" s="793" t="s">
        <v>780</v>
      </c>
      <c r="F30" s="793" t="s">
        <v>792</v>
      </c>
      <c r="G30" s="793" t="s">
        <v>791</v>
      </c>
      <c r="H30" s="793" t="s">
        <v>783</v>
      </c>
      <c r="I30" s="794">
        <v>7.1080361666820777E-3</v>
      </c>
      <c r="J30" s="794">
        <v>1.3804495632373608</v>
      </c>
      <c r="K30" s="771"/>
    </row>
    <row r="31" spans="1:11" ht="18.75" customHeight="1" outlineLevel="2">
      <c r="A31" s="791" t="s">
        <v>776</v>
      </c>
      <c r="B31" s="791" t="s">
        <v>777</v>
      </c>
      <c r="C31" s="791" t="s">
        <v>778</v>
      </c>
      <c r="D31" s="792" t="s">
        <v>779</v>
      </c>
      <c r="E31" s="793" t="s">
        <v>780</v>
      </c>
      <c r="F31" s="793" t="s">
        <v>793</v>
      </c>
      <c r="G31" s="793" t="s">
        <v>794</v>
      </c>
      <c r="H31" s="793" t="s">
        <v>783</v>
      </c>
      <c r="I31" s="794">
        <v>0.6512049558344688</v>
      </c>
      <c r="J31" s="794">
        <v>16.900501176189707</v>
      </c>
      <c r="K31" s="771"/>
    </row>
    <row r="32" spans="1:11" ht="18.75" customHeight="1" outlineLevel="2">
      <c r="A32" s="791" t="s">
        <v>776</v>
      </c>
      <c r="B32" s="791" t="s">
        <v>777</v>
      </c>
      <c r="C32" s="791" t="s">
        <v>778</v>
      </c>
      <c r="D32" s="792" t="s">
        <v>779</v>
      </c>
      <c r="E32" s="793" t="s">
        <v>780</v>
      </c>
      <c r="F32" s="793" t="s">
        <v>795</v>
      </c>
      <c r="G32" s="793" t="s">
        <v>794</v>
      </c>
      <c r="H32" s="793" t="s">
        <v>783</v>
      </c>
      <c r="I32" s="794">
        <v>1.969234438218664E-2</v>
      </c>
      <c r="J32" s="794">
        <v>0.80685885664749979</v>
      </c>
      <c r="K32" s="771"/>
    </row>
    <row r="33" spans="1:11" ht="18.75" customHeight="1" outlineLevel="2">
      <c r="A33" s="791" t="s">
        <v>776</v>
      </c>
      <c r="B33" s="791" t="s">
        <v>777</v>
      </c>
      <c r="C33" s="791" t="s">
        <v>778</v>
      </c>
      <c r="D33" s="792" t="s">
        <v>779</v>
      </c>
      <c r="E33" s="793" t="s">
        <v>780</v>
      </c>
      <c r="F33" s="793" t="s">
        <v>796</v>
      </c>
      <c r="G33" s="793" t="s">
        <v>794</v>
      </c>
      <c r="H33" s="793" t="s">
        <v>783</v>
      </c>
      <c r="I33" s="794">
        <v>1.0235603839970287E-2</v>
      </c>
      <c r="J33" s="794">
        <v>1.1795362113513368</v>
      </c>
      <c r="K33" s="771"/>
    </row>
    <row r="34" spans="1:11" ht="18.75" customHeight="1" outlineLevel="2">
      <c r="A34" s="791" t="s">
        <v>776</v>
      </c>
      <c r="B34" s="791" t="s">
        <v>777</v>
      </c>
      <c r="C34" s="791" t="s">
        <v>778</v>
      </c>
      <c r="D34" s="792" t="s">
        <v>779</v>
      </c>
      <c r="E34" s="793" t="s">
        <v>780</v>
      </c>
      <c r="F34" s="793" t="s">
        <v>797</v>
      </c>
      <c r="G34" s="793" t="s">
        <v>794</v>
      </c>
      <c r="H34" s="793" t="s">
        <v>783</v>
      </c>
      <c r="I34" s="794">
        <v>0.20016232587010735</v>
      </c>
      <c r="J34" s="794">
        <v>41.887101273933943</v>
      </c>
      <c r="K34" s="771"/>
    </row>
    <row r="35" spans="1:11" ht="18.75" customHeight="1" outlineLevel="2">
      <c r="A35" s="791" t="s">
        <v>776</v>
      </c>
      <c r="B35" s="791" t="s">
        <v>777</v>
      </c>
      <c r="C35" s="791" t="s">
        <v>778</v>
      </c>
      <c r="D35" s="792" t="s">
        <v>779</v>
      </c>
      <c r="E35" s="793" t="s">
        <v>662</v>
      </c>
      <c r="F35" s="793" t="s">
        <v>798</v>
      </c>
      <c r="G35" s="793" t="s">
        <v>799</v>
      </c>
      <c r="H35" s="793" t="s">
        <v>800</v>
      </c>
      <c r="I35" s="794">
        <v>0.62709222247279695</v>
      </c>
      <c r="J35" s="794">
        <v>180.183873799563</v>
      </c>
      <c r="K35" s="771"/>
    </row>
    <row r="36" spans="1:11" ht="18.75" customHeight="1" outlineLevel="2">
      <c r="A36" s="791" t="s">
        <v>776</v>
      </c>
      <c r="B36" s="791" t="s">
        <v>777</v>
      </c>
      <c r="C36" s="791" t="s">
        <v>778</v>
      </c>
      <c r="D36" s="792" t="s">
        <v>779</v>
      </c>
      <c r="E36" s="793" t="s">
        <v>662</v>
      </c>
      <c r="F36" s="793" t="s">
        <v>801</v>
      </c>
      <c r="G36" s="793" t="s">
        <v>799</v>
      </c>
      <c r="H36" s="793" t="s">
        <v>800</v>
      </c>
      <c r="I36" s="794">
        <v>0.19155200138827846</v>
      </c>
      <c r="J36" s="794">
        <v>77.381798849913579</v>
      </c>
      <c r="K36" s="771"/>
    </row>
    <row r="37" spans="1:11" ht="18.75" customHeight="1" outlineLevel="2">
      <c r="A37" s="791" t="s">
        <v>776</v>
      </c>
      <c r="B37" s="791" t="s">
        <v>777</v>
      </c>
      <c r="C37" s="791" t="s">
        <v>778</v>
      </c>
      <c r="D37" s="792" t="s">
        <v>779</v>
      </c>
      <c r="E37" s="793" t="s">
        <v>662</v>
      </c>
      <c r="F37" s="793" t="s">
        <v>802</v>
      </c>
      <c r="G37" s="793" t="s">
        <v>799</v>
      </c>
      <c r="H37" s="793" t="s">
        <v>800</v>
      </c>
      <c r="I37" s="794">
        <v>8.7185679491838933E-2</v>
      </c>
      <c r="J37" s="794">
        <v>112.12724707176623</v>
      </c>
      <c r="K37" s="771"/>
    </row>
    <row r="38" spans="1:11" ht="18.75" customHeight="1" outlineLevel="2">
      <c r="A38" s="791" t="s">
        <v>776</v>
      </c>
      <c r="B38" s="791" t="s">
        <v>777</v>
      </c>
      <c r="C38" s="791" t="s">
        <v>778</v>
      </c>
      <c r="D38" s="792" t="s">
        <v>779</v>
      </c>
      <c r="E38" s="793" t="s">
        <v>662</v>
      </c>
      <c r="F38" s="793" t="s">
        <v>803</v>
      </c>
      <c r="G38" s="793" t="s">
        <v>782</v>
      </c>
      <c r="H38" s="793" t="s">
        <v>804</v>
      </c>
      <c r="I38" s="794">
        <v>4.5568724531825418E-3</v>
      </c>
      <c r="J38" s="794">
        <v>2.8274459730140324</v>
      </c>
      <c r="K38" s="771"/>
    </row>
    <row r="39" spans="1:11" ht="18.75" customHeight="1" outlineLevel="2">
      <c r="A39" s="791" t="s">
        <v>776</v>
      </c>
      <c r="B39" s="791" t="s">
        <v>777</v>
      </c>
      <c r="C39" s="791" t="s">
        <v>778</v>
      </c>
      <c r="D39" s="792" t="s">
        <v>779</v>
      </c>
      <c r="E39" s="793" t="s">
        <v>662</v>
      </c>
      <c r="F39" s="793" t="s">
        <v>805</v>
      </c>
      <c r="G39" s="793" t="s">
        <v>782</v>
      </c>
      <c r="H39" s="793" t="s">
        <v>804</v>
      </c>
      <c r="I39" s="794">
        <v>3.7817174513078082E-4</v>
      </c>
      <c r="J39" s="794">
        <v>0.18315104693854492</v>
      </c>
      <c r="K39" s="771"/>
    </row>
    <row r="40" spans="1:11" ht="18.75" customHeight="1" outlineLevel="2">
      <c r="A40" s="791" t="s">
        <v>776</v>
      </c>
      <c r="B40" s="791" t="s">
        <v>777</v>
      </c>
      <c r="C40" s="791" t="s">
        <v>778</v>
      </c>
      <c r="D40" s="792" t="s">
        <v>779</v>
      </c>
      <c r="E40" s="793" t="s">
        <v>662</v>
      </c>
      <c r="F40" s="793" t="s">
        <v>806</v>
      </c>
      <c r="G40" s="793" t="s">
        <v>782</v>
      </c>
      <c r="H40" s="793" t="s">
        <v>804</v>
      </c>
      <c r="I40" s="794">
        <v>4.5829474033959414E-4</v>
      </c>
      <c r="J40" s="794">
        <v>0.21891761285328459</v>
      </c>
      <c r="K40" s="771"/>
    </row>
    <row r="41" spans="1:11" ht="18.75" customHeight="1" outlineLevel="2">
      <c r="A41" s="791" t="s">
        <v>776</v>
      </c>
      <c r="B41" s="791" t="s">
        <v>777</v>
      </c>
      <c r="C41" s="791" t="s">
        <v>778</v>
      </c>
      <c r="D41" s="792" t="s">
        <v>779</v>
      </c>
      <c r="E41" s="793" t="s">
        <v>662</v>
      </c>
      <c r="F41" s="793" t="s">
        <v>807</v>
      </c>
      <c r="G41" s="793" t="s">
        <v>782</v>
      </c>
      <c r="H41" s="793" t="s">
        <v>804</v>
      </c>
      <c r="I41" s="794">
        <v>3.3892873277668335E-6</v>
      </c>
      <c r="J41" s="794">
        <v>1.5168630374365662E-3</v>
      </c>
      <c r="K41" s="771"/>
    </row>
    <row r="42" spans="1:11" ht="18.75" customHeight="1" outlineLevel="2">
      <c r="A42" s="791" t="s">
        <v>776</v>
      </c>
      <c r="B42" s="791" t="s">
        <v>777</v>
      </c>
      <c r="C42" s="791" t="s">
        <v>778</v>
      </c>
      <c r="D42" s="792" t="s">
        <v>779</v>
      </c>
      <c r="E42" s="793" t="s">
        <v>662</v>
      </c>
      <c r="F42" s="793" t="s">
        <v>808</v>
      </c>
      <c r="G42" s="793" t="s">
        <v>782</v>
      </c>
      <c r="H42" s="793" t="s">
        <v>804</v>
      </c>
      <c r="I42" s="794">
        <v>1.3064068268085219E-2</v>
      </c>
      <c r="J42" s="794">
        <v>7.2947621340366586</v>
      </c>
      <c r="K42" s="771"/>
    </row>
    <row r="43" spans="1:11" ht="18.75" customHeight="1" outlineLevel="2">
      <c r="A43" s="791" t="s">
        <v>776</v>
      </c>
      <c r="B43" s="791" t="s">
        <v>777</v>
      </c>
      <c r="C43" s="791" t="s">
        <v>778</v>
      </c>
      <c r="D43" s="792" t="s">
        <v>779</v>
      </c>
      <c r="E43" s="793" t="s">
        <v>662</v>
      </c>
      <c r="F43" s="793" t="s">
        <v>809</v>
      </c>
      <c r="G43" s="793" t="s">
        <v>782</v>
      </c>
      <c r="H43" s="793" t="s">
        <v>804</v>
      </c>
      <c r="I43" s="794">
        <v>9.5520139872108545E-5</v>
      </c>
      <c r="J43" s="794">
        <v>4.2749697415366827E-2</v>
      </c>
      <c r="K43" s="771"/>
    </row>
    <row r="44" spans="1:11" ht="18.75" customHeight="1" outlineLevel="2">
      <c r="A44" s="791" t="s">
        <v>776</v>
      </c>
      <c r="B44" s="791" t="s">
        <v>777</v>
      </c>
      <c r="C44" s="791" t="s">
        <v>778</v>
      </c>
      <c r="D44" s="792" t="s">
        <v>779</v>
      </c>
      <c r="E44" s="793" t="s">
        <v>662</v>
      </c>
      <c r="F44" s="793" t="s">
        <v>810</v>
      </c>
      <c r="G44" s="793" t="s">
        <v>785</v>
      </c>
      <c r="H44" s="793" t="s">
        <v>727</v>
      </c>
      <c r="I44" s="794">
        <v>1.4166631471875034E-3</v>
      </c>
      <c r="J44" s="794">
        <v>0.63402238756653495</v>
      </c>
      <c r="K44" s="771"/>
    </row>
    <row r="45" spans="1:11" ht="18.75" customHeight="1" outlineLevel="2">
      <c r="A45" s="791" t="s">
        <v>776</v>
      </c>
      <c r="B45" s="791" t="s">
        <v>777</v>
      </c>
      <c r="C45" s="791" t="s">
        <v>778</v>
      </c>
      <c r="D45" s="792" t="s">
        <v>779</v>
      </c>
      <c r="E45" s="793" t="s">
        <v>662</v>
      </c>
      <c r="F45" s="793" t="s">
        <v>811</v>
      </c>
      <c r="G45" s="793" t="s">
        <v>785</v>
      </c>
      <c r="H45" s="793" t="s">
        <v>727</v>
      </c>
      <c r="I45" s="794">
        <v>1.0840511167328461E-4</v>
      </c>
      <c r="J45" s="794">
        <v>4.8516198975780425E-2</v>
      </c>
      <c r="K45" s="771"/>
    </row>
    <row r="46" spans="1:11" ht="18.75" customHeight="1" outlineLevel="2">
      <c r="A46" s="791" t="s">
        <v>776</v>
      </c>
      <c r="B46" s="791" t="s">
        <v>777</v>
      </c>
      <c r="C46" s="791" t="s">
        <v>778</v>
      </c>
      <c r="D46" s="792" t="s">
        <v>779</v>
      </c>
      <c r="E46" s="793" t="s">
        <v>662</v>
      </c>
      <c r="F46" s="793" t="s">
        <v>812</v>
      </c>
      <c r="G46" s="793" t="s">
        <v>813</v>
      </c>
      <c r="H46" s="793" t="s">
        <v>814</v>
      </c>
      <c r="I46" s="794">
        <v>5.1822065137268154E-3</v>
      </c>
      <c r="J46" s="794">
        <v>2.8381195839924418</v>
      </c>
      <c r="K46" s="771"/>
    </row>
    <row r="47" spans="1:11" ht="18.75" customHeight="1" outlineLevel="2">
      <c r="A47" s="791" t="s">
        <v>776</v>
      </c>
      <c r="B47" s="791" t="s">
        <v>777</v>
      </c>
      <c r="C47" s="791" t="s">
        <v>778</v>
      </c>
      <c r="D47" s="792" t="s">
        <v>779</v>
      </c>
      <c r="E47" s="793" t="s">
        <v>662</v>
      </c>
      <c r="F47" s="793" t="s">
        <v>815</v>
      </c>
      <c r="G47" s="793" t="s">
        <v>813</v>
      </c>
      <c r="H47" s="793" t="s">
        <v>814</v>
      </c>
      <c r="I47" s="794">
        <v>6.3859747807559607E-3</v>
      </c>
      <c r="J47" s="794">
        <v>3.4321109520603543</v>
      </c>
      <c r="K47" s="771"/>
    </row>
    <row r="48" spans="1:11" ht="18.75" customHeight="1" outlineLevel="2">
      <c r="A48" s="791" t="s">
        <v>776</v>
      </c>
      <c r="B48" s="791" t="s">
        <v>777</v>
      </c>
      <c r="C48" s="791" t="s">
        <v>778</v>
      </c>
      <c r="D48" s="792" t="s">
        <v>779</v>
      </c>
      <c r="E48" s="793" t="s">
        <v>662</v>
      </c>
      <c r="F48" s="793" t="s">
        <v>816</v>
      </c>
      <c r="G48" s="793" t="s">
        <v>813</v>
      </c>
      <c r="H48" s="793" t="s">
        <v>814</v>
      </c>
      <c r="I48" s="794">
        <v>7.2937055114806443E-2</v>
      </c>
      <c r="J48" s="794">
        <v>37.894250977982843</v>
      </c>
      <c r="K48" s="771"/>
    </row>
    <row r="49" spans="1:11" ht="18.75" customHeight="1" outlineLevel="2">
      <c r="A49" s="791" t="s">
        <v>776</v>
      </c>
      <c r="B49" s="791" t="s">
        <v>777</v>
      </c>
      <c r="C49" s="791" t="s">
        <v>778</v>
      </c>
      <c r="D49" s="792" t="s">
        <v>779</v>
      </c>
      <c r="E49" s="793" t="s">
        <v>662</v>
      </c>
      <c r="F49" s="793" t="s">
        <v>817</v>
      </c>
      <c r="G49" s="793" t="s">
        <v>813</v>
      </c>
      <c r="H49" s="793" t="s">
        <v>814</v>
      </c>
      <c r="I49" s="794">
        <v>6.0382983254664416E-2</v>
      </c>
      <c r="J49" s="794">
        <v>33.053905685725553</v>
      </c>
      <c r="K49" s="771"/>
    </row>
    <row r="50" spans="1:11" ht="18.75" customHeight="1" outlineLevel="2">
      <c r="A50" s="791" t="s">
        <v>776</v>
      </c>
      <c r="B50" s="791" t="s">
        <v>777</v>
      </c>
      <c r="C50" s="791" t="s">
        <v>778</v>
      </c>
      <c r="D50" s="792" t="s">
        <v>779</v>
      </c>
      <c r="E50" s="793" t="s">
        <v>662</v>
      </c>
      <c r="F50" s="793" t="s">
        <v>818</v>
      </c>
      <c r="G50" s="793" t="s">
        <v>813</v>
      </c>
      <c r="H50" s="793" t="s">
        <v>814</v>
      </c>
      <c r="I50" s="794">
        <v>8.9599099131768056E-2</v>
      </c>
      <c r="J50" s="794">
        <v>52.626892880549477</v>
      </c>
      <c r="K50" s="771"/>
    </row>
    <row r="51" spans="1:11" ht="18.75" customHeight="1" outlineLevel="2">
      <c r="A51" s="791" t="s">
        <v>776</v>
      </c>
      <c r="B51" s="791" t="s">
        <v>777</v>
      </c>
      <c r="C51" s="791" t="s">
        <v>778</v>
      </c>
      <c r="D51" s="792" t="s">
        <v>779</v>
      </c>
      <c r="E51" s="793" t="s">
        <v>662</v>
      </c>
      <c r="F51" s="793" t="s">
        <v>819</v>
      </c>
      <c r="G51" s="793" t="s">
        <v>813</v>
      </c>
      <c r="H51" s="793" t="s">
        <v>814</v>
      </c>
      <c r="I51" s="794">
        <v>5.7136585447375307E-2</v>
      </c>
      <c r="J51" s="794">
        <v>28.884671924950979</v>
      </c>
      <c r="K51" s="771"/>
    </row>
    <row r="52" spans="1:11" ht="18.75" customHeight="1" outlineLevel="2">
      <c r="A52" s="791" t="s">
        <v>776</v>
      </c>
      <c r="B52" s="791" t="s">
        <v>777</v>
      </c>
      <c r="C52" s="791" t="s">
        <v>778</v>
      </c>
      <c r="D52" s="792" t="s">
        <v>779</v>
      </c>
      <c r="E52" s="793" t="s">
        <v>662</v>
      </c>
      <c r="F52" s="793" t="s">
        <v>820</v>
      </c>
      <c r="G52" s="793" t="s">
        <v>813</v>
      </c>
      <c r="H52" s="793" t="s">
        <v>814</v>
      </c>
      <c r="I52" s="794">
        <v>6.3153535250921308E-2</v>
      </c>
      <c r="J52" s="794">
        <v>33.870547211928965</v>
      </c>
      <c r="K52" s="771"/>
    </row>
    <row r="53" spans="1:11" ht="18.75" customHeight="1" outlineLevel="2">
      <c r="A53" s="791" t="s">
        <v>776</v>
      </c>
      <c r="B53" s="791" t="s">
        <v>777</v>
      </c>
      <c r="C53" s="791" t="s">
        <v>778</v>
      </c>
      <c r="D53" s="792" t="s">
        <v>779</v>
      </c>
      <c r="E53" s="793" t="s">
        <v>662</v>
      </c>
      <c r="F53" s="793" t="s">
        <v>821</v>
      </c>
      <c r="G53" s="793" t="s">
        <v>813</v>
      </c>
      <c r="H53" s="793" t="s">
        <v>814</v>
      </c>
      <c r="I53" s="794">
        <v>5.0428336253748235E-2</v>
      </c>
      <c r="J53" s="794">
        <v>26.971373341215724</v>
      </c>
      <c r="K53" s="771"/>
    </row>
    <row r="54" spans="1:11" ht="18.75" customHeight="1" outlineLevel="2">
      <c r="A54" s="791" t="s">
        <v>776</v>
      </c>
      <c r="B54" s="791" t="s">
        <v>777</v>
      </c>
      <c r="C54" s="791" t="s">
        <v>778</v>
      </c>
      <c r="D54" s="792" t="s">
        <v>779</v>
      </c>
      <c r="E54" s="793" t="s">
        <v>662</v>
      </c>
      <c r="F54" s="793" t="s">
        <v>822</v>
      </c>
      <c r="G54" s="793" t="s">
        <v>813</v>
      </c>
      <c r="H54" s="793" t="s">
        <v>814</v>
      </c>
      <c r="I54" s="794">
        <v>0.11445914656921163</v>
      </c>
      <c r="J54" s="794">
        <v>16.758328782949675</v>
      </c>
      <c r="K54" s="771"/>
    </row>
    <row r="55" spans="1:11" ht="18.75" customHeight="1" outlineLevel="2">
      <c r="A55" s="791" t="s">
        <v>776</v>
      </c>
      <c r="B55" s="791" t="s">
        <v>777</v>
      </c>
      <c r="C55" s="791" t="s">
        <v>778</v>
      </c>
      <c r="D55" s="792" t="s">
        <v>779</v>
      </c>
      <c r="E55" s="793" t="s">
        <v>662</v>
      </c>
      <c r="F55" s="793" t="s">
        <v>823</v>
      </c>
      <c r="G55" s="793" t="s">
        <v>813</v>
      </c>
      <c r="H55" s="793" t="s">
        <v>814</v>
      </c>
      <c r="I55" s="794">
        <v>6.7076069587141698E-2</v>
      </c>
      <c r="J55" s="794">
        <v>9.8205476207116238</v>
      </c>
      <c r="K55" s="771"/>
    </row>
    <row r="56" spans="1:11" ht="18.75" customHeight="1" outlineLevel="2">
      <c r="A56" s="791" t="s">
        <v>776</v>
      </c>
      <c r="B56" s="791" t="s">
        <v>777</v>
      </c>
      <c r="C56" s="791" t="s">
        <v>778</v>
      </c>
      <c r="D56" s="792" t="s">
        <v>779</v>
      </c>
      <c r="E56" s="793" t="s">
        <v>662</v>
      </c>
      <c r="F56" s="793" t="s">
        <v>824</v>
      </c>
      <c r="G56" s="793" t="s">
        <v>813</v>
      </c>
      <c r="H56" s="793" t="s">
        <v>814</v>
      </c>
      <c r="I56" s="794">
        <v>2.8843054919243183E-5</v>
      </c>
      <c r="J56" s="794">
        <v>1.439214267573514E-2</v>
      </c>
      <c r="K56" s="771"/>
    </row>
    <row r="57" spans="1:11" ht="18.75" customHeight="1" outlineLevel="2">
      <c r="A57" s="791" t="s">
        <v>776</v>
      </c>
      <c r="B57" s="791" t="s">
        <v>777</v>
      </c>
      <c r="C57" s="791" t="s">
        <v>778</v>
      </c>
      <c r="D57" s="792" t="s">
        <v>779</v>
      </c>
      <c r="E57" s="793" t="s">
        <v>662</v>
      </c>
      <c r="F57" s="793" t="s">
        <v>825</v>
      </c>
      <c r="G57" s="793" t="s">
        <v>791</v>
      </c>
      <c r="H57" s="793" t="s">
        <v>826</v>
      </c>
      <c r="I57" s="794">
        <v>1.1891989051510696E-4</v>
      </c>
      <c r="J57" s="794">
        <v>7.2317881732221423E-2</v>
      </c>
      <c r="K57" s="771"/>
    </row>
    <row r="58" spans="1:11" ht="18.75" customHeight="1" outlineLevel="2">
      <c r="A58" s="791" t="s">
        <v>776</v>
      </c>
      <c r="B58" s="791" t="s">
        <v>777</v>
      </c>
      <c r="C58" s="791" t="s">
        <v>778</v>
      </c>
      <c r="D58" s="792" t="s">
        <v>779</v>
      </c>
      <c r="E58" s="793" t="s">
        <v>662</v>
      </c>
      <c r="F58" s="793" t="s">
        <v>827</v>
      </c>
      <c r="G58" s="793" t="s">
        <v>794</v>
      </c>
      <c r="H58" s="793" t="s">
        <v>828</v>
      </c>
      <c r="I58" s="794">
        <v>5.7389036769279235E-3</v>
      </c>
      <c r="J58" s="794">
        <v>2.841384704748529</v>
      </c>
      <c r="K58" s="771"/>
    </row>
    <row r="59" spans="1:11" ht="18.75" customHeight="1" outlineLevel="2">
      <c r="A59" s="791" t="s">
        <v>776</v>
      </c>
      <c r="B59" s="791" t="s">
        <v>777</v>
      </c>
      <c r="C59" s="791" t="s">
        <v>778</v>
      </c>
      <c r="D59" s="792" t="s">
        <v>779</v>
      </c>
      <c r="E59" s="793" t="s">
        <v>662</v>
      </c>
      <c r="F59" s="793" t="s">
        <v>829</v>
      </c>
      <c r="G59" s="793" t="s">
        <v>794</v>
      </c>
      <c r="H59" s="793" t="s">
        <v>828</v>
      </c>
      <c r="I59" s="794">
        <v>3.6623350366607285E-2</v>
      </c>
      <c r="J59" s="794">
        <v>18.955235079950217</v>
      </c>
      <c r="K59" s="771"/>
    </row>
    <row r="60" spans="1:11" ht="18.75" customHeight="1" outlineLevel="2">
      <c r="A60" s="791" t="s">
        <v>776</v>
      </c>
      <c r="B60" s="791" t="s">
        <v>777</v>
      </c>
      <c r="C60" s="791" t="s">
        <v>778</v>
      </c>
      <c r="D60" s="792" t="s">
        <v>779</v>
      </c>
      <c r="E60" s="793" t="s">
        <v>662</v>
      </c>
      <c r="F60" s="793" t="s">
        <v>830</v>
      </c>
      <c r="G60" s="793" t="s">
        <v>794</v>
      </c>
      <c r="H60" s="793" t="s">
        <v>828</v>
      </c>
      <c r="I60" s="794">
        <v>1.4689560059599947E-5</v>
      </c>
      <c r="J60" s="794">
        <v>6.5742648211909076E-3</v>
      </c>
      <c r="K60" s="771"/>
    </row>
    <row r="61" spans="1:11" ht="18.75" customHeight="1" outlineLevel="2">
      <c r="A61" s="791" t="s">
        <v>776</v>
      </c>
      <c r="B61" s="791" t="s">
        <v>777</v>
      </c>
      <c r="C61" s="791" t="s">
        <v>778</v>
      </c>
      <c r="D61" s="792" t="s">
        <v>779</v>
      </c>
      <c r="E61" s="793" t="s">
        <v>662</v>
      </c>
      <c r="F61" s="793" t="s">
        <v>831</v>
      </c>
      <c r="G61" s="793" t="s">
        <v>794</v>
      </c>
      <c r="H61" s="793" t="s">
        <v>828</v>
      </c>
      <c r="I61" s="794">
        <v>2.5623233996630452E-4</v>
      </c>
      <c r="J61" s="794">
        <v>0.11467589691722008</v>
      </c>
      <c r="K61" s="771"/>
    </row>
    <row r="62" spans="1:11" ht="18.75" customHeight="1" outlineLevel="2">
      <c r="A62" s="791" t="s">
        <v>776</v>
      </c>
      <c r="B62" s="791" t="s">
        <v>777</v>
      </c>
      <c r="C62" s="791" t="s">
        <v>778</v>
      </c>
      <c r="D62" s="792" t="s">
        <v>779</v>
      </c>
      <c r="E62" s="793" t="s">
        <v>662</v>
      </c>
      <c r="F62" s="793" t="s">
        <v>832</v>
      </c>
      <c r="G62" s="793" t="s">
        <v>833</v>
      </c>
      <c r="H62" s="793" t="s">
        <v>834</v>
      </c>
      <c r="I62" s="794">
        <v>1.780570847181728E-2</v>
      </c>
      <c r="J62" s="794">
        <v>10.279734199961482</v>
      </c>
      <c r="K62" s="771"/>
    </row>
    <row r="63" spans="1:11" ht="18.75" customHeight="1" outlineLevel="2">
      <c r="A63" s="791" t="s">
        <v>776</v>
      </c>
      <c r="B63" s="791" t="s">
        <v>777</v>
      </c>
      <c r="C63" s="791" t="s">
        <v>778</v>
      </c>
      <c r="D63" s="792" t="s">
        <v>779</v>
      </c>
      <c r="E63" s="793" t="s">
        <v>662</v>
      </c>
      <c r="F63" s="793" t="s">
        <v>835</v>
      </c>
      <c r="G63" s="793" t="s">
        <v>799</v>
      </c>
      <c r="H63" s="793" t="s">
        <v>800</v>
      </c>
      <c r="I63" s="794">
        <v>0.11935817282197367</v>
      </c>
      <c r="J63" s="794">
        <v>84.034096854422899</v>
      </c>
      <c r="K63" s="771"/>
    </row>
    <row r="64" spans="1:11" ht="18.75" customHeight="1" outlineLevel="2">
      <c r="A64" s="791" t="s">
        <v>776</v>
      </c>
      <c r="B64" s="791" t="s">
        <v>777</v>
      </c>
      <c r="C64" s="791" t="s">
        <v>778</v>
      </c>
      <c r="D64" s="792" t="s">
        <v>779</v>
      </c>
      <c r="E64" s="793" t="s">
        <v>662</v>
      </c>
      <c r="F64" s="793" t="s">
        <v>836</v>
      </c>
      <c r="G64" s="793" t="s">
        <v>799</v>
      </c>
      <c r="H64" s="793" t="s">
        <v>800</v>
      </c>
      <c r="I64" s="794">
        <v>0.87952047181393578</v>
      </c>
      <c r="J64" s="794">
        <v>798.89408669602801</v>
      </c>
      <c r="K64" s="771"/>
    </row>
    <row r="65" spans="1:11" ht="18.75" customHeight="1" outlineLevel="2">
      <c r="A65" s="791" t="s">
        <v>776</v>
      </c>
      <c r="B65" s="791" t="s">
        <v>777</v>
      </c>
      <c r="C65" s="791" t="s">
        <v>778</v>
      </c>
      <c r="D65" s="792" t="s">
        <v>779</v>
      </c>
      <c r="E65" s="793" t="s">
        <v>662</v>
      </c>
      <c r="F65" s="793" t="s">
        <v>837</v>
      </c>
      <c r="G65" s="793" t="s">
        <v>799</v>
      </c>
      <c r="H65" s="793" t="s">
        <v>800</v>
      </c>
      <c r="I65" s="794">
        <v>0.20655862773378178</v>
      </c>
      <c r="J65" s="794">
        <v>273.27807088923885</v>
      </c>
      <c r="K65" s="771"/>
    </row>
    <row r="66" spans="1:11" ht="18.75" customHeight="1" outlineLevel="2">
      <c r="A66" s="791" t="s">
        <v>776</v>
      </c>
      <c r="B66" s="791" t="s">
        <v>777</v>
      </c>
      <c r="C66" s="791" t="s">
        <v>778</v>
      </c>
      <c r="D66" s="792" t="s">
        <v>779</v>
      </c>
      <c r="E66" s="793" t="s">
        <v>662</v>
      </c>
      <c r="F66" s="793" t="s">
        <v>838</v>
      </c>
      <c r="G66" s="793" t="s">
        <v>799</v>
      </c>
      <c r="H66" s="793" t="s">
        <v>800</v>
      </c>
      <c r="I66" s="794">
        <v>0.11815132864561934</v>
      </c>
      <c r="J66" s="794">
        <v>107.15204737313533</v>
      </c>
      <c r="K66" s="771"/>
    </row>
    <row r="67" spans="1:11" ht="18.75" customHeight="1" outlineLevel="2">
      <c r="A67" s="791" t="s">
        <v>776</v>
      </c>
      <c r="B67" s="791" t="s">
        <v>777</v>
      </c>
      <c r="C67" s="791" t="s">
        <v>778</v>
      </c>
      <c r="D67" s="792" t="s">
        <v>779</v>
      </c>
      <c r="E67" s="793" t="s">
        <v>662</v>
      </c>
      <c r="F67" s="793" t="s">
        <v>839</v>
      </c>
      <c r="G67" s="793" t="s">
        <v>782</v>
      </c>
      <c r="H67" s="793" t="s">
        <v>804</v>
      </c>
      <c r="I67" s="794">
        <v>1.5474301635393811E-3</v>
      </c>
      <c r="J67" s="794">
        <v>2.5064034397445152</v>
      </c>
      <c r="K67" s="771"/>
    </row>
    <row r="68" spans="1:11" ht="18.75" customHeight="1" outlineLevel="2">
      <c r="A68" s="791" t="s">
        <v>776</v>
      </c>
      <c r="B68" s="791" t="s">
        <v>777</v>
      </c>
      <c r="C68" s="791" t="s">
        <v>778</v>
      </c>
      <c r="D68" s="792" t="s">
        <v>779</v>
      </c>
      <c r="E68" s="793" t="s">
        <v>662</v>
      </c>
      <c r="F68" s="793" t="s">
        <v>840</v>
      </c>
      <c r="G68" s="793" t="s">
        <v>782</v>
      </c>
      <c r="H68" s="793" t="s">
        <v>804</v>
      </c>
      <c r="I68" s="794">
        <v>1.2366395977911466E-5</v>
      </c>
      <c r="J68" s="794">
        <v>1.870810900189579E-2</v>
      </c>
      <c r="K68" s="771"/>
    </row>
    <row r="69" spans="1:11" ht="18.75" customHeight="1" outlineLevel="2">
      <c r="A69" s="791" t="s">
        <v>776</v>
      </c>
      <c r="B69" s="791" t="s">
        <v>777</v>
      </c>
      <c r="C69" s="791" t="s">
        <v>778</v>
      </c>
      <c r="D69" s="792" t="s">
        <v>779</v>
      </c>
      <c r="E69" s="793" t="s">
        <v>662</v>
      </c>
      <c r="F69" s="793" t="s">
        <v>841</v>
      </c>
      <c r="G69" s="793" t="s">
        <v>782</v>
      </c>
      <c r="H69" s="793" t="s">
        <v>804</v>
      </c>
      <c r="I69" s="794">
        <v>3.3436818778732982E-3</v>
      </c>
      <c r="J69" s="794">
        <v>4.7085826346705293</v>
      </c>
      <c r="K69" s="771"/>
    </row>
    <row r="70" spans="1:11" ht="18.75" customHeight="1" outlineLevel="2">
      <c r="A70" s="791" t="s">
        <v>776</v>
      </c>
      <c r="B70" s="791" t="s">
        <v>777</v>
      </c>
      <c r="C70" s="791" t="s">
        <v>778</v>
      </c>
      <c r="D70" s="792" t="s">
        <v>779</v>
      </c>
      <c r="E70" s="793" t="s">
        <v>662</v>
      </c>
      <c r="F70" s="793" t="s">
        <v>842</v>
      </c>
      <c r="G70" s="793" t="s">
        <v>782</v>
      </c>
      <c r="H70" s="793" t="s">
        <v>804</v>
      </c>
      <c r="I70" s="794">
        <v>2.728544403642601E-3</v>
      </c>
      <c r="J70" s="794">
        <v>4.4330510170476414</v>
      </c>
      <c r="K70" s="771"/>
    </row>
    <row r="71" spans="1:11" ht="18.75" customHeight="1" outlineLevel="2">
      <c r="A71" s="791" t="s">
        <v>776</v>
      </c>
      <c r="B71" s="791" t="s">
        <v>777</v>
      </c>
      <c r="C71" s="791" t="s">
        <v>778</v>
      </c>
      <c r="D71" s="792" t="s">
        <v>779</v>
      </c>
      <c r="E71" s="793" t="s">
        <v>662</v>
      </c>
      <c r="F71" s="793" t="s">
        <v>843</v>
      </c>
      <c r="G71" s="793" t="s">
        <v>782</v>
      </c>
      <c r="H71" s="793" t="s">
        <v>804</v>
      </c>
      <c r="I71" s="794">
        <v>6.1018043997036111E-3</v>
      </c>
      <c r="J71" s="794">
        <v>8.8470029671814512</v>
      </c>
      <c r="K71" s="771"/>
    </row>
    <row r="72" spans="1:11" ht="18.75" customHeight="1" outlineLevel="2">
      <c r="A72" s="791" t="s">
        <v>776</v>
      </c>
      <c r="B72" s="791" t="s">
        <v>777</v>
      </c>
      <c r="C72" s="791" t="s">
        <v>778</v>
      </c>
      <c r="D72" s="792" t="s">
        <v>779</v>
      </c>
      <c r="E72" s="793" t="s">
        <v>662</v>
      </c>
      <c r="F72" s="793" t="s">
        <v>844</v>
      </c>
      <c r="G72" s="793" t="s">
        <v>782</v>
      </c>
      <c r="H72" s="793" t="s">
        <v>804</v>
      </c>
      <c r="I72" s="794">
        <v>2.6471490008273526E-3</v>
      </c>
      <c r="J72" s="794">
        <v>3.7252436623483307</v>
      </c>
      <c r="K72" s="771"/>
    </row>
    <row r="73" spans="1:11" ht="18.75" customHeight="1" outlineLevel="2">
      <c r="A73" s="791" t="s">
        <v>776</v>
      </c>
      <c r="B73" s="791" t="s">
        <v>777</v>
      </c>
      <c r="C73" s="791" t="s">
        <v>778</v>
      </c>
      <c r="D73" s="792" t="s">
        <v>779</v>
      </c>
      <c r="E73" s="793" t="s">
        <v>662</v>
      </c>
      <c r="F73" s="793" t="s">
        <v>845</v>
      </c>
      <c r="G73" s="793" t="s">
        <v>782</v>
      </c>
      <c r="H73" s="793" t="s">
        <v>804</v>
      </c>
      <c r="I73" s="794">
        <v>1.4416928676358435E-4</v>
      </c>
      <c r="J73" s="794">
        <v>0.19415289379041975</v>
      </c>
      <c r="K73" s="771"/>
    </row>
    <row r="74" spans="1:11" ht="18.75" customHeight="1" outlineLevel="2">
      <c r="A74" s="791" t="s">
        <v>776</v>
      </c>
      <c r="B74" s="791" t="s">
        <v>777</v>
      </c>
      <c r="C74" s="791" t="s">
        <v>778</v>
      </c>
      <c r="D74" s="792" t="s">
        <v>779</v>
      </c>
      <c r="E74" s="793" t="s">
        <v>662</v>
      </c>
      <c r="F74" s="793" t="s">
        <v>846</v>
      </c>
      <c r="G74" s="793" t="s">
        <v>782</v>
      </c>
      <c r="H74" s="793" t="s">
        <v>804</v>
      </c>
      <c r="I74" s="794">
        <v>5.0165936035297017E-3</v>
      </c>
      <c r="J74" s="794">
        <v>7.7957899974302922</v>
      </c>
      <c r="K74" s="771"/>
    </row>
    <row r="75" spans="1:11" ht="18.75" customHeight="1" outlineLevel="2">
      <c r="A75" s="791" t="s">
        <v>776</v>
      </c>
      <c r="B75" s="791" t="s">
        <v>777</v>
      </c>
      <c r="C75" s="791" t="s">
        <v>778</v>
      </c>
      <c r="D75" s="792" t="s">
        <v>779</v>
      </c>
      <c r="E75" s="793" t="s">
        <v>662</v>
      </c>
      <c r="F75" s="793" t="s">
        <v>847</v>
      </c>
      <c r="G75" s="793" t="s">
        <v>782</v>
      </c>
      <c r="H75" s="793" t="s">
        <v>804</v>
      </c>
      <c r="I75" s="794">
        <v>2.3900579545674248E-3</v>
      </c>
      <c r="J75" s="794">
        <v>2.8913182785889777</v>
      </c>
      <c r="K75" s="771"/>
    </row>
    <row r="76" spans="1:11" ht="18.75" customHeight="1" outlineLevel="2">
      <c r="A76" s="791" t="s">
        <v>776</v>
      </c>
      <c r="B76" s="791" t="s">
        <v>777</v>
      </c>
      <c r="C76" s="791" t="s">
        <v>778</v>
      </c>
      <c r="D76" s="792" t="s">
        <v>779</v>
      </c>
      <c r="E76" s="793" t="s">
        <v>662</v>
      </c>
      <c r="F76" s="793" t="s">
        <v>848</v>
      </c>
      <c r="G76" s="793" t="s">
        <v>782</v>
      </c>
      <c r="H76" s="793" t="s">
        <v>804</v>
      </c>
      <c r="I76" s="794">
        <v>1.130249797255168E-2</v>
      </c>
      <c r="J76" s="794">
        <v>16.244720724180471</v>
      </c>
      <c r="K76" s="771"/>
    </row>
    <row r="77" spans="1:11" ht="18.75" customHeight="1" outlineLevel="2">
      <c r="A77" s="791" t="s">
        <v>776</v>
      </c>
      <c r="B77" s="791" t="s">
        <v>777</v>
      </c>
      <c r="C77" s="791" t="s">
        <v>778</v>
      </c>
      <c r="D77" s="792" t="s">
        <v>779</v>
      </c>
      <c r="E77" s="793" t="s">
        <v>662</v>
      </c>
      <c r="F77" s="793" t="s">
        <v>849</v>
      </c>
      <c r="G77" s="793" t="s">
        <v>782</v>
      </c>
      <c r="H77" s="793" t="s">
        <v>804</v>
      </c>
      <c r="I77" s="794">
        <v>5.7293536849623971E-3</v>
      </c>
      <c r="J77" s="794">
        <v>7.8011636983908952</v>
      </c>
      <c r="K77" s="771"/>
    </row>
    <row r="78" spans="1:11" ht="18.75" customHeight="1" outlineLevel="2">
      <c r="A78" s="791" t="s">
        <v>776</v>
      </c>
      <c r="B78" s="791" t="s">
        <v>777</v>
      </c>
      <c r="C78" s="791" t="s">
        <v>778</v>
      </c>
      <c r="D78" s="792" t="s">
        <v>779</v>
      </c>
      <c r="E78" s="793" t="s">
        <v>662</v>
      </c>
      <c r="F78" s="793" t="s">
        <v>850</v>
      </c>
      <c r="G78" s="793" t="s">
        <v>782</v>
      </c>
      <c r="H78" s="793" t="s">
        <v>804</v>
      </c>
      <c r="I78" s="794">
        <v>4.5230947978362577E-4</v>
      </c>
      <c r="J78" s="794">
        <v>0.62837373058504409</v>
      </c>
      <c r="K78" s="771"/>
    </row>
    <row r="79" spans="1:11" ht="18.75" customHeight="1" outlineLevel="2">
      <c r="A79" s="791" t="s">
        <v>776</v>
      </c>
      <c r="B79" s="791" t="s">
        <v>777</v>
      </c>
      <c r="C79" s="791" t="s">
        <v>778</v>
      </c>
      <c r="D79" s="792" t="s">
        <v>779</v>
      </c>
      <c r="E79" s="793" t="s">
        <v>662</v>
      </c>
      <c r="F79" s="793" t="s">
        <v>851</v>
      </c>
      <c r="G79" s="793" t="s">
        <v>782</v>
      </c>
      <c r="H79" s="793" t="s">
        <v>804</v>
      </c>
      <c r="I79" s="794">
        <v>7.435672173438314E-4</v>
      </c>
      <c r="J79" s="794">
        <v>1.0551967029704994</v>
      </c>
      <c r="K79" s="771"/>
    </row>
    <row r="80" spans="1:11" ht="18.75" customHeight="1" outlineLevel="2">
      <c r="A80" s="791" t="s">
        <v>776</v>
      </c>
      <c r="B80" s="791" t="s">
        <v>777</v>
      </c>
      <c r="C80" s="791" t="s">
        <v>778</v>
      </c>
      <c r="D80" s="792" t="s">
        <v>779</v>
      </c>
      <c r="E80" s="793" t="s">
        <v>662</v>
      </c>
      <c r="F80" s="793" t="s">
        <v>852</v>
      </c>
      <c r="G80" s="793" t="s">
        <v>782</v>
      </c>
      <c r="H80" s="793" t="s">
        <v>804</v>
      </c>
      <c r="I80" s="794">
        <v>3.2518600750582912E-4</v>
      </c>
      <c r="J80" s="794">
        <v>0.94290490975216179</v>
      </c>
      <c r="K80" s="771"/>
    </row>
    <row r="81" spans="1:11" ht="18.75" customHeight="1" outlineLevel="2">
      <c r="A81" s="791" t="s">
        <v>776</v>
      </c>
      <c r="B81" s="791" t="s">
        <v>777</v>
      </c>
      <c r="C81" s="791" t="s">
        <v>778</v>
      </c>
      <c r="D81" s="792" t="s">
        <v>779</v>
      </c>
      <c r="E81" s="793" t="s">
        <v>662</v>
      </c>
      <c r="F81" s="793" t="s">
        <v>853</v>
      </c>
      <c r="G81" s="793" t="s">
        <v>782</v>
      </c>
      <c r="H81" s="793" t="s">
        <v>804</v>
      </c>
      <c r="I81" s="794">
        <v>2.6192013306297786E-4</v>
      </c>
      <c r="J81" s="794">
        <v>2.2364066757531873</v>
      </c>
      <c r="K81" s="771"/>
    </row>
    <row r="82" spans="1:11" ht="18.75" customHeight="1" outlineLevel="2">
      <c r="A82" s="791" t="s">
        <v>776</v>
      </c>
      <c r="B82" s="791" t="s">
        <v>777</v>
      </c>
      <c r="C82" s="791" t="s">
        <v>778</v>
      </c>
      <c r="D82" s="792" t="s">
        <v>779</v>
      </c>
      <c r="E82" s="793" t="s">
        <v>662</v>
      </c>
      <c r="F82" s="793" t="s">
        <v>854</v>
      </c>
      <c r="G82" s="793" t="s">
        <v>782</v>
      </c>
      <c r="H82" s="793" t="s">
        <v>804</v>
      </c>
      <c r="I82" s="794">
        <v>3.5659792088011798E-3</v>
      </c>
      <c r="J82" s="794">
        <v>5.3325512774197446</v>
      </c>
      <c r="K82" s="771"/>
    </row>
    <row r="83" spans="1:11" ht="18.75" customHeight="1" outlineLevel="2">
      <c r="A83" s="791" t="s">
        <v>776</v>
      </c>
      <c r="B83" s="791" t="s">
        <v>777</v>
      </c>
      <c r="C83" s="791" t="s">
        <v>778</v>
      </c>
      <c r="D83" s="792" t="s">
        <v>779</v>
      </c>
      <c r="E83" s="793" t="s">
        <v>662</v>
      </c>
      <c r="F83" s="793" t="s">
        <v>855</v>
      </c>
      <c r="G83" s="793" t="s">
        <v>782</v>
      </c>
      <c r="H83" s="793" t="s">
        <v>804</v>
      </c>
      <c r="I83" s="794">
        <v>2.5434858972528175E-3</v>
      </c>
      <c r="J83" s="794">
        <v>3.716577748891591</v>
      </c>
      <c r="K83" s="771"/>
    </row>
    <row r="84" spans="1:11" ht="18.75" customHeight="1" outlineLevel="2">
      <c r="A84" s="791" t="s">
        <v>776</v>
      </c>
      <c r="B84" s="791" t="s">
        <v>777</v>
      </c>
      <c r="C84" s="791" t="s">
        <v>778</v>
      </c>
      <c r="D84" s="792" t="s">
        <v>779</v>
      </c>
      <c r="E84" s="793" t="s">
        <v>662</v>
      </c>
      <c r="F84" s="793" t="s">
        <v>856</v>
      </c>
      <c r="G84" s="793" t="s">
        <v>782</v>
      </c>
      <c r="H84" s="793" t="s">
        <v>804</v>
      </c>
      <c r="I84" s="794">
        <v>9.9977937554760637E-4</v>
      </c>
      <c r="J84" s="794">
        <v>1.2177897842542056</v>
      </c>
      <c r="K84" s="771"/>
    </row>
    <row r="85" spans="1:11" ht="18.75" customHeight="1" outlineLevel="2">
      <c r="A85" s="791" t="s">
        <v>776</v>
      </c>
      <c r="B85" s="791" t="s">
        <v>777</v>
      </c>
      <c r="C85" s="791" t="s">
        <v>778</v>
      </c>
      <c r="D85" s="792" t="s">
        <v>779</v>
      </c>
      <c r="E85" s="793" t="s">
        <v>662</v>
      </c>
      <c r="F85" s="793" t="s">
        <v>857</v>
      </c>
      <c r="G85" s="793" t="s">
        <v>782</v>
      </c>
      <c r="H85" s="793" t="s">
        <v>804</v>
      </c>
      <c r="I85" s="794">
        <v>8.3081233690966542E-4</v>
      </c>
      <c r="J85" s="794">
        <v>0.88984139753272073</v>
      </c>
      <c r="K85" s="771"/>
    </row>
    <row r="86" spans="1:11" ht="18.75" customHeight="1" outlineLevel="2">
      <c r="A86" s="791" t="s">
        <v>776</v>
      </c>
      <c r="B86" s="791" t="s">
        <v>777</v>
      </c>
      <c r="C86" s="791" t="s">
        <v>778</v>
      </c>
      <c r="D86" s="792" t="s">
        <v>779</v>
      </c>
      <c r="E86" s="793" t="s">
        <v>662</v>
      </c>
      <c r="F86" s="793" t="s">
        <v>858</v>
      </c>
      <c r="G86" s="793" t="s">
        <v>785</v>
      </c>
      <c r="H86" s="793" t="s">
        <v>727</v>
      </c>
      <c r="I86" s="794">
        <v>3.5294747414524763E-2</v>
      </c>
      <c r="J86" s="794">
        <v>70.278176973317102</v>
      </c>
      <c r="K86" s="771"/>
    </row>
    <row r="87" spans="1:11" ht="18.75" customHeight="1" outlineLevel="2">
      <c r="A87" s="791" t="s">
        <v>776</v>
      </c>
      <c r="B87" s="791" t="s">
        <v>777</v>
      </c>
      <c r="C87" s="791" t="s">
        <v>778</v>
      </c>
      <c r="D87" s="792" t="s">
        <v>779</v>
      </c>
      <c r="E87" s="793" t="s">
        <v>662</v>
      </c>
      <c r="F87" s="793" t="s">
        <v>859</v>
      </c>
      <c r="G87" s="793" t="s">
        <v>785</v>
      </c>
      <c r="H87" s="793" t="s">
        <v>727</v>
      </c>
      <c r="I87" s="794">
        <v>2.5373008695608719E-2</v>
      </c>
      <c r="J87" s="794">
        <v>265.96781244630438</v>
      </c>
      <c r="K87" s="771"/>
    </row>
    <row r="88" spans="1:11" ht="18.75" customHeight="1" outlineLevel="2">
      <c r="A88" s="791" t="s">
        <v>776</v>
      </c>
      <c r="B88" s="791" t="s">
        <v>777</v>
      </c>
      <c r="C88" s="791" t="s">
        <v>778</v>
      </c>
      <c r="D88" s="792" t="s">
        <v>779</v>
      </c>
      <c r="E88" s="793" t="s">
        <v>662</v>
      </c>
      <c r="F88" s="793" t="s">
        <v>860</v>
      </c>
      <c r="G88" s="793" t="s">
        <v>785</v>
      </c>
      <c r="H88" s="793" t="s">
        <v>727</v>
      </c>
      <c r="I88" s="794">
        <v>2.1062039953074152E-2</v>
      </c>
      <c r="J88" s="794">
        <v>57.151692094115717</v>
      </c>
      <c r="K88" s="771"/>
    </row>
    <row r="89" spans="1:11" ht="18.75" customHeight="1" outlineLevel="2">
      <c r="A89" s="791" t="s">
        <v>776</v>
      </c>
      <c r="B89" s="791" t="s">
        <v>777</v>
      </c>
      <c r="C89" s="791" t="s">
        <v>778</v>
      </c>
      <c r="D89" s="792" t="s">
        <v>779</v>
      </c>
      <c r="E89" s="793" t="s">
        <v>662</v>
      </c>
      <c r="F89" s="793" t="s">
        <v>861</v>
      </c>
      <c r="G89" s="793" t="s">
        <v>785</v>
      </c>
      <c r="H89" s="793" t="s">
        <v>727</v>
      </c>
      <c r="I89" s="794">
        <v>8.1018323555931498E-2</v>
      </c>
      <c r="J89" s="794">
        <v>107.34651724036188</v>
      </c>
      <c r="K89" s="771"/>
    </row>
    <row r="90" spans="1:11" ht="18.75" customHeight="1" outlineLevel="2">
      <c r="A90" s="791" t="s">
        <v>776</v>
      </c>
      <c r="B90" s="791" t="s">
        <v>777</v>
      </c>
      <c r="C90" s="791" t="s">
        <v>778</v>
      </c>
      <c r="D90" s="792" t="s">
        <v>779</v>
      </c>
      <c r="E90" s="793" t="s">
        <v>662</v>
      </c>
      <c r="F90" s="793" t="s">
        <v>862</v>
      </c>
      <c r="G90" s="793" t="s">
        <v>785</v>
      </c>
      <c r="H90" s="793" t="s">
        <v>727</v>
      </c>
      <c r="I90" s="794">
        <v>2.2842405068453403E-3</v>
      </c>
      <c r="J90" s="794">
        <v>4.9255149666046432</v>
      </c>
      <c r="K90" s="771"/>
    </row>
    <row r="91" spans="1:11" ht="18.75" customHeight="1" outlineLevel="2">
      <c r="A91" s="791" t="s">
        <v>776</v>
      </c>
      <c r="B91" s="791" t="s">
        <v>777</v>
      </c>
      <c r="C91" s="791" t="s">
        <v>778</v>
      </c>
      <c r="D91" s="792" t="s">
        <v>779</v>
      </c>
      <c r="E91" s="793" t="s">
        <v>662</v>
      </c>
      <c r="F91" s="793" t="s">
        <v>863</v>
      </c>
      <c r="G91" s="793" t="s">
        <v>785</v>
      </c>
      <c r="H91" s="793" t="s">
        <v>727</v>
      </c>
      <c r="I91" s="794">
        <v>1.6459243099847022E-3</v>
      </c>
      <c r="J91" s="794">
        <v>2.4252701517371906</v>
      </c>
      <c r="K91" s="771"/>
    </row>
    <row r="92" spans="1:11" ht="18.75" customHeight="1" outlineLevel="2">
      <c r="A92" s="791" t="s">
        <v>776</v>
      </c>
      <c r="B92" s="791" t="s">
        <v>777</v>
      </c>
      <c r="C92" s="791" t="s">
        <v>778</v>
      </c>
      <c r="D92" s="792" t="s">
        <v>779</v>
      </c>
      <c r="E92" s="793" t="s">
        <v>662</v>
      </c>
      <c r="F92" s="793" t="s">
        <v>864</v>
      </c>
      <c r="G92" s="793" t="s">
        <v>785</v>
      </c>
      <c r="H92" s="793" t="s">
        <v>727</v>
      </c>
      <c r="I92" s="794">
        <v>1.6641421219356447E-3</v>
      </c>
      <c r="J92" s="794">
        <v>23.489075507944836</v>
      </c>
      <c r="K92" s="771"/>
    </row>
    <row r="93" spans="1:11" ht="18.75" customHeight="1" outlineLevel="2">
      <c r="A93" s="791" t="s">
        <v>776</v>
      </c>
      <c r="B93" s="791" t="s">
        <v>777</v>
      </c>
      <c r="C93" s="791" t="s">
        <v>778</v>
      </c>
      <c r="D93" s="792" t="s">
        <v>779</v>
      </c>
      <c r="E93" s="793" t="s">
        <v>662</v>
      </c>
      <c r="F93" s="793" t="s">
        <v>865</v>
      </c>
      <c r="G93" s="793" t="s">
        <v>813</v>
      </c>
      <c r="H93" s="793" t="s">
        <v>814</v>
      </c>
      <c r="I93" s="794">
        <v>0.45007782018514952</v>
      </c>
      <c r="J93" s="794">
        <v>478.71625696110442</v>
      </c>
      <c r="K93" s="771"/>
    </row>
    <row r="94" spans="1:11" ht="18.75" customHeight="1" outlineLevel="2">
      <c r="A94" s="791" t="s">
        <v>776</v>
      </c>
      <c r="B94" s="791" t="s">
        <v>777</v>
      </c>
      <c r="C94" s="791" t="s">
        <v>778</v>
      </c>
      <c r="D94" s="792" t="s">
        <v>779</v>
      </c>
      <c r="E94" s="793" t="s">
        <v>662</v>
      </c>
      <c r="F94" s="793" t="s">
        <v>866</v>
      </c>
      <c r="G94" s="793" t="s">
        <v>813</v>
      </c>
      <c r="H94" s="793" t="s">
        <v>814</v>
      </c>
      <c r="I94" s="794">
        <v>6.2572062504604425E-2</v>
      </c>
      <c r="J94" s="794">
        <v>84.432972126578349</v>
      </c>
      <c r="K94" s="771"/>
    </row>
    <row r="95" spans="1:11" ht="18.75" customHeight="1" outlineLevel="2">
      <c r="A95" s="791" t="s">
        <v>776</v>
      </c>
      <c r="B95" s="791" t="s">
        <v>777</v>
      </c>
      <c r="C95" s="791" t="s">
        <v>778</v>
      </c>
      <c r="D95" s="792" t="s">
        <v>779</v>
      </c>
      <c r="E95" s="793" t="s">
        <v>662</v>
      </c>
      <c r="F95" s="793" t="s">
        <v>867</v>
      </c>
      <c r="G95" s="793" t="s">
        <v>813</v>
      </c>
      <c r="H95" s="793" t="s">
        <v>814</v>
      </c>
      <c r="I95" s="794">
        <v>3.874480062172473E-2</v>
      </c>
      <c r="J95" s="794">
        <v>41.194354594588233</v>
      </c>
      <c r="K95" s="771"/>
    </row>
    <row r="96" spans="1:11" ht="18.75" customHeight="1" outlineLevel="2">
      <c r="A96" s="791" t="s">
        <v>776</v>
      </c>
      <c r="B96" s="791" t="s">
        <v>777</v>
      </c>
      <c r="C96" s="791" t="s">
        <v>778</v>
      </c>
      <c r="D96" s="792" t="s">
        <v>779</v>
      </c>
      <c r="E96" s="793" t="s">
        <v>662</v>
      </c>
      <c r="F96" s="793" t="s">
        <v>868</v>
      </c>
      <c r="G96" s="793" t="s">
        <v>813</v>
      </c>
      <c r="H96" s="793" t="s">
        <v>814</v>
      </c>
      <c r="I96" s="794">
        <v>3.987540648079977E-2</v>
      </c>
      <c r="J96" s="794">
        <v>50.082570997514907</v>
      </c>
      <c r="K96" s="771"/>
    </row>
    <row r="97" spans="1:11" ht="18.75" customHeight="1" outlineLevel="2">
      <c r="A97" s="791" t="s">
        <v>776</v>
      </c>
      <c r="B97" s="791" t="s">
        <v>777</v>
      </c>
      <c r="C97" s="791" t="s">
        <v>778</v>
      </c>
      <c r="D97" s="792" t="s">
        <v>779</v>
      </c>
      <c r="E97" s="793" t="s">
        <v>662</v>
      </c>
      <c r="F97" s="793" t="s">
        <v>869</v>
      </c>
      <c r="G97" s="793" t="s">
        <v>813</v>
      </c>
      <c r="H97" s="793" t="s">
        <v>814</v>
      </c>
      <c r="I97" s="794">
        <v>2.1106466542983224E-3</v>
      </c>
      <c r="J97" s="794">
        <v>2.6610482461728475</v>
      </c>
      <c r="K97" s="771"/>
    </row>
    <row r="98" spans="1:11" ht="18.75" customHeight="1" outlineLevel="2">
      <c r="A98" s="791" t="s">
        <v>776</v>
      </c>
      <c r="B98" s="791" t="s">
        <v>777</v>
      </c>
      <c r="C98" s="791" t="s">
        <v>778</v>
      </c>
      <c r="D98" s="792" t="s">
        <v>779</v>
      </c>
      <c r="E98" s="793" t="s">
        <v>662</v>
      </c>
      <c r="F98" s="793" t="s">
        <v>870</v>
      </c>
      <c r="G98" s="793" t="s">
        <v>813</v>
      </c>
      <c r="H98" s="793" t="s">
        <v>814</v>
      </c>
      <c r="I98" s="794">
        <v>1.3891809221308457E-3</v>
      </c>
      <c r="J98" s="794">
        <v>1.9556795755726626</v>
      </c>
      <c r="K98" s="771"/>
    </row>
    <row r="99" spans="1:11" ht="18.75" customHeight="1" outlineLevel="2">
      <c r="A99" s="791" t="s">
        <v>776</v>
      </c>
      <c r="B99" s="791" t="s">
        <v>777</v>
      </c>
      <c r="C99" s="791" t="s">
        <v>778</v>
      </c>
      <c r="D99" s="792" t="s">
        <v>779</v>
      </c>
      <c r="E99" s="793" t="s">
        <v>662</v>
      </c>
      <c r="F99" s="793" t="s">
        <v>871</v>
      </c>
      <c r="G99" s="793" t="s">
        <v>813</v>
      </c>
      <c r="H99" s="793" t="s">
        <v>814</v>
      </c>
      <c r="I99" s="794">
        <v>4.0197874062290213E-3</v>
      </c>
      <c r="J99" s="794">
        <v>5.0766801134815704</v>
      </c>
      <c r="K99" s="771"/>
    </row>
    <row r="100" spans="1:11" ht="18.75" customHeight="1" outlineLevel="2">
      <c r="A100" s="791" t="s">
        <v>776</v>
      </c>
      <c r="B100" s="791" t="s">
        <v>777</v>
      </c>
      <c r="C100" s="791" t="s">
        <v>778</v>
      </c>
      <c r="D100" s="792" t="s">
        <v>779</v>
      </c>
      <c r="E100" s="793" t="s">
        <v>662</v>
      </c>
      <c r="F100" s="793" t="s">
        <v>872</v>
      </c>
      <c r="G100" s="793" t="s">
        <v>813</v>
      </c>
      <c r="H100" s="793" t="s">
        <v>814</v>
      </c>
      <c r="I100" s="794">
        <v>4.7474137882769663E-2</v>
      </c>
      <c r="J100" s="794">
        <v>80.250565503113123</v>
      </c>
      <c r="K100" s="771"/>
    </row>
    <row r="101" spans="1:11" ht="18.75" customHeight="1" outlineLevel="2">
      <c r="A101" s="791" t="s">
        <v>776</v>
      </c>
      <c r="B101" s="791" t="s">
        <v>777</v>
      </c>
      <c r="C101" s="791" t="s">
        <v>778</v>
      </c>
      <c r="D101" s="792" t="s">
        <v>779</v>
      </c>
      <c r="E101" s="793" t="s">
        <v>662</v>
      </c>
      <c r="F101" s="793" t="s">
        <v>873</v>
      </c>
      <c r="G101" s="793" t="s">
        <v>813</v>
      </c>
      <c r="H101" s="793" t="s">
        <v>814</v>
      </c>
      <c r="I101" s="794">
        <v>0.10291811403515595</v>
      </c>
      <c r="J101" s="794">
        <v>54.178662038774917</v>
      </c>
      <c r="K101" s="771"/>
    </row>
    <row r="102" spans="1:11" ht="18.75" customHeight="1" outlineLevel="2">
      <c r="A102" s="791" t="s">
        <v>776</v>
      </c>
      <c r="B102" s="791" t="s">
        <v>777</v>
      </c>
      <c r="C102" s="791" t="s">
        <v>778</v>
      </c>
      <c r="D102" s="792" t="s">
        <v>779</v>
      </c>
      <c r="E102" s="793" t="s">
        <v>662</v>
      </c>
      <c r="F102" s="793" t="s">
        <v>874</v>
      </c>
      <c r="G102" s="793" t="s">
        <v>813</v>
      </c>
      <c r="H102" s="793" t="s">
        <v>814</v>
      </c>
      <c r="I102" s="794">
        <v>6.0317394014878643E-2</v>
      </c>
      <c r="J102" s="794">
        <v>31.748860378849166</v>
      </c>
      <c r="K102" s="771"/>
    </row>
    <row r="103" spans="1:11" ht="18.75" customHeight="1" outlineLevel="2">
      <c r="A103" s="791" t="s">
        <v>776</v>
      </c>
      <c r="B103" s="791" t="s">
        <v>777</v>
      </c>
      <c r="C103" s="791" t="s">
        <v>778</v>
      </c>
      <c r="D103" s="792" t="s">
        <v>779</v>
      </c>
      <c r="E103" s="793" t="s">
        <v>662</v>
      </c>
      <c r="F103" s="793" t="s">
        <v>875</v>
      </c>
      <c r="G103" s="793" t="s">
        <v>813</v>
      </c>
      <c r="H103" s="793" t="s">
        <v>814</v>
      </c>
      <c r="I103" s="794">
        <v>6.706208182583881E-2</v>
      </c>
      <c r="J103" s="794">
        <v>97.228762125726263</v>
      </c>
      <c r="K103" s="771"/>
    </row>
    <row r="104" spans="1:11" ht="18.75" customHeight="1" outlineLevel="2">
      <c r="A104" s="791" t="s">
        <v>776</v>
      </c>
      <c r="B104" s="791" t="s">
        <v>777</v>
      </c>
      <c r="C104" s="791" t="s">
        <v>778</v>
      </c>
      <c r="D104" s="792" t="s">
        <v>779</v>
      </c>
      <c r="E104" s="793" t="s">
        <v>662</v>
      </c>
      <c r="F104" s="793" t="s">
        <v>876</v>
      </c>
      <c r="G104" s="793" t="s">
        <v>813</v>
      </c>
      <c r="H104" s="793" t="s">
        <v>814</v>
      </c>
      <c r="I104" s="794">
        <v>7.1457468465889783E-3</v>
      </c>
      <c r="J104" s="794">
        <v>10.727174296001406</v>
      </c>
      <c r="K104" s="771"/>
    </row>
    <row r="105" spans="1:11" ht="18.75" customHeight="1" outlineLevel="2">
      <c r="A105" s="791" t="s">
        <v>776</v>
      </c>
      <c r="B105" s="791" t="s">
        <v>777</v>
      </c>
      <c r="C105" s="791" t="s">
        <v>778</v>
      </c>
      <c r="D105" s="792" t="s">
        <v>779</v>
      </c>
      <c r="E105" s="793" t="s">
        <v>662</v>
      </c>
      <c r="F105" s="793" t="s">
        <v>877</v>
      </c>
      <c r="G105" s="793" t="s">
        <v>813</v>
      </c>
      <c r="H105" s="793" t="s">
        <v>814</v>
      </c>
      <c r="I105" s="794">
        <v>9.4275683398461312E-3</v>
      </c>
      <c r="J105" s="794">
        <v>12.142104701962053</v>
      </c>
      <c r="K105" s="771"/>
    </row>
    <row r="106" spans="1:11" ht="18.75" customHeight="1" outlineLevel="2">
      <c r="A106" s="791" t="s">
        <v>776</v>
      </c>
      <c r="B106" s="791" t="s">
        <v>777</v>
      </c>
      <c r="C106" s="791" t="s">
        <v>778</v>
      </c>
      <c r="D106" s="792" t="s">
        <v>779</v>
      </c>
      <c r="E106" s="793" t="s">
        <v>662</v>
      </c>
      <c r="F106" s="793" t="s">
        <v>878</v>
      </c>
      <c r="G106" s="793" t="s">
        <v>813</v>
      </c>
      <c r="H106" s="793" t="s">
        <v>814</v>
      </c>
      <c r="I106" s="794">
        <v>4.810619120813593E-3</v>
      </c>
      <c r="J106" s="794">
        <v>5.764997254741127</v>
      </c>
      <c r="K106" s="771"/>
    </row>
    <row r="107" spans="1:11" ht="18.75" customHeight="1" outlineLevel="2">
      <c r="A107" s="791" t="s">
        <v>776</v>
      </c>
      <c r="B107" s="791" t="s">
        <v>777</v>
      </c>
      <c r="C107" s="791" t="s">
        <v>778</v>
      </c>
      <c r="D107" s="792" t="s">
        <v>779</v>
      </c>
      <c r="E107" s="793" t="s">
        <v>662</v>
      </c>
      <c r="F107" s="793" t="s">
        <v>879</v>
      </c>
      <c r="G107" s="793" t="s">
        <v>813</v>
      </c>
      <c r="H107" s="793" t="s">
        <v>814</v>
      </c>
      <c r="I107" s="794">
        <v>0.89687104135891971</v>
      </c>
      <c r="J107" s="794">
        <v>1303.2727435024426</v>
      </c>
      <c r="K107" s="771"/>
    </row>
    <row r="108" spans="1:11" ht="18.75" customHeight="1" outlineLevel="2">
      <c r="A108" s="791" t="s">
        <v>776</v>
      </c>
      <c r="B108" s="791" t="s">
        <v>777</v>
      </c>
      <c r="C108" s="791" t="s">
        <v>778</v>
      </c>
      <c r="D108" s="792" t="s">
        <v>779</v>
      </c>
      <c r="E108" s="793" t="s">
        <v>662</v>
      </c>
      <c r="F108" s="793" t="s">
        <v>880</v>
      </c>
      <c r="G108" s="793" t="s">
        <v>813</v>
      </c>
      <c r="H108" s="793" t="s">
        <v>814</v>
      </c>
      <c r="I108" s="794">
        <v>9.7089119184889716E-2</v>
      </c>
      <c r="J108" s="794">
        <v>145.78270879528998</v>
      </c>
      <c r="K108" s="771"/>
    </row>
    <row r="109" spans="1:11" ht="18.75" customHeight="1" outlineLevel="2">
      <c r="A109" s="791" t="s">
        <v>776</v>
      </c>
      <c r="B109" s="791" t="s">
        <v>777</v>
      </c>
      <c r="C109" s="791" t="s">
        <v>778</v>
      </c>
      <c r="D109" s="792" t="s">
        <v>779</v>
      </c>
      <c r="E109" s="793" t="s">
        <v>662</v>
      </c>
      <c r="F109" s="793" t="s">
        <v>881</v>
      </c>
      <c r="G109" s="793" t="s">
        <v>813</v>
      </c>
      <c r="H109" s="793" t="s">
        <v>814</v>
      </c>
      <c r="I109" s="794">
        <v>1.0863934975124943E-2</v>
      </c>
      <c r="J109" s="794">
        <v>24.341913074277119</v>
      </c>
      <c r="K109" s="771"/>
    </row>
    <row r="110" spans="1:11" ht="18.75" customHeight="1" outlineLevel="2">
      <c r="A110" s="791" t="s">
        <v>776</v>
      </c>
      <c r="B110" s="791" t="s">
        <v>777</v>
      </c>
      <c r="C110" s="791" t="s">
        <v>778</v>
      </c>
      <c r="D110" s="792" t="s">
        <v>779</v>
      </c>
      <c r="E110" s="793" t="s">
        <v>662</v>
      </c>
      <c r="F110" s="793" t="s">
        <v>882</v>
      </c>
      <c r="G110" s="793" t="s">
        <v>813</v>
      </c>
      <c r="H110" s="793" t="s">
        <v>814</v>
      </c>
      <c r="I110" s="794">
        <v>0.29903922339144262</v>
      </c>
      <c r="J110" s="794">
        <v>470.59600035875781</v>
      </c>
      <c r="K110" s="771"/>
    </row>
    <row r="111" spans="1:11" ht="18.75" customHeight="1" outlineLevel="2">
      <c r="A111" s="791" t="s">
        <v>776</v>
      </c>
      <c r="B111" s="791" t="s">
        <v>777</v>
      </c>
      <c r="C111" s="791" t="s">
        <v>778</v>
      </c>
      <c r="D111" s="792" t="s">
        <v>779</v>
      </c>
      <c r="E111" s="793" t="s">
        <v>662</v>
      </c>
      <c r="F111" s="793" t="s">
        <v>883</v>
      </c>
      <c r="G111" s="793" t="s">
        <v>813</v>
      </c>
      <c r="H111" s="793" t="s">
        <v>814</v>
      </c>
      <c r="I111" s="794">
        <v>4.0830615468258995E-2</v>
      </c>
      <c r="J111" s="794">
        <v>46.326676694300687</v>
      </c>
      <c r="K111" s="771"/>
    </row>
    <row r="112" spans="1:11" ht="18.75" customHeight="1" outlineLevel="2">
      <c r="A112" s="791" t="s">
        <v>776</v>
      </c>
      <c r="B112" s="791" t="s">
        <v>777</v>
      </c>
      <c r="C112" s="791" t="s">
        <v>778</v>
      </c>
      <c r="D112" s="792" t="s">
        <v>779</v>
      </c>
      <c r="E112" s="793" t="s">
        <v>662</v>
      </c>
      <c r="F112" s="793" t="s">
        <v>884</v>
      </c>
      <c r="G112" s="793" t="s">
        <v>813</v>
      </c>
      <c r="H112" s="793" t="s">
        <v>814</v>
      </c>
      <c r="I112" s="794">
        <v>1.2548862842882379E-2</v>
      </c>
      <c r="J112" s="794">
        <v>14.460629826754239</v>
      </c>
      <c r="K112" s="771"/>
    </row>
    <row r="113" spans="1:11" ht="18.75" customHeight="1" outlineLevel="2">
      <c r="A113" s="791" t="s">
        <v>776</v>
      </c>
      <c r="B113" s="791" t="s">
        <v>777</v>
      </c>
      <c r="C113" s="791" t="s">
        <v>778</v>
      </c>
      <c r="D113" s="792" t="s">
        <v>779</v>
      </c>
      <c r="E113" s="793" t="s">
        <v>662</v>
      </c>
      <c r="F113" s="793" t="s">
        <v>885</v>
      </c>
      <c r="G113" s="793" t="s">
        <v>791</v>
      </c>
      <c r="H113" s="793" t="s">
        <v>826</v>
      </c>
      <c r="I113" s="794">
        <v>1.1995709896590943E-4</v>
      </c>
      <c r="J113" s="794">
        <v>0.175919070338075</v>
      </c>
      <c r="K113" s="771"/>
    </row>
    <row r="114" spans="1:11" ht="18.75" customHeight="1" outlineLevel="2">
      <c r="A114" s="791" t="s">
        <v>776</v>
      </c>
      <c r="B114" s="791" t="s">
        <v>777</v>
      </c>
      <c r="C114" s="791" t="s">
        <v>778</v>
      </c>
      <c r="D114" s="792" t="s">
        <v>779</v>
      </c>
      <c r="E114" s="793" t="s">
        <v>662</v>
      </c>
      <c r="F114" s="793" t="s">
        <v>886</v>
      </c>
      <c r="G114" s="793" t="s">
        <v>791</v>
      </c>
      <c r="H114" s="793" t="s">
        <v>826</v>
      </c>
      <c r="I114" s="794">
        <v>1.5695419804557362E-4</v>
      </c>
      <c r="J114" s="794">
        <v>0.68074354385637847</v>
      </c>
      <c r="K114" s="771"/>
    </row>
    <row r="115" spans="1:11" ht="18.75" customHeight="1" outlineLevel="2">
      <c r="A115" s="791" t="s">
        <v>776</v>
      </c>
      <c r="B115" s="791" t="s">
        <v>777</v>
      </c>
      <c r="C115" s="791" t="s">
        <v>778</v>
      </c>
      <c r="D115" s="792" t="s">
        <v>779</v>
      </c>
      <c r="E115" s="793" t="s">
        <v>662</v>
      </c>
      <c r="F115" s="793" t="s">
        <v>887</v>
      </c>
      <c r="G115" s="793" t="s">
        <v>791</v>
      </c>
      <c r="H115" s="793" t="s">
        <v>826</v>
      </c>
      <c r="I115" s="794">
        <v>5.8455266982516826E-6</v>
      </c>
      <c r="J115" s="794">
        <v>5.4607450295614578E-3</v>
      </c>
      <c r="K115" s="771"/>
    </row>
    <row r="116" spans="1:11" ht="18.75" customHeight="1" outlineLevel="2">
      <c r="A116" s="791" t="s">
        <v>776</v>
      </c>
      <c r="B116" s="791" t="s">
        <v>777</v>
      </c>
      <c r="C116" s="791" t="s">
        <v>778</v>
      </c>
      <c r="D116" s="792" t="s">
        <v>779</v>
      </c>
      <c r="E116" s="793" t="s">
        <v>662</v>
      </c>
      <c r="F116" s="793" t="s">
        <v>888</v>
      </c>
      <c r="G116" s="793" t="s">
        <v>791</v>
      </c>
      <c r="H116" s="793" t="s">
        <v>826</v>
      </c>
      <c r="I116" s="794">
        <v>5.2433421291639708E-4</v>
      </c>
      <c r="J116" s="794">
        <v>0.48884425792538155</v>
      </c>
      <c r="K116" s="771"/>
    </row>
    <row r="117" spans="1:11" ht="18.75" customHeight="1" outlineLevel="2">
      <c r="A117" s="791" t="s">
        <v>776</v>
      </c>
      <c r="B117" s="791" t="s">
        <v>777</v>
      </c>
      <c r="C117" s="791" t="s">
        <v>778</v>
      </c>
      <c r="D117" s="792" t="s">
        <v>779</v>
      </c>
      <c r="E117" s="793" t="s">
        <v>662</v>
      </c>
      <c r="F117" s="793" t="s">
        <v>889</v>
      </c>
      <c r="G117" s="793" t="s">
        <v>791</v>
      </c>
      <c r="H117" s="793" t="s">
        <v>826</v>
      </c>
      <c r="I117" s="794">
        <v>1.0092454342281346E-4</v>
      </c>
      <c r="J117" s="794">
        <v>0.14463217802295461</v>
      </c>
      <c r="K117" s="771"/>
    </row>
    <row r="118" spans="1:11" ht="18.75" customHeight="1" outlineLevel="2">
      <c r="A118" s="791" t="s">
        <v>776</v>
      </c>
      <c r="B118" s="791" t="s">
        <v>777</v>
      </c>
      <c r="C118" s="791" t="s">
        <v>778</v>
      </c>
      <c r="D118" s="792" t="s">
        <v>779</v>
      </c>
      <c r="E118" s="793" t="s">
        <v>662</v>
      </c>
      <c r="F118" s="793" t="s">
        <v>890</v>
      </c>
      <c r="G118" s="793" t="s">
        <v>791</v>
      </c>
      <c r="H118" s="793" t="s">
        <v>826</v>
      </c>
      <c r="I118" s="794">
        <v>1.4413969430370579E-3</v>
      </c>
      <c r="J118" s="794">
        <v>1.6025171466935837</v>
      </c>
      <c r="K118" s="771"/>
    </row>
    <row r="119" spans="1:11" ht="18.75" customHeight="1" outlineLevel="2">
      <c r="A119" s="791" t="s">
        <v>776</v>
      </c>
      <c r="B119" s="791" t="s">
        <v>777</v>
      </c>
      <c r="C119" s="791" t="s">
        <v>778</v>
      </c>
      <c r="D119" s="792" t="s">
        <v>779</v>
      </c>
      <c r="E119" s="793" t="s">
        <v>662</v>
      </c>
      <c r="F119" s="793" t="s">
        <v>891</v>
      </c>
      <c r="G119" s="793" t="s">
        <v>791</v>
      </c>
      <c r="H119" s="793" t="s">
        <v>826</v>
      </c>
      <c r="I119" s="794">
        <v>7.3753502943282824E-3</v>
      </c>
      <c r="J119" s="794">
        <v>3.5926780782149836</v>
      </c>
      <c r="K119" s="771"/>
    </row>
    <row r="120" spans="1:11" ht="18.75" customHeight="1" outlineLevel="2">
      <c r="A120" s="791" t="s">
        <v>776</v>
      </c>
      <c r="B120" s="791" t="s">
        <v>777</v>
      </c>
      <c r="C120" s="791" t="s">
        <v>778</v>
      </c>
      <c r="D120" s="792" t="s">
        <v>779</v>
      </c>
      <c r="E120" s="793" t="s">
        <v>662</v>
      </c>
      <c r="F120" s="793" t="s">
        <v>892</v>
      </c>
      <c r="G120" s="793" t="s">
        <v>791</v>
      </c>
      <c r="H120" s="793" t="s">
        <v>826</v>
      </c>
      <c r="I120" s="794">
        <v>8.3038406404204075E-4</v>
      </c>
      <c r="J120" s="794">
        <v>0.7741791015313072</v>
      </c>
      <c r="K120" s="771"/>
    </row>
    <row r="121" spans="1:11" ht="18.75" customHeight="1" outlineLevel="2">
      <c r="A121" s="791" t="s">
        <v>776</v>
      </c>
      <c r="B121" s="791" t="s">
        <v>777</v>
      </c>
      <c r="C121" s="791" t="s">
        <v>778</v>
      </c>
      <c r="D121" s="792" t="s">
        <v>779</v>
      </c>
      <c r="E121" s="793" t="s">
        <v>662</v>
      </c>
      <c r="F121" s="793" t="s">
        <v>893</v>
      </c>
      <c r="G121" s="793" t="s">
        <v>791</v>
      </c>
      <c r="H121" s="793" t="s">
        <v>826</v>
      </c>
      <c r="I121" s="794">
        <v>1.0904495596106506E-3</v>
      </c>
      <c r="J121" s="794">
        <v>1.1047814849185316</v>
      </c>
      <c r="K121" s="771"/>
    </row>
    <row r="122" spans="1:11" ht="18.75" customHeight="1" outlineLevel="2">
      <c r="A122" s="791" t="s">
        <v>776</v>
      </c>
      <c r="B122" s="791" t="s">
        <v>777</v>
      </c>
      <c r="C122" s="791" t="s">
        <v>778</v>
      </c>
      <c r="D122" s="792" t="s">
        <v>779</v>
      </c>
      <c r="E122" s="793" t="s">
        <v>662</v>
      </c>
      <c r="F122" s="793" t="s">
        <v>894</v>
      </c>
      <c r="G122" s="793" t="s">
        <v>791</v>
      </c>
      <c r="H122" s="793" t="s">
        <v>826</v>
      </c>
      <c r="I122" s="794">
        <v>1.3080312933439525E-4</v>
      </c>
      <c r="J122" s="794">
        <v>1.1806865480964122</v>
      </c>
      <c r="K122" s="771"/>
    </row>
    <row r="123" spans="1:11" ht="18.75" customHeight="1" outlineLevel="2">
      <c r="A123" s="791" t="s">
        <v>776</v>
      </c>
      <c r="B123" s="791" t="s">
        <v>777</v>
      </c>
      <c r="C123" s="791" t="s">
        <v>778</v>
      </c>
      <c r="D123" s="792" t="s">
        <v>779</v>
      </c>
      <c r="E123" s="793" t="s">
        <v>662</v>
      </c>
      <c r="F123" s="793" t="s">
        <v>895</v>
      </c>
      <c r="G123" s="793" t="s">
        <v>794</v>
      </c>
      <c r="H123" s="793" t="s">
        <v>828</v>
      </c>
      <c r="I123" s="794">
        <v>0.42498366928427439</v>
      </c>
      <c r="J123" s="794">
        <v>584.64967247582035</v>
      </c>
      <c r="K123" s="771"/>
    </row>
    <row r="124" spans="1:11" ht="18.75" customHeight="1" outlineLevel="2">
      <c r="A124" s="791" t="s">
        <v>776</v>
      </c>
      <c r="B124" s="791" t="s">
        <v>777</v>
      </c>
      <c r="C124" s="791" t="s">
        <v>778</v>
      </c>
      <c r="D124" s="792" t="s">
        <v>779</v>
      </c>
      <c r="E124" s="793" t="s">
        <v>662</v>
      </c>
      <c r="F124" s="793" t="s">
        <v>896</v>
      </c>
      <c r="G124" s="793" t="s">
        <v>794</v>
      </c>
      <c r="H124" s="793" t="s">
        <v>828</v>
      </c>
      <c r="I124" s="794">
        <v>9.9814291178577513E-2</v>
      </c>
      <c r="J124" s="794">
        <v>146.27416435620921</v>
      </c>
      <c r="K124" s="771"/>
    </row>
    <row r="125" spans="1:11" ht="18.75" customHeight="1" outlineLevel="2">
      <c r="A125" s="791" t="s">
        <v>776</v>
      </c>
      <c r="B125" s="791" t="s">
        <v>777</v>
      </c>
      <c r="C125" s="791" t="s">
        <v>778</v>
      </c>
      <c r="D125" s="792" t="s">
        <v>779</v>
      </c>
      <c r="E125" s="793" t="s">
        <v>662</v>
      </c>
      <c r="F125" s="793" t="s">
        <v>897</v>
      </c>
      <c r="G125" s="793" t="s">
        <v>794</v>
      </c>
      <c r="H125" s="793" t="s">
        <v>828</v>
      </c>
      <c r="I125" s="794">
        <v>4.6047768634991354E-2</v>
      </c>
      <c r="J125" s="794">
        <v>77.344928856324756</v>
      </c>
      <c r="K125" s="771"/>
    </row>
    <row r="126" spans="1:11" ht="18.75" customHeight="1" outlineLevel="2">
      <c r="A126" s="791" t="s">
        <v>776</v>
      </c>
      <c r="B126" s="791" t="s">
        <v>777</v>
      </c>
      <c r="C126" s="791" t="s">
        <v>778</v>
      </c>
      <c r="D126" s="792" t="s">
        <v>779</v>
      </c>
      <c r="E126" s="793" t="s">
        <v>662</v>
      </c>
      <c r="F126" s="793" t="s">
        <v>898</v>
      </c>
      <c r="G126" s="793" t="s">
        <v>794</v>
      </c>
      <c r="H126" s="793" t="s">
        <v>828</v>
      </c>
      <c r="I126" s="794">
        <v>0.1061067733269417</v>
      </c>
      <c r="J126" s="794">
        <v>166.27061977267959</v>
      </c>
      <c r="K126" s="771"/>
    </row>
    <row r="127" spans="1:11" ht="18.75" customHeight="1" outlineLevel="2">
      <c r="A127" s="791" t="s">
        <v>776</v>
      </c>
      <c r="B127" s="791" t="s">
        <v>777</v>
      </c>
      <c r="C127" s="791" t="s">
        <v>778</v>
      </c>
      <c r="D127" s="792" t="s">
        <v>779</v>
      </c>
      <c r="E127" s="793" t="s">
        <v>662</v>
      </c>
      <c r="F127" s="793" t="s">
        <v>899</v>
      </c>
      <c r="G127" s="793" t="s">
        <v>794</v>
      </c>
      <c r="H127" s="793" t="s">
        <v>828</v>
      </c>
      <c r="I127" s="794">
        <v>0.18692937441739491</v>
      </c>
      <c r="J127" s="794">
        <v>262.7033256913885</v>
      </c>
      <c r="K127" s="771"/>
    </row>
    <row r="128" spans="1:11" ht="18.75" customHeight="1" outlineLevel="2">
      <c r="A128" s="791" t="s">
        <v>776</v>
      </c>
      <c r="B128" s="791" t="s">
        <v>777</v>
      </c>
      <c r="C128" s="791" t="s">
        <v>778</v>
      </c>
      <c r="D128" s="792" t="s">
        <v>779</v>
      </c>
      <c r="E128" s="793" t="s">
        <v>662</v>
      </c>
      <c r="F128" s="793" t="s">
        <v>900</v>
      </c>
      <c r="G128" s="793" t="s">
        <v>794</v>
      </c>
      <c r="H128" s="793" t="s">
        <v>828</v>
      </c>
      <c r="I128" s="794">
        <v>8.6599211029191048E-3</v>
      </c>
      <c r="J128" s="794">
        <v>12.325603976170248</v>
      </c>
      <c r="K128" s="771"/>
    </row>
    <row r="129" spans="1:11" ht="18.75" customHeight="1" outlineLevel="2">
      <c r="A129" s="791" t="s">
        <v>776</v>
      </c>
      <c r="B129" s="791" t="s">
        <v>777</v>
      </c>
      <c r="C129" s="791" t="s">
        <v>778</v>
      </c>
      <c r="D129" s="792" t="s">
        <v>779</v>
      </c>
      <c r="E129" s="793" t="s">
        <v>662</v>
      </c>
      <c r="F129" s="793" t="s">
        <v>901</v>
      </c>
      <c r="G129" s="793" t="s">
        <v>833</v>
      </c>
      <c r="H129" s="793" t="s">
        <v>834</v>
      </c>
      <c r="I129" s="794">
        <v>2.3921798954014577E-2</v>
      </c>
      <c r="J129" s="794">
        <v>24.772577406507395</v>
      </c>
      <c r="K129" s="771"/>
    </row>
    <row r="130" spans="1:11" ht="18.75" customHeight="1" outlineLevel="2">
      <c r="A130" s="791" t="s">
        <v>776</v>
      </c>
      <c r="B130" s="791" t="s">
        <v>777</v>
      </c>
      <c r="C130" s="791" t="s">
        <v>778</v>
      </c>
      <c r="D130" s="792" t="s">
        <v>779</v>
      </c>
      <c r="E130" s="793" t="s">
        <v>662</v>
      </c>
      <c r="F130" s="793" t="s">
        <v>902</v>
      </c>
      <c r="G130" s="793" t="s">
        <v>833</v>
      </c>
      <c r="H130" s="793" t="s">
        <v>834</v>
      </c>
      <c r="I130" s="794">
        <v>2.0823592767448286E-4</v>
      </c>
      <c r="J130" s="794">
        <v>0.26401736843853785</v>
      </c>
      <c r="K130" s="771"/>
    </row>
    <row r="131" spans="1:11" ht="18.75" customHeight="1" outlineLevel="2">
      <c r="A131" s="791" t="s">
        <v>776</v>
      </c>
      <c r="B131" s="791" t="s">
        <v>777</v>
      </c>
      <c r="C131" s="791" t="s">
        <v>778</v>
      </c>
      <c r="D131" s="792" t="s">
        <v>779</v>
      </c>
      <c r="E131" s="793" t="s">
        <v>662</v>
      </c>
      <c r="F131" s="793" t="s">
        <v>903</v>
      </c>
      <c r="G131" s="793" t="s">
        <v>904</v>
      </c>
      <c r="H131" s="793" t="s">
        <v>905</v>
      </c>
      <c r="I131" s="794">
        <v>0.60513724061719121</v>
      </c>
      <c r="J131" s="794">
        <v>514.86200929603353</v>
      </c>
      <c r="K131" s="771"/>
    </row>
    <row r="132" spans="1:11" ht="18.75" customHeight="1" outlineLevel="2">
      <c r="A132" s="791" t="s">
        <v>776</v>
      </c>
      <c r="B132" s="791" t="s">
        <v>777</v>
      </c>
      <c r="C132" s="791" t="s">
        <v>778</v>
      </c>
      <c r="D132" s="792" t="s">
        <v>779</v>
      </c>
      <c r="E132" s="793" t="s">
        <v>662</v>
      </c>
      <c r="F132" s="793" t="s">
        <v>906</v>
      </c>
      <c r="G132" s="793" t="s">
        <v>904</v>
      </c>
      <c r="H132" s="793" t="s">
        <v>905</v>
      </c>
      <c r="I132" s="794">
        <v>0.25470996867543305</v>
      </c>
      <c r="J132" s="794">
        <v>217.29565777977876</v>
      </c>
      <c r="K132" s="771"/>
    </row>
    <row r="133" spans="1:11" ht="18.75" customHeight="1" outlineLevel="2">
      <c r="A133" s="791" t="s">
        <v>776</v>
      </c>
      <c r="B133" s="791" t="s">
        <v>777</v>
      </c>
      <c r="C133" s="791" t="s">
        <v>778</v>
      </c>
      <c r="D133" s="792" t="s">
        <v>779</v>
      </c>
      <c r="E133" s="793" t="s">
        <v>662</v>
      </c>
      <c r="F133" s="793" t="s">
        <v>907</v>
      </c>
      <c r="G133" s="793" t="s">
        <v>908</v>
      </c>
      <c r="H133" s="793" t="s">
        <v>905</v>
      </c>
      <c r="I133" s="794">
        <v>9.5796913815024184E-2</v>
      </c>
      <c r="J133" s="794">
        <v>160.51235405685455</v>
      </c>
      <c r="K133" s="771"/>
    </row>
    <row r="134" spans="1:11" ht="18.75" customHeight="1" outlineLevel="2">
      <c r="A134" s="791" t="s">
        <v>776</v>
      </c>
      <c r="B134" s="791" t="s">
        <v>777</v>
      </c>
      <c r="C134" s="791" t="s">
        <v>778</v>
      </c>
      <c r="D134" s="792" t="s">
        <v>779</v>
      </c>
      <c r="E134" s="793" t="s">
        <v>662</v>
      </c>
      <c r="F134" s="793" t="s">
        <v>909</v>
      </c>
      <c r="G134" s="793" t="s">
        <v>910</v>
      </c>
      <c r="H134" s="793" t="s">
        <v>911</v>
      </c>
      <c r="I134" s="794">
        <v>4.0745566258371252E-3</v>
      </c>
      <c r="J134" s="794">
        <v>6.0267854568247303</v>
      </c>
      <c r="K134" s="771"/>
    </row>
    <row r="135" spans="1:11" ht="18.75" customHeight="1" outlineLevel="2">
      <c r="A135" s="791" t="s">
        <v>776</v>
      </c>
      <c r="B135" s="791" t="s">
        <v>777</v>
      </c>
      <c r="C135" s="791" t="s">
        <v>778</v>
      </c>
      <c r="D135" s="792" t="s">
        <v>779</v>
      </c>
      <c r="E135" s="793" t="s">
        <v>763</v>
      </c>
      <c r="F135" s="793" t="s">
        <v>912</v>
      </c>
      <c r="G135" s="793" t="s">
        <v>799</v>
      </c>
      <c r="H135" s="793" t="s">
        <v>913</v>
      </c>
      <c r="I135" s="794">
        <v>3.8453088531034026E-3</v>
      </c>
      <c r="J135" s="794">
        <v>7.3639532715053102</v>
      </c>
      <c r="K135" s="771"/>
    </row>
    <row r="136" spans="1:11" ht="18.75" customHeight="1" outlineLevel="2">
      <c r="A136" s="791" t="s">
        <v>776</v>
      </c>
      <c r="B136" s="791" t="s">
        <v>777</v>
      </c>
      <c r="C136" s="791" t="s">
        <v>778</v>
      </c>
      <c r="D136" s="792" t="s">
        <v>779</v>
      </c>
      <c r="E136" s="793" t="s">
        <v>763</v>
      </c>
      <c r="F136" s="793" t="s">
        <v>914</v>
      </c>
      <c r="G136" s="793" t="s">
        <v>782</v>
      </c>
      <c r="H136" s="793" t="s">
        <v>913</v>
      </c>
      <c r="I136" s="794">
        <v>7.8967646483110281E-5</v>
      </c>
      <c r="J136" s="794">
        <v>0.36759406543816375</v>
      </c>
      <c r="K136" s="771"/>
    </row>
    <row r="137" spans="1:11" ht="18.75" customHeight="1" outlineLevel="2">
      <c r="A137" s="791" t="s">
        <v>776</v>
      </c>
      <c r="B137" s="791" t="s">
        <v>777</v>
      </c>
      <c r="C137" s="791" t="s">
        <v>778</v>
      </c>
      <c r="D137" s="792" t="s">
        <v>779</v>
      </c>
      <c r="E137" s="793" t="s">
        <v>763</v>
      </c>
      <c r="F137" s="793" t="s">
        <v>915</v>
      </c>
      <c r="G137" s="793" t="s">
        <v>782</v>
      </c>
      <c r="H137" s="793" t="s">
        <v>913</v>
      </c>
      <c r="I137" s="794">
        <v>4.2352884890756648E-5</v>
      </c>
      <c r="J137" s="794">
        <v>0.61474625437551389</v>
      </c>
      <c r="K137" s="771"/>
    </row>
    <row r="138" spans="1:11" ht="18.75" customHeight="1" outlineLevel="2">
      <c r="A138" s="791" t="s">
        <v>776</v>
      </c>
      <c r="B138" s="791" t="s">
        <v>777</v>
      </c>
      <c r="C138" s="791" t="s">
        <v>778</v>
      </c>
      <c r="D138" s="792" t="s">
        <v>779</v>
      </c>
      <c r="E138" s="793" t="s">
        <v>763</v>
      </c>
      <c r="F138" s="793" t="s">
        <v>916</v>
      </c>
      <c r="G138" s="793" t="s">
        <v>782</v>
      </c>
      <c r="H138" s="793" t="s">
        <v>913</v>
      </c>
      <c r="I138" s="794">
        <v>6.27947710731339E-5</v>
      </c>
      <c r="J138" s="794">
        <v>0.10856361010677312</v>
      </c>
      <c r="K138" s="771"/>
    </row>
    <row r="139" spans="1:11" ht="18.75" customHeight="1" outlineLevel="2">
      <c r="A139" s="791" t="s">
        <v>776</v>
      </c>
      <c r="B139" s="791" t="s">
        <v>777</v>
      </c>
      <c r="C139" s="791" t="s">
        <v>778</v>
      </c>
      <c r="D139" s="792" t="s">
        <v>779</v>
      </c>
      <c r="E139" s="793" t="s">
        <v>763</v>
      </c>
      <c r="F139" s="793" t="s">
        <v>917</v>
      </c>
      <c r="G139" s="793" t="s">
        <v>782</v>
      </c>
      <c r="H139" s="793" t="s">
        <v>913</v>
      </c>
      <c r="I139" s="794">
        <v>1.1496411368862798E-5</v>
      </c>
      <c r="J139" s="794">
        <v>6.2939264043538598E-2</v>
      </c>
      <c r="K139" s="771"/>
    </row>
    <row r="140" spans="1:11" ht="18.75" customHeight="1" outlineLevel="2">
      <c r="A140" s="791" t="s">
        <v>776</v>
      </c>
      <c r="B140" s="791" t="s">
        <v>777</v>
      </c>
      <c r="C140" s="791" t="s">
        <v>778</v>
      </c>
      <c r="D140" s="792" t="s">
        <v>779</v>
      </c>
      <c r="E140" s="793" t="s">
        <v>763</v>
      </c>
      <c r="F140" s="793" t="s">
        <v>918</v>
      </c>
      <c r="G140" s="793" t="s">
        <v>782</v>
      </c>
      <c r="H140" s="793" t="s">
        <v>913</v>
      </c>
      <c r="I140" s="794">
        <v>2.5445539293931699E-4</v>
      </c>
      <c r="J140" s="794">
        <v>1.1368267490837358</v>
      </c>
      <c r="K140" s="771"/>
    </row>
    <row r="141" spans="1:11" ht="18.75" customHeight="1" outlineLevel="2">
      <c r="A141" s="791" t="s">
        <v>776</v>
      </c>
      <c r="B141" s="791" t="s">
        <v>777</v>
      </c>
      <c r="C141" s="791" t="s">
        <v>778</v>
      </c>
      <c r="D141" s="792" t="s">
        <v>779</v>
      </c>
      <c r="E141" s="793" t="s">
        <v>763</v>
      </c>
      <c r="F141" s="793" t="s">
        <v>919</v>
      </c>
      <c r="G141" s="793" t="s">
        <v>782</v>
      </c>
      <c r="H141" s="793" t="s">
        <v>913</v>
      </c>
      <c r="I141" s="794">
        <v>4.8672754690595222E-4</v>
      </c>
      <c r="J141" s="794">
        <v>0.5710039259316948</v>
      </c>
      <c r="K141" s="771"/>
    </row>
    <row r="142" spans="1:11" ht="18.75" customHeight="1" outlineLevel="2">
      <c r="A142" s="791" t="s">
        <v>776</v>
      </c>
      <c r="B142" s="791" t="s">
        <v>777</v>
      </c>
      <c r="C142" s="791" t="s">
        <v>778</v>
      </c>
      <c r="D142" s="792" t="s">
        <v>779</v>
      </c>
      <c r="E142" s="793" t="s">
        <v>763</v>
      </c>
      <c r="F142" s="793" t="s">
        <v>920</v>
      </c>
      <c r="G142" s="793" t="s">
        <v>782</v>
      </c>
      <c r="H142" s="793" t="s">
        <v>913</v>
      </c>
      <c r="I142" s="794">
        <v>5.2865004606573304E-5</v>
      </c>
      <c r="J142" s="794">
        <v>1.0517740829611431</v>
      </c>
      <c r="K142" s="771"/>
    </row>
    <row r="143" spans="1:11" ht="18.75" customHeight="1" outlineLevel="2">
      <c r="A143" s="791" t="s">
        <v>776</v>
      </c>
      <c r="B143" s="791" t="s">
        <v>777</v>
      </c>
      <c r="C143" s="791" t="s">
        <v>778</v>
      </c>
      <c r="D143" s="792" t="s">
        <v>779</v>
      </c>
      <c r="E143" s="793" t="s">
        <v>763</v>
      </c>
      <c r="F143" s="793" t="s">
        <v>921</v>
      </c>
      <c r="G143" s="793" t="s">
        <v>782</v>
      </c>
      <c r="H143" s="793" t="s">
        <v>913</v>
      </c>
      <c r="I143" s="794">
        <v>2.4536004463642061E-4</v>
      </c>
      <c r="J143" s="794">
        <v>0.42856358779230419</v>
      </c>
      <c r="K143" s="771"/>
    </row>
    <row r="144" spans="1:11" ht="18.75" customHeight="1" outlineLevel="2">
      <c r="A144" s="791" t="s">
        <v>776</v>
      </c>
      <c r="B144" s="791" t="s">
        <v>777</v>
      </c>
      <c r="C144" s="791" t="s">
        <v>778</v>
      </c>
      <c r="D144" s="792" t="s">
        <v>779</v>
      </c>
      <c r="E144" s="793" t="s">
        <v>763</v>
      </c>
      <c r="F144" s="793" t="s">
        <v>922</v>
      </c>
      <c r="G144" s="793" t="s">
        <v>782</v>
      </c>
      <c r="H144" s="793" t="s">
        <v>913</v>
      </c>
      <c r="I144" s="794">
        <v>3.6678488673116739E-5</v>
      </c>
      <c r="J144" s="794">
        <v>7.0241573472476337E-2</v>
      </c>
      <c r="K144" s="771"/>
    </row>
    <row r="145" spans="1:11" ht="18.75" customHeight="1" outlineLevel="2">
      <c r="A145" s="791" t="s">
        <v>776</v>
      </c>
      <c r="B145" s="791" t="s">
        <v>777</v>
      </c>
      <c r="C145" s="791" t="s">
        <v>778</v>
      </c>
      <c r="D145" s="792" t="s">
        <v>779</v>
      </c>
      <c r="E145" s="793" t="s">
        <v>763</v>
      </c>
      <c r="F145" s="793" t="s">
        <v>923</v>
      </c>
      <c r="G145" s="793" t="s">
        <v>782</v>
      </c>
      <c r="H145" s="793" t="s">
        <v>913</v>
      </c>
      <c r="I145" s="794">
        <v>2.0101687074075279E-4</v>
      </c>
      <c r="J145" s="794">
        <v>0.73038981600687558</v>
      </c>
      <c r="K145" s="771"/>
    </row>
    <row r="146" spans="1:11" ht="18.75" customHeight="1" outlineLevel="2">
      <c r="A146" s="791" t="s">
        <v>776</v>
      </c>
      <c r="B146" s="791" t="s">
        <v>777</v>
      </c>
      <c r="C146" s="791" t="s">
        <v>778</v>
      </c>
      <c r="D146" s="792" t="s">
        <v>779</v>
      </c>
      <c r="E146" s="793" t="s">
        <v>763</v>
      </c>
      <c r="F146" s="793" t="s">
        <v>924</v>
      </c>
      <c r="G146" s="793" t="s">
        <v>782</v>
      </c>
      <c r="H146" s="793" t="s">
        <v>913</v>
      </c>
      <c r="I146" s="794">
        <v>1.6560518933296268E-4</v>
      </c>
      <c r="J146" s="794">
        <v>1.7637318576069185</v>
      </c>
      <c r="K146" s="771"/>
    </row>
    <row r="147" spans="1:11" ht="18.75" customHeight="1" outlineLevel="2">
      <c r="A147" s="791" t="s">
        <v>776</v>
      </c>
      <c r="B147" s="791" t="s">
        <v>777</v>
      </c>
      <c r="C147" s="791" t="s">
        <v>778</v>
      </c>
      <c r="D147" s="792" t="s">
        <v>779</v>
      </c>
      <c r="E147" s="793" t="s">
        <v>763</v>
      </c>
      <c r="F147" s="793" t="s">
        <v>925</v>
      </c>
      <c r="G147" s="793" t="s">
        <v>782</v>
      </c>
      <c r="H147" s="793" t="s">
        <v>913</v>
      </c>
      <c r="I147" s="794">
        <v>1.1652728919188165E-5</v>
      </c>
      <c r="J147" s="794">
        <v>0.18556761410705139</v>
      </c>
      <c r="K147" s="771"/>
    </row>
    <row r="148" spans="1:11" ht="18.75" customHeight="1" outlineLevel="2">
      <c r="A148" s="791" t="s">
        <v>776</v>
      </c>
      <c r="B148" s="791" t="s">
        <v>777</v>
      </c>
      <c r="C148" s="791" t="s">
        <v>778</v>
      </c>
      <c r="D148" s="792" t="s">
        <v>779</v>
      </c>
      <c r="E148" s="793" t="s">
        <v>763</v>
      </c>
      <c r="F148" s="793" t="s">
        <v>926</v>
      </c>
      <c r="G148" s="793" t="s">
        <v>782</v>
      </c>
      <c r="H148" s="793" t="s">
        <v>913</v>
      </c>
      <c r="I148" s="794">
        <v>8.6416279425125106E-4</v>
      </c>
      <c r="J148" s="794">
        <v>1.5886800845191962</v>
      </c>
      <c r="K148" s="771"/>
    </row>
    <row r="149" spans="1:11" ht="18.75" customHeight="1" outlineLevel="2">
      <c r="A149" s="791" t="s">
        <v>776</v>
      </c>
      <c r="B149" s="791" t="s">
        <v>777</v>
      </c>
      <c r="C149" s="791" t="s">
        <v>778</v>
      </c>
      <c r="D149" s="792" t="s">
        <v>779</v>
      </c>
      <c r="E149" s="793" t="s">
        <v>763</v>
      </c>
      <c r="F149" s="793" t="s">
        <v>927</v>
      </c>
      <c r="G149" s="793" t="s">
        <v>782</v>
      </c>
      <c r="H149" s="793" t="s">
        <v>913</v>
      </c>
      <c r="I149" s="794">
        <v>4.816833532658738E-4</v>
      </c>
      <c r="J149" s="794">
        <v>0.66672481682210849</v>
      </c>
      <c r="K149" s="771"/>
    </row>
    <row r="150" spans="1:11" ht="18.75" customHeight="1" outlineLevel="2">
      <c r="A150" s="791" t="s">
        <v>776</v>
      </c>
      <c r="B150" s="791" t="s">
        <v>777</v>
      </c>
      <c r="C150" s="791" t="s">
        <v>778</v>
      </c>
      <c r="D150" s="792" t="s">
        <v>779</v>
      </c>
      <c r="E150" s="793" t="s">
        <v>763</v>
      </c>
      <c r="F150" s="793" t="s">
        <v>928</v>
      </c>
      <c r="G150" s="793" t="s">
        <v>785</v>
      </c>
      <c r="H150" s="793" t="s">
        <v>913</v>
      </c>
      <c r="I150" s="794">
        <v>1.2360196607773872E-2</v>
      </c>
      <c r="J150" s="794">
        <v>38.049504130811741</v>
      </c>
      <c r="K150" s="771"/>
    </row>
    <row r="151" spans="1:11" ht="18.75" customHeight="1" outlineLevel="2">
      <c r="A151" s="791" t="s">
        <v>776</v>
      </c>
      <c r="B151" s="791" t="s">
        <v>777</v>
      </c>
      <c r="C151" s="791" t="s">
        <v>778</v>
      </c>
      <c r="D151" s="792" t="s">
        <v>779</v>
      </c>
      <c r="E151" s="793" t="s">
        <v>763</v>
      </c>
      <c r="F151" s="793" t="s">
        <v>929</v>
      </c>
      <c r="G151" s="793" t="s">
        <v>785</v>
      </c>
      <c r="H151" s="793" t="s">
        <v>913</v>
      </c>
      <c r="I151" s="794">
        <v>0.24572899970004503</v>
      </c>
      <c r="J151" s="794">
        <v>3461.0189354019112</v>
      </c>
      <c r="K151" s="771"/>
    </row>
    <row r="152" spans="1:11" ht="18.75" customHeight="1" outlineLevel="2">
      <c r="A152" s="791" t="s">
        <v>776</v>
      </c>
      <c r="B152" s="791" t="s">
        <v>777</v>
      </c>
      <c r="C152" s="791" t="s">
        <v>778</v>
      </c>
      <c r="D152" s="792" t="s">
        <v>779</v>
      </c>
      <c r="E152" s="793" t="s">
        <v>763</v>
      </c>
      <c r="F152" s="793" t="s">
        <v>930</v>
      </c>
      <c r="G152" s="793" t="s">
        <v>785</v>
      </c>
      <c r="H152" s="793" t="s">
        <v>913</v>
      </c>
      <c r="I152" s="794">
        <v>1.4629486664868845E-3</v>
      </c>
      <c r="J152" s="794">
        <v>25.783255532001377</v>
      </c>
      <c r="K152" s="771"/>
    </row>
    <row r="153" spans="1:11" ht="18.75" customHeight="1" outlineLevel="2">
      <c r="A153" s="791" t="s">
        <v>776</v>
      </c>
      <c r="B153" s="791" t="s">
        <v>777</v>
      </c>
      <c r="C153" s="791" t="s">
        <v>778</v>
      </c>
      <c r="D153" s="792" t="s">
        <v>779</v>
      </c>
      <c r="E153" s="793" t="s">
        <v>763</v>
      </c>
      <c r="F153" s="793" t="s">
        <v>931</v>
      </c>
      <c r="G153" s="793" t="s">
        <v>785</v>
      </c>
      <c r="H153" s="793" t="s">
        <v>913</v>
      </c>
      <c r="I153" s="794">
        <v>4.8938512662541854E-4</v>
      </c>
      <c r="J153" s="794">
        <v>8.1329567021340363</v>
      </c>
      <c r="K153" s="771"/>
    </row>
    <row r="154" spans="1:11" ht="18.75" customHeight="1" outlineLevel="2">
      <c r="A154" s="791" t="s">
        <v>776</v>
      </c>
      <c r="B154" s="791" t="s">
        <v>777</v>
      </c>
      <c r="C154" s="791" t="s">
        <v>778</v>
      </c>
      <c r="D154" s="792" t="s">
        <v>779</v>
      </c>
      <c r="E154" s="793" t="s">
        <v>763</v>
      </c>
      <c r="F154" s="793" t="s">
        <v>932</v>
      </c>
      <c r="G154" s="793" t="s">
        <v>785</v>
      </c>
      <c r="H154" s="793" t="s">
        <v>913</v>
      </c>
      <c r="I154" s="794">
        <v>5.2254148086087874E-4</v>
      </c>
      <c r="J154" s="794">
        <v>2.0085981030849682</v>
      </c>
      <c r="K154" s="771"/>
    </row>
    <row r="155" spans="1:11" ht="18.75" customHeight="1" outlineLevel="2">
      <c r="A155" s="791" t="s">
        <v>776</v>
      </c>
      <c r="B155" s="791" t="s">
        <v>777</v>
      </c>
      <c r="C155" s="791" t="s">
        <v>778</v>
      </c>
      <c r="D155" s="792" t="s">
        <v>779</v>
      </c>
      <c r="E155" s="793" t="s">
        <v>763</v>
      </c>
      <c r="F155" s="793" t="s">
        <v>933</v>
      </c>
      <c r="G155" s="793" t="s">
        <v>785</v>
      </c>
      <c r="H155" s="793" t="s">
        <v>913</v>
      </c>
      <c r="I155" s="794">
        <v>7.3345187195180924E-4</v>
      </c>
      <c r="J155" s="794">
        <v>15.973921839294713</v>
      </c>
      <c r="K155" s="771"/>
    </row>
    <row r="156" spans="1:11" ht="18.75" customHeight="1" outlineLevel="2">
      <c r="A156" s="791" t="s">
        <v>776</v>
      </c>
      <c r="B156" s="791" t="s">
        <v>777</v>
      </c>
      <c r="C156" s="791" t="s">
        <v>778</v>
      </c>
      <c r="D156" s="792" t="s">
        <v>779</v>
      </c>
      <c r="E156" s="793" t="s">
        <v>763</v>
      </c>
      <c r="F156" s="793" t="s">
        <v>934</v>
      </c>
      <c r="G156" s="793" t="s">
        <v>813</v>
      </c>
      <c r="H156" s="793" t="s">
        <v>913</v>
      </c>
      <c r="I156" s="794">
        <v>5.2943123345378692E-4</v>
      </c>
      <c r="J156" s="794">
        <v>8.023158693868103</v>
      </c>
      <c r="K156" s="771"/>
    </row>
    <row r="157" spans="1:11" ht="18.75" customHeight="1" outlineLevel="2">
      <c r="A157" s="791" t="s">
        <v>776</v>
      </c>
      <c r="B157" s="791" t="s">
        <v>777</v>
      </c>
      <c r="C157" s="791" t="s">
        <v>778</v>
      </c>
      <c r="D157" s="792" t="s">
        <v>779</v>
      </c>
      <c r="E157" s="793" t="s">
        <v>763</v>
      </c>
      <c r="F157" s="793" t="s">
        <v>935</v>
      </c>
      <c r="G157" s="793" t="s">
        <v>791</v>
      </c>
      <c r="H157" s="793" t="s">
        <v>913</v>
      </c>
      <c r="I157" s="794">
        <v>5.5387897367555011E-6</v>
      </c>
      <c r="J157" s="794">
        <v>6.9793317266018057E-3</v>
      </c>
      <c r="K157" s="771"/>
    </row>
    <row r="158" spans="1:11" ht="18.75" customHeight="1" outlineLevel="2">
      <c r="A158" s="791" t="s">
        <v>776</v>
      </c>
      <c r="B158" s="791" t="s">
        <v>777</v>
      </c>
      <c r="C158" s="791" t="s">
        <v>778</v>
      </c>
      <c r="D158" s="792" t="s">
        <v>779</v>
      </c>
      <c r="E158" s="793" t="s">
        <v>763</v>
      </c>
      <c r="F158" s="793" t="s">
        <v>936</v>
      </c>
      <c r="G158" s="793" t="s">
        <v>791</v>
      </c>
      <c r="H158" s="793" t="s">
        <v>913</v>
      </c>
      <c r="I158" s="794">
        <v>8.0251975512116248E-7</v>
      </c>
      <c r="J158" s="794">
        <v>1.359377128983905E-2</v>
      </c>
      <c r="K158" s="771"/>
    </row>
    <row r="159" spans="1:11" ht="18.75" customHeight="1" outlineLevel="2">
      <c r="A159" s="791" t="s">
        <v>776</v>
      </c>
      <c r="B159" s="791" t="s">
        <v>777</v>
      </c>
      <c r="C159" s="791" t="s">
        <v>778</v>
      </c>
      <c r="D159" s="792" t="s">
        <v>779</v>
      </c>
      <c r="E159" s="793" t="s">
        <v>763</v>
      </c>
      <c r="F159" s="793" t="s">
        <v>937</v>
      </c>
      <c r="G159" s="793" t="s">
        <v>794</v>
      </c>
      <c r="H159" s="793" t="s">
        <v>913</v>
      </c>
      <c r="I159" s="794">
        <v>2.2883003568294633E-2</v>
      </c>
      <c r="J159" s="794">
        <v>56.185159804586384</v>
      </c>
      <c r="K159" s="771"/>
    </row>
    <row r="160" spans="1:11" ht="18.75" customHeight="1" outlineLevel="2">
      <c r="A160" s="791" t="s">
        <v>776</v>
      </c>
      <c r="B160" s="791" t="s">
        <v>777</v>
      </c>
      <c r="C160" s="791" t="s">
        <v>778</v>
      </c>
      <c r="D160" s="792" t="s">
        <v>779</v>
      </c>
      <c r="E160" s="793" t="s">
        <v>763</v>
      </c>
      <c r="F160" s="793" t="s">
        <v>938</v>
      </c>
      <c r="G160" s="793" t="s">
        <v>794</v>
      </c>
      <c r="H160" s="793" t="s">
        <v>913</v>
      </c>
      <c r="I160" s="794">
        <v>2.692557623217053E-3</v>
      </c>
      <c r="J160" s="794">
        <v>12.298223625729291</v>
      </c>
      <c r="K160" s="771"/>
    </row>
    <row r="161" spans="1:11" ht="18.75" customHeight="1" outlineLevel="2">
      <c r="A161" s="791" t="s">
        <v>776</v>
      </c>
      <c r="B161" s="791" t="s">
        <v>777</v>
      </c>
      <c r="C161" s="791" t="s">
        <v>778</v>
      </c>
      <c r="D161" s="792" t="s">
        <v>779</v>
      </c>
      <c r="E161" s="793" t="s">
        <v>763</v>
      </c>
      <c r="F161" s="793" t="s">
        <v>939</v>
      </c>
      <c r="G161" s="793" t="s">
        <v>794</v>
      </c>
      <c r="H161" s="793" t="s">
        <v>913</v>
      </c>
      <c r="I161" s="794">
        <v>1.4039238861953231E-3</v>
      </c>
      <c r="J161" s="794">
        <v>14.360308391700816</v>
      </c>
      <c r="K161" s="771"/>
    </row>
    <row r="162" spans="1:11" ht="18.75" customHeight="1" outlineLevel="2">
      <c r="A162" s="791" t="s">
        <v>776</v>
      </c>
      <c r="B162" s="791" t="s">
        <v>777</v>
      </c>
      <c r="C162" s="791" t="s">
        <v>778</v>
      </c>
      <c r="D162" s="792" t="s">
        <v>779</v>
      </c>
      <c r="E162" s="793" t="s">
        <v>763</v>
      </c>
      <c r="F162" s="793" t="s">
        <v>940</v>
      </c>
      <c r="G162" s="793" t="s">
        <v>794</v>
      </c>
      <c r="H162" s="793" t="s">
        <v>913</v>
      </c>
      <c r="I162" s="794">
        <v>2.3241883483787621E-3</v>
      </c>
      <c r="J162" s="794">
        <v>17.847771973309907</v>
      </c>
      <c r="K162" s="771"/>
    </row>
    <row r="163" spans="1:11" ht="18.75" customHeight="1" outlineLevel="2">
      <c r="A163" s="791" t="s">
        <v>776</v>
      </c>
      <c r="B163" s="791" t="s">
        <v>777</v>
      </c>
      <c r="C163" s="791" t="s">
        <v>778</v>
      </c>
      <c r="D163" s="792" t="s">
        <v>779</v>
      </c>
      <c r="E163" s="793" t="s">
        <v>763</v>
      </c>
      <c r="F163" s="793" t="s">
        <v>941</v>
      </c>
      <c r="G163" s="793" t="s">
        <v>794</v>
      </c>
      <c r="H163" s="793" t="s">
        <v>913</v>
      </c>
      <c r="I163" s="794">
        <v>8.0454441962638469E-5</v>
      </c>
      <c r="J163" s="794">
        <v>0.24273956357077953</v>
      </c>
      <c r="K163" s="771"/>
    </row>
    <row r="164" spans="1:11" ht="18.75" customHeight="1" outlineLevel="2">
      <c r="A164" s="791" t="s">
        <v>776</v>
      </c>
      <c r="B164" s="791" t="s">
        <v>777</v>
      </c>
      <c r="C164" s="791" t="s">
        <v>778</v>
      </c>
      <c r="D164" s="792" t="s">
        <v>779</v>
      </c>
      <c r="E164" s="793" t="s">
        <v>763</v>
      </c>
      <c r="F164" s="793" t="s">
        <v>942</v>
      </c>
      <c r="G164" s="793" t="s">
        <v>794</v>
      </c>
      <c r="H164" s="793" t="s">
        <v>913</v>
      </c>
      <c r="I164" s="794">
        <v>1.9071557864770543E-5</v>
      </c>
      <c r="J164" s="794">
        <v>0.22038650114496361</v>
      </c>
      <c r="K164" s="771"/>
    </row>
    <row r="165" spans="1:11" ht="18.75" customHeight="1" outlineLevel="2">
      <c r="A165" s="791" t="s">
        <v>776</v>
      </c>
      <c r="B165" s="791" t="s">
        <v>777</v>
      </c>
      <c r="C165" s="791" t="s">
        <v>778</v>
      </c>
      <c r="D165" s="792" t="s">
        <v>779</v>
      </c>
      <c r="E165" s="793" t="s">
        <v>763</v>
      </c>
      <c r="F165" s="793" t="s">
        <v>943</v>
      </c>
      <c r="G165" s="793" t="s">
        <v>944</v>
      </c>
      <c r="H165" s="793" t="s">
        <v>913</v>
      </c>
      <c r="I165" s="794">
        <v>4.2345343578284186E-5</v>
      </c>
      <c r="J165" s="794">
        <v>0.18294642557680563</v>
      </c>
      <c r="K165" s="771"/>
    </row>
    <row r="166" spans="1:11" ht="18.75" customHeight="1" outlineLevel="2">
      <c r="A166" s="791" t="s">
        <v>776</v>
      </c>
      <c r="B166" s="791" t="s">
        <v>777</v>
      </c>
      <c r="C166" s="791" t="s">
        <v>778</v>
      </c>
      <c r="D166" s="792" t="s">
        <v>779</v>
      </c>
      <c r="E166" s="793" t="s">
        <v>764</v>
      </c>
      <c r="F166" s="793" t="s">
        <v>945</v>
      </c>
      <c r="G166" s="793" t="s">
        <v>244</v>
      </c>
      <c r="H166" s="793" t="s">
        <v>905</v>
      </c>
      <c r="I166" s="794">
        <v>3.3888150234724942E-3</v>
      </c>
      <c r="J166" s="794">
        <v>121.966118715896</v>
      </c>
      <c r="K166" s="771"/>
    </row>
    <row r="167" spans="1:11" ht="18.75" customHeight="1" outlineLevel="2">
      <c r="A167" s="791" t="s">
        <v>776</v>
      </c>
      <c r="B167" s="791" t="s">
        <v>777</v>
      </c>
      <c r="C167" s="791" t="s">
        <v>778</v>
      </c>
      <c r="D167" s="792" t="s">
        <v>779</v>
      </c>
      <c r="E167" s="793" t="s">
        <v>764</v>
      </c>
      <c r="F167" s="793" t="s">
        <v>946</v>
      </c>
      <c r="G167" s="793" t="s">
        <v>244</v>
      </c>
      <c r="H167" s="793" t="s">
        <v>905</v>
      </c>
      <c r="I167" s="794">
        <v>5.3706215992191828E-5</v>
      </c>
      <c r="J167" s="794">
        <v>1.0187765740314469</v>
      </c>
      <c r="K167" s="771"/>
    </row>
    <row r="168" spans="1:11" ht="18.75" customHeight="1" outlineLevel="2">
      <c r="A168" s="791" t="s">
        <v>776</v>
      </c>
      <c r="B168" s="791" t="s">
        <v>777</v>
      </c>
      <c r="C168" s="791" t="s">
        <v>778</v>
      </c>
      <c r="D168" s="792" t="s">
        <v>779</v>
      </c>
      <c r="E168" s="793" t="s">
        <v>947</v>
      </c>
      <c r="F168" s="793" t="s">
        <v>948</v>
      </c>
      <c r="G168" s="793" t="s">
        <v>799</v>
      </c>
      <c r="H168" s="793" t="s">
        <v>800</v>
      </c>
      <c r="I168" s="794">
        <v>4.6617266909343156E-3</v>
      </c>
      <c r="J168" s="794">
        <v>115.24447296446014</v>
      </c>
      <c r="K168" s="771"/>
    </row>
    <row r="169" spans="1:11" ht="18.75" customHeight="1" outlineLevel="2">
      <c r="A169" s="791" t="s">
        <v>776</v>
      </c>
      <c r="B169" s="791" t="s">
        <v>777</v>
      </c>
      <c r="C169" s="791" t="s">
        <v>778</v>
      </c>
      <c r="D169" s="792" t="s">
        <v>779</v>
      </c>
      <c r="E169" s="793" t="s">
        <v>947</v>
      </c>
      <c r="F169" s="793" t="s">
        <v>949</v>
      </c>
      <c r="G169" s="793" t="s">
        <v>782</v>
      </c>
      <c r="H169" s="793" t="s">
        <v>804</v>
      </c>
      <c r="I169" s="794">
        <v>7.5383616785094931E-4</v>
      </c>
      <c r="J169" s="794">
        <v>43.964047210798448</v>
      </c>
      <c r="K169" s="771"/>
    </row>
    <row r="170" spans="1:11" ht="18.75" customHeight="1" outlineLevel="2">
      <c r="A170" s="791" t="s">
        <v>776</v>
      </c>
      <c r="B170" s="791" t="s">
        <v>777</v>
      </c>
      <c r="C170" s="791" t="s">
        <v>778</v>
      </c>
      <c r="D170" s="792" t="s">
        <v>779</v>
      </c>
      <c r="E170" s="793" t="s">
        <v>947</v>
      </c>
      <c r="F170" s="793" t="s">
        <v>950</v>
      </c>
      <c r="G170" s="793" t="s">
        <v>782</v>
      </c>
      <c r="H170" s="793" t="s">
        <v>804</v>
      </c>
      <c r="I170" s="794">
        <v>6.4817045898644053E-6</v>
      </c>
      <c r="J170" s="794">
        <v>7.1594508846916621E-2</v>
      </c>
      <c r="K170" s="771"/>
    </row>
    <row r="171" spans="1:11" ht="18.75" customHeight="1" outlineLevel="2">
      <c r="A171" s="791" t="s">
        <v>776</v>
      </c>
      <c r="B171" s="791" t="s">
        <v>777</v>
      </c>
      <c r="C171" s="791" t="s">
        <v>778</v>
      </c>
      <c r="D171" s="792" t="s">
        <v>779</v>
      </c>
      <c r="E171" s="793" t="s">
        <v>947</v>
      </c>
      <c r="F171" s="793" t="s">
        <v>951</v>
      </c>
      <c r="G171" s="793" t="s">
        <v>782</v>
      </c>
      <c r="H171" s="793" t="s">
        <v>804</v>
      </c>
      <c r="I171" s="794">
        <v>9.400143354810445E-5</v>
      </c>
      <c r="J171" s="794">
        <v>1.1793567963180662</v>
      </c>
      <c r="K171" s="771"/>
    </row>
    <row r="172" spans="1:11" ht="18.75" customHeight="1" outlineLevel="2">
      <c r="A172" s="791" t="s">
        <v>776</v>
      </c>
      <c r="B172" s="791" t="s">
        <v>777</v>
      </c>
      <c r="C172" s="791" t="s">
        <v>778</v>
      </c>
      <c r="D172" s="792" t="s">
        <v>779</v>
      </c>
      <c r="E172" s="793" t="s">
        <v>947</v>
      </c>
      <c r="F172" s="793" t="s">
        <v>952</v>
      </c>
      <c r="G172" s="793" t="s">
        <v>782</v>
      </c>
      <c r="H172" s="793" t="s">
        <v>804</v>
      </c>
      <c r="I172" s="794">
        <v>2.1466205511887072E-3</v>
      </c>
      <c r="J172" s="794">
        <v>110.04866387155418</v>
      </c>
      <c r="K172" s="771"/>
    </row>
    <row r="173" spans="1:11" ht="18.75" customHeight="1" outlineLevel="2">
      <c r="A173" s="791" t="s">
        <v>776</v>
      </c>
      <c r="B173" s="791" t="s">
        <v>777</v>
      </c>
      <c r="C173" s="791" t="s">
        <v>778</v>
      </c>
      <c r="D173" s="792" t="s">
        <v>779</v>
      </c>
      <c r="E173" s="793" t="s">
        <v>947</v>
      </c>
      <c r="F173" s="793" t="s">
        <v>953</v>
      </c>
      <c r="G173" s="793" t="s">
        <v>782</v>
      </c>
      <c r="H173" s="793" t="s">
        <v>804</v>
      </c>
      <c r="I173" s="794">
        <v>1.6295576500420443E-3</v>
      </c>
      <c r="J173" s="794">
        <v>119.74041883116543</v>
      </c>
      <c r="K173" s="771"/>
    </row>
    <row r="174" spans="1:11" ht="18.75" customHeight="1" outlineLevel="2">
      <c r="A174" s="791" t="s">
        <v>776</v>
      </c>
      <c r="B174" s="791" t="s">
        <v>777</v>
      </c>
      <c r="C174" s="791" t="s">
        <v>778</v>
      </c>
      <c r="D174" s="792" t="s">
        <v>779</v>
      </c>
      <c r="E174" s="793" t="s">
        <v>947</v>
      </c>
      <c r="F174" s="793" t="s">
        <v>954</v>
      </c>
      <c r="G174" s="793" t="s">
        <v>782</v>
      </c>
      <c r="H174" s="793" t="s">
        <v>804</v>
      </c>
      <c r="I174" s="794">
        <v>1.8410596311902559E-4</v>
      </c>
      <c r="J174" s="794">
        <v>6.6118411126892118</v>
      </c>
      <c r="K174" s="771"/>
    </row>
    <row r="175" spans="1:11" ht="18.75" customHeight="1" outlineLevel="2">
      <c r="A175" s="791" t="s">
        <v>776</v>
      </c>
      <c r="B175" s="791" t="s">
        <v>777</v>
      </c>
      <c r="C175" s="791" t="s">
        <v>778</v>
      </c>
      <c r="D175" s="792" t="s">
        <v>779</v>
      </c>
      <c r="E175" s="793" t="s">
        <v>947</v>
      </c>
      <c r="F175" s="793" t="s">
        <v>955</v>
      </c>
      <c r="G175" s="793" t="s">
        <v>782</v>
      </c>
      <c r="H175" s="793" t="s">
        <v>804</v>
      </c>
      <c r="I175" s="794">
        <v>9.7924284400935588E-5</v>
      </c>
      <c r="J175" s="794">
        <v>4.5023785669714353</v>
      </c>
      <c r="K175" s="771"/>
    </row>
    <row r="176" spans="1:11" ht="18.75" customHeight="1" outlineLevel="2">
      <c r="A176" s="791" t="s">
        <v>776</v>
      </c>
      <c r="B176" s="791" t="s">
        <v>777</v>
      </c>
      <c r="C176" s="791" t="s">
        <v>778</v>
      </c>
      <c r="D176" s="792" t="s">
        <v>779</v>
      </c>
      <c r="E176" s="793" t="s">
        <v>947</v>
      </c>
      <c r="F176" s="793" t="s">
        <v>956</v>
      </c>
      <c r="G176" s="793" t="s">
        <v>782</v>
      </c>
      <c r="H176" s="793" t="s">
        <v>804</v>
      </c>
      <c r="I176" s="794">
        <v>5.2046367261530989E-4</v>
      </c>
      <c r="J176" s="794">
        <v>12.363965858738785</v>
      </c>
      <c r="K176" s="771"/>
    </row>
    <row r="177" spans="1:11" ht="18.75" customHeight="1" outlineLevel="2">
      <c r="A177" s="791" t="s">
        <v>776</v>
      </c>
      <c r="B177" s="791" t="s">
        <v>777</v>
      </c>
      <c r="C177" s="791" t="s">
        <v>778</v>
      </c>
      <c r="D177" s="792" t="s">
        <v>779</v>
      </c>
      <c r="E177" s="793" t="s">
        <v>947</v>
      </c>
      <c r="F177" s="793" t="s">
        <v>957</v>
      </c>
      <c r="G177" s="793" t="s">
        <v>782</v>
      </c>
      <c r="H177" s="793" t="s">
        <v>804</v>
      </c>
      <c r="I177" s="794">
        <v>1.4920210968411183E-3</v>
      </c>
      <c r="J177" s="794">
        <v>52.908687991856524</v>
      </c>
      <c r="K177" s="771"/>
    </row>
    <row r="178" spans="1:11" ht="18.75" customHeight="1" outlineLevel="2">
      <c r="A178" s="791" t="s">
        <v>776</v>
      </c>
      <c r="B178" s="791" t="s">
        <v>777</v>
      </c>
      <c r="C178" s="791" t="s">
        <v>778</v>
      </c>
      <c r="D178" s="792" t="s">
        <v>779</v>
      </c>
      <c r="E178" s="793" t="s">
        <v>947</v>
      </c>
      <c r="F178" s="793" t="s">
        <v>958</v>
      </c>
      <c r="G178" s="793" t="s">
        <v>782</v>
      </c>
      <c r="H178" s="793" t="s">
        <v>804</v>
      </c>
      <c r="I178" s="794">
        <v>1.054809763036068E-3</v>
      </c>
      <c r="J178" s="794">
        <v>58.090458089893822</v>
      </c>
      <c r="K178" s="771"/>
    </row>
    <row r="179" spans="1:11" ht="18.75" customHeight="1" outlineLevel="2">
      <c r="A179" s="791" t="s">
        <v>776</v>
      </c>
      <c r="B179" s="791" t="s">
        <v>777</v>
      </c>
      <c r="C179" s="791" t="s">
        <v>778</v>
      </c>
      <c r="D179" s="792" t="s">
        <v>779</v>
      </c>
      <c r="E179" s="793" t="s">
        <v>947</v>
      </c>
      <c r="F179" s="793" t="s">
        <v>959</v>
      </c>
      <c r="G179" s="793" t="s">
        <v>782</v>
      </c>
      <c r="H179" s="793" t="s">
        <v>804</v>
      </c>
      <c r="I179" s="794">
        <v>5.7829556394257565E-3</v>
      </c>
      <c r="J179" s="794">
        <v>446.04616369087341</v>
      </c>
      <c r="K179" s="771"/>
    </row>
    <row r="180" spans="1:11" ht="18.75" customHeight="1" outlineLevel="2">
      <c r="A180" s="791" t="s">
        <v>776</v>
      </c>
      <c r="B180" s="791" t="s">
        <v>777</v>
      </c>
      <c r="C180" s="791" t="s">
        <v>778</v>
      </c>
      <c r="D180" s="792" t="s">
        <v>779</v>
      </c>
      <c r="E180" s="793" t="s">
        <v>947</v>
      </c>
      <c r="F180" s="793" t="s">
        <v>960</v>
      </c>
      <c r="G180" s="793" t="s">
        <v>782</v>
      </c>
      <c r="H180" s="793" t="s">
        <v>804</v>
      </c>
      <c r="I180" s="794">
        <v>1.2231388845723869E-4</v>
      </c>
      <c r="J180" s="794">
        <v>3.7089268338551418</v>
      </c>
      <c r="K180" s="771"/>
    </row>
    <row r="181" spans="1:11" ht="18.75" customHeight="1" outlineLevel="2">
      <c r="A181" s="791" t="s">
        <v>776</v>
      </c>
      <c r="B181" s="791" t="s">
        <v>777</v>
      </c>
      <c r="C181" s="791" t="s">
        <v>778</v>
      </c>
      <c r="D181" s="792" t="s">
        <v>779</v>
      </c>
      <c r="E181" s="793" t="s">
        <v>947</v>
      </c>
      <c r="F181" s="793" t="s">
        <v>961</v>
      </c>
      <c r="G181" s="793" t="s">
        <v>782</v>
      </c>
      <c r="H181" s="793" t="s">
        <v>804</v>
      </c>
      <c r="I181" s="794">
        <v>4.8168551841905522E-5</v>
      </c>
      <c r="J181" s="794">
        <v>2.2709838739768102</v>
      </c>
      <c r="K181" s="771"/>
    </row>
    <row r="182" spans="1:11" ht="18.75" customHeight="1" outlineLevel="2">
      <c r="A182" s="791" t="s">
        <v>776</v>
      </c>
      <c r="B182" s="791" t="s">
        <v>777</v>
      </c>
      <c r="C182" s="791" t="s">
        <v>778</v>
      </c>
      <c r="D182" s="792" t="s">
        <v>779</v>
      </c>
      <c r="E182" s="793" t="s">
        <v>947</v>
      </c>
      <c r="F182" s="793" t="s">
        <v>962</v>
      </c>
      <c r="G182" s="793" t="s">
        <v>782</v>
      </c>
      <c r="H182" s="793" t="s">
        <v>804</v>
      </c>
      <c r="I182" s="794">
        <v>1.7064608590286407E-3</v>
      </c>
      <c r="J182" s="794">
        <v>101.95471129597976</v>
      </c>
      <c r="K182" s="771"/>
    </row>
    <row r="183" spans="1:11" ht="18.75" customHeight="1" outlineLevel="2">
      <c r="A183" s="791" t="s">
        <v>776</v>
      </c>
      <c r="B183" s="791" t="s">
        <v>777</v>
      </c>
      <c r="C183" s="791" t="s">
        <v>778</v>
      </c>
      <c r="D183" s="792" t="s">
        <v>779</v>
      </c>
      <c r="E183" s="793" t="s">
        <v>947</v>
      </c>
      <c r="F183" s="793" t="s">
        <v>963</v>
      </c>
      <c r="G183" s="793" t="s">
        <v>782</v>
      </c>
      <c r="H183" s="793" t="s">
        <v>804</v>
      </c>
      <c r="I183" s="794">
        <v>1.4670682614453358E-3</v>
      </c>
      <c r="J183" s="794">
        <v>110.97902188873195</v>
      </c>
      <c r="K183" s="771"/>
    </row>
    <row r="184" spans="1:11" ht="18.75" customHeight="1" outlineLevel="2">
      <c r="A184" s="791" t="s">
        <v>776</v>
      </c>
      <c r="B184" s="791" t="s">
        <v>777</v>
      </c>
      <c r="C184" s="791" t="s">
        <v>778</v>
      </c>
      <c r="D184" s="792" t="s">
        <v>779</v>
      </c>
      <c r="E184" s="793" t="s">
        <v>947</v>
      </c>
      <c r="F184" s="793" t="s">
        <v>964</v>
      </c>
      <c r="G184" s="793" t="s">
        <v>782</v>
      </c>
      <c r="H184" s="793" t="s">
        <v>804</v>
      </c>
      <c r="I184" s="794">
        <v>5.3564043242162636E-3</v>
      </c>
      <c r="J184" s="794">
        <v>381.75211100306552</v>
      </c>
      <c r="K184" s="771"/>
    </row>
    <row r="185" spans="1:11" ht="18.75" customHeight="1" outlineLevel="2">
      <c r="A185" s="791" t="s">
        <v>776</v>
      </c>
      <c r="B185" s="791" t="s">
        <v>777</v>
      </c>
      <c r="C185" s="791" t="s">
        <v>778</v>
      </c>
      <c r="D185" s="792" t="s">
        <v>779</v>
      </c>
      <c r="E185" s="793" t="s">
        <v>947</v>
      </c>
      <c r="F185" s="793" t="s">
        <v>965</v>
      </c>
      <c r="G185" s="793" t="s">
        <v>782</v>
      </c>
      <c r="H185" s="793" t="s">
        <v>804</v>
      </c>
      <c r="I185" s="794">
        <v>3.6870874446364148E-4</v>
      </c>
      <c r="J185" s="794">
        <v>17.950657759709557</v>
      </c>
      <c r="K185" s="771"/>
    </row>
    <row r="186" spans="1:11" ht="18.75" customHeight="1" outlineLevel="2">
      <c r="A186" s="791" t="s">
        <v>776</v>
      </c>
      <c r="B186" s="791" t="s">
        <v>777</v>
      </c>
      <c r="C186" s="791" t="s">
        <v>778</v>
      </c>
      <c r="D186" s="792" t="s">
        <v>779</v>
      </c>
      <c r="E186" s="793" t="s">
        <v>947</v>
      </c>
      <c r="F186" s="793" t="s">
        <v>966</v>
      </c>
      <c r="G186" s="793" t="s">
        <v>782</v>
      </c>
      <c r="H186" s="793" t="s">
        <v>804</v>
      </c>
      <c r="I186" s="794">
        <v>3.1003672334900005E-3</v>
      </c>
      <c r="J186" s="794">
        <v>142.78779101443592</v>
      </c>
      <c r="K186" s="771"/>
    </row>
    <row r="187" spans="1:11" ht="18.75" customHeight="1" outlineLevel="2">
      <c r="A187" s="791" t="s">
        <v>776</v>
      </c>
      <c r="B187" s="791" t="s">
        <v>777</v>
      </c>
      <c r="C187" s="791" t="s">
        <v>778</v>
      </c>
      <c r="D187" s="792" t="s">
        <v>779</v>
      </c>
      <c r="E187" s="793" t="s">
        <v>947</v>
      </c>
      <c r="F187" s="793" t="s">
        <v>967</v>
      </c>
      <c r="G187" s="793" t="s">
        <v>782</v>
      </c>
      <c r="H187" s="793" t="s">
        <v>804</v>
      </c>
      <c r="I187" s="794">
        <v>7.5751459755837398E-3</v>
      </c>
      <c r="J187" s="794">
        <v>485.45124447304568</v>
      </c>
      <c r="K187" s="771"/>
    </row>
    <row r="188" spans="1:11" ht="18.75" customHeight="1" outlineLevel="2">
      <c r="A188" s="791" t="s">
        <v>776</v>
      </c>
      <c r="B188" s="791" t="s">
        <v>777</v>
      </c>
      <c r="C188" s="791" t="s">
        <v>778</v>
      </c>
      <c r="D188" s="792" t="s">
        <v>779</v>
      </c>
      <c r="E188" s="793" t="s">
        <v>947</v>
      </c>
      <c r="F188" s="793" t="s">
        <v>968</v>
      </c>
      <c r="G188" s="793" t="s">
        <v>782</v>
      </c>
      <c r="H188" s="793" t="s">
        <v>804</v>
      </c>
      <c r="I188" s="794">
        <v>1.6591431955474852E-2</v>
      </c>
      <c r="J188" s="794">
        <v>325.67146026492969</v>
      </c>
      <c r="K188" s="771"/>
    </row>
    <row r="189" spans="1:11" ht="18.75" customHeight="1" outlineLevel="2">
      <c r="A189" s="791" t="s">
        <v>776</v>
      </c>
      <c r="B189" s="791" t="s">
        <v>777</v>
      </c>
      <c r="C189" s="791" t="s">
        <v>778</v>
      </c>
      <c r="D189" s="792" t="s">
        <v>779</v>
      </c>
      <c r="E189" s="793" t="s">
        <v>947</v>
      </c>
      <c r="F189" s="793" t="s">
        <v>969</v>
      </c>
      <c r="G189" s="793" t="s">
        <v>782</v>
      </c>
      <c r="H189" s="793" t="s">
        <v>804</v>
      </c>
      <c r="I189" s="794">
        <v>6.1002758259406618E-3</v>
      </c>
      <c r="J189" s="794">
        <v>444.08525690798683</v>
      </c>
      <c r="K189" s="771"/>
    </row>
    <row r="190" spans="1:11" ht="18.75" customHeight="1" outlineLevel="2">
      <c r="A190" s="791" t="s">
        <v>776</v>
      </c>
      <c r="B190" s="791" t="s">
        <v>777</v>
      </c>
      <c r="C190" s="791" t="s">
        <v>778</v>
      </c>
      <c r="D190" s="792" t="s">
        <v>779</v>
      </c>
      <c r="E190" s="793" t="s">
        <v>947</v>
      </c>
      <c r="F190" s="793" t="s">
        <v>970</v>
      </c>
      <c r="G190" s="793" t="s">
        <v>782</v>
      </c>
      <c r="H190" s="793" t="s">
        <v>804</v>
      </c>
      <c r="I190" s="794">
        <v>1.1107415588203516E-2</v>
      </c>
      <c r="J190" s="794">
        <v>255.63543825949614</v>
      </c>
      <c r="K190" s="771"/>
    </row>
    <row r="191" spans="1:11" ht="18.75" customHeight="1" outlineLevel="2">
      <c r="A191" s="791" t="s">
        <v>776</v>
      </c>
      <c r="B191" s="791" t="s">
        <v>777</v>
      </c>
      <c r="C191" s="791" t="s">
        <v>778</v>
      </c>
      <c r="D191" s="792" t="s">
        <v>779</v>
      </c>
      <c r="E191" s="793" t="s">
        <v>947</v>
      </c>
      <c r="F191" s="793" t="s">
        <v>971</v>
      </c>
      <c r="G191" s="793" t="s">
        <v>782</v>
      </c>
      <c r="H191" s="793" t="s">
        <v>804</v>
      </c>
      <c r="I191" s="794">
        <v>6.5202692998496273E-4</v>
      </c>
      <c r="J191" s="794">
        <v>47.650891257470931</v>
      </c>
      <c r="K191" s="771"/>
    </row>
    <row r="192" spans="1:11" ht="18.75" customHeight="1" outlineLevel="2">
      <c r="A192" s="791" t="s">
        <v>776</v>
      </c>
      <c r="B192" s="791" t="s">
        <v>777</v>
      </c>
      <c r="C192" s="791" t="s">
        <v>778</v>
      </c>
      <c r="D192" s="792" t="s">
        <v>779</v>
      </c>
      <c r="E192" s="793" t="s">
        <v>947</v>
      </c>
      <c r="F192" s="793" t="s">
        <v>972</v>
      </c>
      <c r="G192" s="793" t="s">
        <v>782</v>
      </c>
      <c r="H192" s="793" t="s">
        <v>804</v>
      </c>
      <c r="I192" s="794">
        <v>3.3865736772654546E-5</v>
      </c>
      <c r="J192" s="794">
        <v>0.78177593965688275</v>
      </c>
      <c r="K192" s="771"/>
    </row>
    <row r="193" spans="1:11" ht="18.75" customHeight="1" outlineLevel="2">
      <c r="A193" s="791" t="s">
        <v>776</v>
      </c>
      <c r="B193" s="791" t="s">
        <v>777</v>
      </c>
      <c r="C193" s="791" t="s">
        <v>778</v>
      </c>
      <c r="D193" s="792" t="s">
        <v>779</v>
      </c>
      <c r="E193" s="793" t="s">
        <v>947</v>
      </c>
      <c r="F193" s="793" t="s">
        <v>973</v>
      </c>
      <c r="G193" s="793" t="s">
        <v>782</v>
      </c>
      <c r="H193" s="793" t="s">
        <v>804</v>
      </c>
      <c r="I193" s="794">
        <v>9.2456560724048155E-4</v>
      </c>
      <c r="J193" s="794">
        <v>49.704557475974624</v>
      </c>
      <c r="K193" s="771"/>
    </row>
    <row r="194" spans="1:11" ht="18.75" customHeight="1" outlineLevel="2">
      <c r="A194" s="791" t="s">
        <v>776</v>
      </c>
      <c r="B194" s="791" t="s">
        <v>777</v>
      </c>
      <c r="C194" s="791" t="s">
        <v>778</v>
      </c>
      <c r="D194" s="792" t="s">
        <v>779</v>
      </c>
      <c r="E194" s="793" t="s">
        <v>947</v>
      </c>
      <c r="F194" s="793" t="s">
        <v>974</v>
      </c>
      <c r="G194" s="793" t="s">
        <v>785</v>
      </c>
      <c r="H194" s="793" t="s">
        <v>727</v>
      </c>
      <c r="I194" s="794">
        <v>2.5717401867858293E-3</v>
      </c>
      <c r="J194" s="794">
        <v>62.217238509689949</v>
      </c>
      <c r="K194" s="771"/>
    </row>
    <row r="195" spans="1:11" ht="18.75" customHeight="1" outlineLevel="2">
      <c r="A195" s="791" t="s">
        <v>776</v>
      </c>
      <c r="B195" s="791" t="s">
        <v>777</v>
      </c>
      <c r="C195" s="791" t="s">
        <v>778</v>
      </c>
      <c r="D195" s="792" t="s">
        <v>779</v>
      </c>
      <c r="E195" s="793" t="s">
        <v>947</v>
      </c>
      <c r="F195" s="793" t="s">
        <v>975</v>
      </c>
      <c r="G195" s="793" t="s">
        <v>785</v>
      </c>
      <c r="H195" s="793" t="s">
        <v>727</v>
      </c>
      <c r="I195" s="794">
        <v>1.2798599889662818E-2</v>
      </c>
      <c r="J195" s="794">
        <v>902.62261667730002</v>
      </c>
      <c r="K195" s="771"/>
    </row>
    <row r="196" spans="1:11" ht="18.75" customHeight="1" outlineLevel="2">
      <c r="A196" s="791" t="s">
        <v>776</v>
      </c>
      <c r="B196" s="791" t="s">
        <v>777</v>
      </c>
      <c r="C196" s="791" t="s">
        <v>778</v>
      </c>
      <c r="D196" s="792" t="s">
        <v>779</v>
      </c>
      <c r="E196" s="793" t="s">
        <v>947</v>
      </c>
      <c r="F196" s="793" t="s">
        <v>976</v>
      </c>
      <c r="G196" s="793" t="s">
        <v>785</v>
      </c>
      <c r="H196" s="793" t="s">
        <v>727</v>
      </c>
      <c r="I196" s="794">
        <v>7.5185030452881683E-3</v>
      </c>
      <c r="J196" s="794">
        <v>394.24695514966066</v>
      </c>
      <c r="K196" s="771"/>
    </row>
    <row r="197" spans="1:11" ht="18.75" customHeight="1" outlineLevel="2">
      <c r="A197" s="791" t="s">
        <v>776</v>
      </c>
      <c r="B197" s="791" t="s">
        <v>777</v>
      </c>
      <c r="C197" s="791" t="s">
        <v>778</v>
      </c>
      <c r="D197" s="792" t="s">
        <v>779</v>
      </c>
      <c r="E197" s="793" t="s">
        <v>947</v>
      </c>
      <c r="F197" s="793" t="s">
        <v>977</v>
      </c>
      <c r="G197" s="793" t="s">
        <v>785</v>
      </c>
      <c r="H197" s="793" t="s">
        <v>727</v>
      </c>
      <c r="I197" s="794">
        <v>8.8994772978330267E-3</v>
      </c>
      <c r="J197" s="794">
        <v>399.78191590227362</v>
      </c>
      <c r="K197" s="771"/>
    </row>
    <row r="198" spans="1:11" ht="18.75" customHeight="1" outlineLevel="2">
      <c r="A198" s="791" t="s">
        <v>776</v>
      </c>
      <c r="B198" s="791" t="s">
        <v>777</v>
      </c>
      <c r="C198" s="791" t="s">
        <v>778</v>
      </c>
      <c r="D198" s="792" t="s">
        <v>779</v>
      </c>
      <c r="E198" s="793" t="s">
        <v>947</v>
      </c>
      <c r="F198" s="793" t="s">
        <v>978</v>
      </c>
      <c r="G198" s="793" t="s">
        <v>785</v>
      </c>
      <c r="H198" s="793" t="s">
        <v>727</v>
      </c>
      <c r="I198" s="794">
        <v>5.6365230334275054E-4</v>
      </c>
      <c r="J198" s="794">
        <v>15.418055991004623</v>
      </c>
      <c r="K198" s="771"/>
    </row>
    <row r="199" spans="1:11" ht="18.75" customHeight="1" outlineLevel="2">
      <c r="A199" s="791" t="s">
        <v>776</v>
      </c>
      <c r="B199" s="791" t="s">
        <v>777</v>
      </c>
      <c r="C199" s="791" t="s">
        <v>778</v>
      </c>
      <c r="D199" s="792" t="s">
        <v>779</v>
      </c>
      <c r="E199" s="793" t="s">
        <v>947</v>
      </c>
      <c r="F199" s="793" t="s">
        <v>979</v>
      </c>
      <c r="G199" s="793" t="s">
        <v>785</v>
      </c>
      <c r="H199" s="793" t="s">
        <v>727</v>
      </c>
      <c r="I199" s="794">
        <v>3.9640505874714092E-2</v>
      </c>
      <c r="J199" s="794">
        <v>1302.8401144311924</v>
      </c>
      <c r="K199" s="771"/>
    </row>
    <row r="200" spans="1:11" ht="18.75" customHeight="1" outlineLevel="2">
      <c r="A200" s="791" t="s">
        <v>776</v>
      </c>
      <c r="B200" s="791" t="s">
        <v>777</v>
      </c>
      <c r="C200" s="791" t="s">
        <v>778</v>
      </c>
      <c r="D200" s="792" t="s">
        <v>779</v>
      </c>
      <c r="E200" s="793" t="s">
        <v>947</v>
      </c>
      <c r="F200" s="793" t="s">
        <v>980</v>
      </c>
      <c r="G200" s="793" t="s">
        <v>785</v>
      </c>
      <c r="H200" s="793" t="s">
        <v>727</v>
      </c>
      <c r="I200" s="794">
        <v>7.0175298052410628E-3</v>
      </c>
      <c r="J200" s="794">
        <v>568.89059303318254</v>
      </c>
      <c r="K200" s="771"/>
    </row>
    <row r="201" spans="1:11" ht="18.75" customHeight="1" outlineLevel="2">
      <c r="A201" s="791" t="s">
        <v>776</v>
      </c>
      <c r="B201" s="791" t="s">
        <v>777</v>
      </c>
      <c r="C201" s="791" t="s">
        <v>778</v>
      </c>
      <c r="D201" s="792" t="s">
        <v>779</v>
      </c>
      <c r="E201" s="793" t="s">
        <v>947</v>
      </c>
      <c r="F201" s="793" t="s">
        <v>981</v>
      </c>
      <c r="G201" s="793" t="s">
        <v>813</v>
      </c>
      <c r="H201" s="793" t="s">
        <v>814</v>
      </c>
      <c r="I201" s="794">
        <v>3.7585461588304289E-7</v>
      </c>
      <c r="J201" s="794">
        <v>9.4203757105135108E-3</v>
      </c>
      <c r="K201" s="771"/>
    </row>
    <row r="202" spans="1:11" ht="18.75" customHeight="1" outlineLevel="2">
      <c r="A202" s="791" t="s">
        <v>776</v>
      </c>
      <c r="B202" s="791" t="s">
        <v>777</v>
      </c>
      <c r="C202" s="791" t="s">
        <v>778</v>
      </c>
      <c r="D202" s="792" t="s">
        <v>779</v>
      </c>
      <c r="E202" s="793" t="s">
        <v>947</v>
      </c>
      <c r="F202" s="793" t="s">
        <v>982</v>
      </c>
      <c r="G202" s="793" t="s">
        <v>813</v>
      </c>
      <c r="H202" s="793" t="s">
        <v>814</v>
      </c>
      <c r="I202" s="794">
        <v>4.4174086480330459E-5</v>
      </c>
      <c r="J202" s="794">
        <v>2.474451869755403</v>
      </c>
      <c r="K202" s="771"/>
    </row>
    <row r="203" spans="1:11" ht="18.75" customHeight="1" outlineLevel="2">
      <c r="A203" s="791" t="s">
        <v>776</v>
      </c>
      <c r="B203" s="791" t="s">
        <v>777</v>
      </c>
      <c r="C203" s="791" t="s">
        <v>778</v>
      </c>
      <c r="D203" s="792" t="s">
        <v>779</v>
      </c>
      <c r="E203" s="793" t="s">
        <v>947</v>
      </c>
      <c r="F203" s="793" t="s">
        <v>983</v>
      </c>
      <c r="G203" s="793" t="s">
        <v>813</v>
      </c>
      <c r="H203" s="793" t="s">
        <v>814</v>
      </c>
      <c r="I203" s="794">
        <v>2.9725002441750793E-3</v>
      </c>
      <c r="J203" s="794">
        <v>66.034510731561554</v>
      </c>
      <c r="K203" s="771"/>
    </row>
    <row r="204" spans="1:11" ht="18.75" customHeight="1" outlineLevel="2">
      <c r="A204" s="791" t="s">
        <v>776</v>
      </c>
      <c r="B204" s="791" t="s">
        <v>777</v>
      </c>
      <c r="C204" s="791" t="s">
        <v>778</v>
      </c>
      <c r="D204" s="792" t="s">
        <v>779</v>
      </c>
      <c r="E204" s="793" t="s">
        <v>947</v>
      </c>
      <c r="F204" s="793" t="s">
        <v>984</v>
      </c>
      <c r="G204" s="793" t="s">
        <v>813</v>
      </c>
      <c r="H204" s="793" t="s">
        <v>814</v>
      </c>
      <c r="I204" s="794">
        <v>7.8171468623501779E-4</v>
      </c>
      <c r="J204" s="794">
        <v>13.631629096807469</v>
      </c>
      <c r="K204" s="771"/>
    </row>
    <row r="205" spans="1:11" ht="18.75" customHeight="1" outlineLevel="2">
      <c r="A205" s="791" t="s">
        <v>776</v>
      </c>
      <c r="B205" s="791" t="s">
        <v>777</v>
      </c>
      <c r="C205" s="791" t="s">
        <v>778</v>
      </c>
      <c r="D205" s="792" t="s">
        <v>779</v>
      </c>
      <c r="E205" s="793" t="s">
        <v>947</v>
      </c>
      <c r="F205" s="793" t="s">
        <v>985</v>
      </c>
      <c r="G205" s="793" t="s">
        <v>813</v>
      </c>
      <c r="H205" s="793" t="s">
        <v>814</v>
      </c>
      <c r="I205" s="794">
        <v>1.8476675742677561E-3</v>
      </c>
      <c r="J205" s="794">
        <v>90.018211815699487</v>
      </c>
      <c r="K205" s="771"/>
    </row>
    <row r="206" spans="1:11" ht="18.75" customHeight="1" outlineLevel="2">
      <c r="A206" s="791" t="s">
        <v>776</v>
      </c>
      <c r="B206" s="791" t="s">
        <v>777</v>
      </c>
      <c r="C206" s="791" t="s">
        <v>778</v>
      </c>
      <c r="D206" s="792" t="s">
        <v>779</v>
      </c>
      <c r="E206" s="793" t="s">
        <v>947</v>
      </c>
      <c r="F206" s="793" t="s">
        <v>986</v>
      </c>
      <c r="G206" s="793" t="s">
        <v>813</v>
      </c>
      <c r="H206" s="793" t="s">
        <v>814</v>
      </c>
      <c r="I206" s="794">
        <v>3.1686705293236094E-4</v>
      </c>
      <c r="J206" s="794">
        <v>10.606412147500976</v>
      </c>
      <c r="K206" s="771"/>
    </row>
    <row r="207" spans="1:11" ht="18.75" customHeight="1" outlineLevel="2">
      <c r="A207" s="791" t="s">
        <v>776</v>
      </c>
      <c r="B207" s="791" t="s">
        <v>777</v>
      </c>
      <c r="C207" s="791" t="s">
        <v>778</v>
      </c>
      <c r="D207" s="792" t="s">
        <v>779</v>
      </c>
      <c r="E207" s="793" t="s">
        <v>947</v>
      </c>
      <c r="F207" s="793" t="s">
        <v>987</v>
      </c>
      <c r="G207" s="793" t="s">
        <v>813</v>
      </c>
      <c r="H207" s="793" t="s">
        <v>814</v>
      </c>
      <c r="I207" s="794">
        <v>8.9086737819051983E-6</v>
      </c>
      <c r="J207" s="794">
        <v>0.26932008826877124</v>
      </c>
      <c r="K207" s="771"/>
    </row>
    <row r="208" spans="1:11" ht="18.75" customHeight="1" outlineLevel="2">
      <c r="A208" s="791" t="s">
        <v>776</v>
      </c>
      <c r="B208" s="791" t="s">
        <v>777</v>
      </c>
      <c r="C208" s="791" t="s">
        <v>778</v>
      </c>
      <c r="D208" s="792" t="s">
        <v>779</v>
      </c>
      <c r="E208" s="793" t="s">
        <v>947</v>
      </c>
      <c r="F208" s="793" t="s">
        <v>988</v>
      </c>
      <c r="G208" s="793" t="s">
        <v>791</v>
      </c>
      <c r="H208" s="793" t="s">
        <v>826</v>
      </c>
      <c r="I208" s="794">
        <v>1.5936410265300282E-6</v>
      </c>
      <c r="J208" s="794">
        <v>1.3621491695657639E-2</v>
      </c>
      <c r="K208" s="771"/>
    </row>
    <row r="209" spans="1:11" ht="18.75" customHeight="1" outlineLevel="2">
      <c r="A209" s="791" t="s">
        <v>776</v>
      </c>
      <c r="B209" s="791" t="s">
        <v>777</v>
      </c>
      <c r="C209" s="791" t="s">
        <v>778</v>
      </c>
      <c r="D209" s="792" t="s">
        <v>779</v>
      </c>
      <c r="E209" s="793" t="s">
        <v>947</v>
      </c>
      <c r="F209" s="793" t="s">
        <v>989</v>
      </c>
      <c r="G209" s="793" t="s">
        <v>791</v>
      </c>
      <c r="H209" s="793" t="s">
        <v>826</v>
      </c>
      <c r="I209" s="794">
        <v>9.6399764426918638E-3</v>
      </c>
      <c r="J209" s="794">
        <v>565.5940263764262</v>
      </c>
      <c r="K209" s="771"/>
    </row>
    <row r="210" spans="1:11" ht="18.75" customHeight="1" outlineLevel="2">
      <c r="A210" s="791" t="s">
        <v>776</v>
      </c>
      <c r="B210" s="791" t="s">
        <v>777</v>
      </c>
      <c r="C210" s="791" t="s">
        <v>778</v>
      </c>
      <c r="D210" s="792" t="s">
        <v>779</v>
      </c>
      <c r="E210" s="793" t="s">
        <v>947</v>
      </c>
      <c r="F210" s="793" t="s">
        <v>990</v>
      </c>
      <c r="G210" s="793" t="s">
        <v>791</v>
      </c>
      <c r="H210" s="793" t="s">
        <v>826</v>
      </c>
      <c r="I210" s="794">
        <v>4.6010628961267456E-4</v>
      </c>
      <c r="J210" s="794">
        <v>50.710320420701528</v>
      </c>
      <c r="K210" s="771"/>
    </row>
    <row r="211" spans="1:11" ht="18.75" customHeight="1" outlineLevel="2">
      <c r="A211" s="791" t="s">
        <v>776</v>
      </c>
      <c r="B211" s="791" t="s">
        <v>777</v>
      </c>
      <c r="C211" s="791" t="s">
        <v>778</v>
      </c>
      <c r="D211" s="792" t="s">
        <v>779</v>
      </c>
      <c r="E211" s="793" t="s">
        <v>947</v>
      </c>
      <c r="F211" s="793" t="s">
        <v>991</v>
      </c>
      <c r="G211" s="793" t="s">
        <v>791</v>
      </c>
      <c r="H211" s="793" t="s">
        <v>826</v>
      </c>
      <c r="I211" s="794">
        <v>3.6546573295085764E-6</v>
      </c>
      <c r="J211" s="794">
        <v>0.28068523393968392</v>
      </c>
      <c r="K211" s="771"/>
    </row>
    <row r="212" spans="1:11" ht="18.75" customHeight="1" outlineLevel="2">
      <c r="A212" s="791" t="s">
        <v>776</v>
      </c>
      <c r="B212" s="791" t="s">
        <v>777</v>
      </c>
      <c r="C212" s="791" t="s">
        <v>778</v>
      </c>
      <c r="D212" s="792" t="s">
        <v>779</v>
      </c>
      <c r="E212" s="793" t="s">
        <v>947</v>
      </c>
      <c r="F212" s="793" t="s">
        <v>992</v>
      </c>
      <c r="G212" s="793" t="s">
        <v>791</v>
      </c>
      <c r="H212" s="793" t="s">
        <v>826</v>
      </c>
      <c r="I212" s="794">
        <v>7.1242335977786813E-7</v>
      </c>
      <c r="J212" s="794">
        <v>5.8963417441724973E-2</v>
      </c>
      <c r="K212" s="771"/>
    </row>
    <row r="213" spans="1:11" ht="18.75" customHeight="1" outlineLevel="2">
      <c r="A213" s="791" t="s">
        <v>776</v>
      </c>
      <c r="B213" s="791" t="s">
        <v>777</v>
      </c>
      <c r="C213" s="791" t="s">
        <v>778</v>
      </c>
      <c r="D213" s="792" t="s">
        <v>779</v>
      </c>
      <c r="E213" s="793" t="s">
        <v>947</v>
      </c>
      <c r="F213" s="793" t="s">
        <v>993</v>
      </c>
      <c r="G213" s="793" t="s">
        <v>791</v>
      </c>
      <c r="H213" s="793" t="s">
        <v>826</v>
      </c>
      <c r="I213" s="794">
        <v>4.6770495307257802E-5</v>
      </c>
      <c r="J213" s="794">
        <v>4.3004568643507328</v>
      </c>
      <c r="K213" s="771"/>
    </row>
    <row r="214" spans="1:11" ht="18.75" customHeight="1" outlineLevel="2">
      <c r="A214" s="791" t="s">
        <v>776</v>
      </c>
      <c r="B214" s="791" t="s">
        <v>777</v>
      </c>
      <c r="C214" s="791" t="s">
        <v>778</v>
      </c>
      <c r="D214" s="792" t="s">
        <v>779</v>
      </c>
      <c r="E214" s="793" t="s">
        <v>947</v>
      </c>
      <c r="F214" s="793" t="s">
        <v>994</v>
      </c>
      <c r="G214" s="793" t="s">
        <v>791</v>
      </c>
      <c r="H214" s="793" t="s">
        <v>826</v>
      </c>
      <c r="I214" s="794">
        <v>9.8884839360735464E-8</v>
      </c>
      <c r="J214" s="794">
        <v>1.189803874112279E-2</v>
      </c>
      <c r="K214" s="771"/>
    </row>
    <row r="215" spans="1:11" ht="18.75" customHeight="1" outlineLevel="2">
      <c r="A215" s="791" t="s">
        <v>776</v>
      </c>
      <c r="B215" s="791" t="s">
        <v>777</v>
      </c>
      <c r="C215" s="791" t="s">
        <v>778</v>
      </c>
      <c r="D215" s="792" t="s">
        <v>779</v>
      </c>
      <c r="E215" s="793" t="s">
        <v>947</v>
      </c>
      <c r="F215" s="793" t="s">
        <v>995</v>
      </c>
      <c r="G215" s="793" t="s">
        <v>791</v>
      </c>
      <c r="H215" s="793" t="s">
        <v>826</v>
      </c>
      <c r="I215" s="794">
        <v>4.2096387410862381E-5</v>
      </c>
      <c r="J215" s="794">
        <v>3.9763412281670751</v>
      </c>
      <c r="K215" s="771"/>
    </row>
    <row r="216" spans="1:11" ht="18.75" customHeight="1" outlineLevel="2">
      <c r="A216" s="791" t="s">
        <v>776</v>
      </c>
      <c r="B216" s="791" t="s">
        <v>777</v>
      </c>
      <c r="C216" s="791" t="s">
        <v>778</v>
      </c>
      <c r="D216" s="792" t="s">
        <v>779</v>
      </c>
      <c r="E216" s="793" t="s">
        <v>947</v>
      </c>
      <c r="F216" s="793" t="s">
        <v>996</v>
      </c>
      <c r="G216" s="793" t="s">
        <v>791</v>
      </c>
      <c r="H216" s="793" t="s">
        <v>826</v>
      </c>
      <c r="I216" s="794">
        <v>1.2446547082752718E-4</v>
      </c>
      <c r="J216" s="794">
        <v>11.065503670944043</v>
      </c>
      <c r="K216" s="771"/>
    </row>
    <row r="217" spans="1:11" ht="18.75" customHeight="1" outlineLevel="2">
      <c r="A217" s="791" t="s">
        <v>776</v>
      </c>
      <c r="B217" s="791" t="s">
        <v>777</v>
      </c>
      <c r="C217" s="791" t="s">
        <v>778</v>
      </c>
      <c r="D217" s="792" t="s">
        <v>779</v>
      </c>
      <c r="E217" s="793" t="s">
        <v>947</v>
      </c>
      <c r="F217" s="793" t="s">
        <v>997</v>
      </c>
      <c r="G217" s="793" t="s">
        <v>791</v>
      </c>
      <c r="H217" s="793" t="s">
        <v>826</v>
      </c>
      <c r="I217" s="794">
        <v>1.8876658005991049E-4</v>
      </c>
      <c r="J217" s="794">
        <v>8.15938836685004</v>
      </c>
      <c r="K217" s="771"/>
    </row>
    <row r="218" spans="1:11" ht="18.75" customHeight="1" outlineLevel="2">
      <c r="A218" s="791" t="s">
        <v>776</v>
      </c>
      <c r="B218" s="791" t="s">
        <v>777</v>
      </c>
      <c r="C218" s="791" t="s">
        <v>778</v>
      </c>
      <c r="D218" s="792" t="s">
        <v>779</v>
      </c>
      <c r="E218" s="793" t="s">
        <v>947</v>
      </c>
      <c r="F218" s="793" t="s">
        <v>998</v>
      </c>
      <c r="G218" s="793" t="s">
        <v>794</v>
      </c>
      <c r="H218" s="793" t="s">
        <v>828</v>
      </c>
      <c r="I218" s="794">
        <v>1.1683914220979055E-2</v>
      </c>
      <c r="J218" s="794">
        <v>427.24533192645958</v>
      </c>
      <c r="K218" s="771"/>
    </row>
    <row r="219" spans="1:11" ht="18.75" customHeight="1" outlineLevel="2">
      <c r="A219" s="791" t="s">
        <v>776</v>
      </c>
      <c r="B219" s="791" t="s">
        <v>777</v>
      </c>
      <c r="C219" s="791" t="s">
        <v>778</v>
      </c>
      <c r="D219" s="792" t="s">
        <v>779</v>
      </c>
      <c r="E219" s="793" t="s">
        <v>947</v>
      </c>
      <c r="F219" s="793" t="s">
        <v>999</v>
      </c>
      <c r="G219" s="793" t="s">
        <v>794</v>
      </c>
      <c r="H219" s="793" t="s">
        <v>828</v>
      </c>
      <c r="I219" s="794">
        <v>2.7554258966484483E-3</v>
      </c>
      <c r="J219" s="794">
        <v>100.83770017781221</v>
      </c>
      <c r="K219" s="771"/>
    </row>
    <row r="220" spans="1:11" ht="18.75" customHeight="1" outlineLevel="2">
      <c r="A220" s="791" t="s">
        <v>776</v>
      </c>
      <c r="B220" s="791" t="s">
        <v>777</v>
      </c>
      <c r="C220" s="791" t="s">
        <v>778</v>
      </c>
      <c r="D220" s="792" t="s">
        <v>779</v>
      </c>
      <c r="E220" s="793" t="s">
        <v>947</v>
      </c>
      <c r="F220" s="793" t="s">
        <v>1000</v>
      </c>
      <c r="G220" s="793" t="s">
        <v>794</v>
      </c>
      <c r="H220" s="793" t="s">
        <v>828</v>
      </c>
      <c r="I220" s="794">
        <v>7.7333213903265389E-3</v>
      </c>
      <c r="J220" s="794">
        <v>279.7619045279784</v>
      </c>
      <c r="K220" s="771"/>
    </row>
    <row r="221" spans="1:11" ht="18.75" customHeight="1" outlineLevel="2">
      <c r="A221" s="791" t="s">
        <v>776</v>
      </c>
      <c r="B221" s="791" t="s">
        <v>777</v>
      </c>
      <c r="C221" s="791" t="s">
        <v>778</v>
      </c>
      <c r="D221" s="792" t="s">
        <v>779</v>
      </c>
      <c r="E221" s="793" t="s">
        <v>947</v>
      </c>
      <c r="F221" s="793" t="s">
        <v>1001</v>
      </c>
      <c r="G221" s="793" t="s">
        <v>794</v>
      </c>
      <c r="H221" s="793" t="s">
        <v>828</v>
      </c>
      <c r="I221" s="794">
        <v>6.5301474854260362E-3</v>
      </c>
      <c r="J221" s="794">
        <v>142.04366032990811</v>
      </c>
      <c r="K221" s="771"/>
    </row>
    <row r="222" spans="1:11" ht="18.75" customHeight="1" outlineLevel="2">
      <c r="A222" s="791" t="s">
        <v>776</v>
      </c>
      <c r="B222" s="791" t="s">
        <v>777</v>
      </c>
      <c r="C222" s="791" t="s">
        <v>778</v>
      </c>
      <c r="D222" s="792" t="s">
        <v>779</v>
      </c>
      <c r="E222" s="793" t="s">
        <v>947</v>
      </c>
      <c r="F222" s="793" t="s">
        <v>1002</v>
      </c>
      <c r="G222" s="793" t="s">
        <v>794</v>
      </c>
      <c r="H222" s="793" t="s">
        <v>828</v>
      </c>
      <c r="I222" s="794">
        <v>3.2483816190121605E-4</v>
      </c>
      <c r="J222" s="794">
        <v>13.661035106483661</v>
      </c>
      <c r="K222" s="771"/>
    </row>
    <row r="223" spans="1:11" ht="18.75" customHeight="1" outlineLevel="2">
      <c r="A223" s="791" t="s">
        <v>776</v>
      </c>
      <c r="B223" s="791" t="s">
        <v>777</v>
      </c>
      <c r="C223" s="791" t="s">
        <v>778</v>
      </c>
      <c r="D223" s="792" t="s">
        <v>779</v>
      </c>
      <c r="E223" s="793" t="s">
        <v>947</v>
      </c>
      <c r="F223" s="793" t="s">
        <v>1003</v>
      </c>
      <c r="G223" s="793" t="s">
        <v>794</v>
      </c>
      <c r="H223" s="793" t="s">
        <v>828</v>
      </c>
      <c r="I223" s="794">
        <v>3.7580073935678264E-4</v>
      </c>
      <c r="J223" s="794">
        <v>12.091112922909236</v>
      </c>
      <c r="K223" s="771"/>
    </row>
    <row r="224" spans="1:11" ht="18.75" customHeight="1" outlineLevel="2">
      <c r="A224" s="791" t="s">
        <v>776</v>
      </c>
      <c r="B224" s="791" t="s">
        <v>777</v>
      </c>
      <c r="C224" s="791" t="s">
        <v>778</v>
      </c>
      <c r="D224" s="792" t="s">
        <v>779</v>
      </c>
      <c r="E224" s="793" t="s">
        <v>947</v>
      </c>
      <c r="F224" s="793" t="s">
        <v>1004</v>
      </c>
      <c r="G224" s="793" t="s">
        <v>833</v>
      </c>
      <c r="H224" s="793" t="s">
        <v>834</v>
      </c>
      <c r="I224" s="794">
        <v>8.630780199352598E-3</v>
      </c>
      <c r="J224" s="794">
        <v>565.64258361239717</v>
      </c>
      <c r="K224" s="771"/>
    </row>
    <row r="225" spans="1:11" ht="18.75" customHeight="1" outlineLevel="2">
      <c r="A225" s="791" t="s">
        <v>776</v>
      </c>
      <c r="B225" s="791" t="s">
        <v>777</v>
      </c>
      <c r="C225" s="791" t="s">
        <v>778</v>
      </c>
      <c r="D225" s="792" t="s">
        <v>779</v>
      </c>
      <c r="E225" s="793" t="s">
        <v>947</v>
      </c>
      <c r="F225" s="793" t="s">
        <v>1005</v>
      </c>
      <c r="G225" s="793" t="s">
        <v>1006</v>
      </c>
      <c r="H225" s="793" t="s">
        <v>804</v>
      </c>
      <c r="I225" s="794">
        <v>6.1946442453930173E-4</v>
      </c>
      <c r="J225" s="794">
        <v>6.0527728430742407</v>
      </c>
      <c r="K225" s="771"/>
    </row>
    <row r="226" spans="1:11" ht="18.75" customHeight="1" outlineLevel="2">
      <c r="A226" s="791" t="s">
        <v>776</v>
      </c>
      <c r="B226" s="791" t="s">
        <v>777</v>
      </c>
      <c r="C226" s="791" t="s">
        <v>778</v>
      </c>
      <c r="D226" s="792" t="s">
        <v>779</v>
      </c>
      <c r="E226" s="793" t="s">
        <v>947</v>
      </c>
      <c r="F226" s="793" t="s">
        <v>1007</v>
      </c>
      <c r="G226" s="793" t="s">
        <v>244</v>
      </c>
      <c r="H226" s="793" t="s">
        <v>911</v>
      </c>
      <c r="I226" s="794">
        <v>4.5739289976211598E-3</v>
      </c>
      <c r="J226" s="794">
        <v>101.9719284647397</v>
      </c>
      <c r="K226" s="771"/>
    </row>
    <row r="227" spans="1:11" ht="18.75" customHeight="1" outlineLevel="2">
      <c r="A227" s="791" t="s">
        <v>776</v>
      </c>
      <c r="B227" s="791" t="s">
        <v>1008</v>
      </c>
      <c r="C227" s="791" t="s">
        <v>1009</v>
      </c>
      <c r="D227" s="792" t="s">
        <v>779</v>
      </c>
      <c r="E227" s="793" t="s">
        <v>780</v>
      </c>
      <c r="F227" s="793" t="s">
        <v>781</v>
      </c>
      <c r="G227" s="793" t="s">
        <v>782</v>
      </c>
      <c r="H227" s="793" t="s">
        <v>783</v>
      </c>
      <c r="I227" s="794">
        <v>2.4464302430857024E-2</v>
      </c>
      <c r="J227" s="794">
        <v>0.35987560037329785</v>
      </c>
      <c r="K227" s="771"/>
    </row>
    <row r="228" spans="1:11" ht="18.75" customHeight="1" outlineLevel="2">
      <c r="A228" s="791" t="s">
        <v>776</v>
      </c>
      <c r="B228" s="791" t="s">
        <v>1008</v>
      </c>
      <c r="C228" s="791" t="s">
        <v>1009</v>
      </c>
      <c r="D228" s="792" t="s">
        <v>779</v>
      </c>
      <c r="E228" s="793" t="s">
        <v>780</v>
      </c>
      <c r="F228" s="793" t="s">
        <v>784</v>
      </c>
      <c r="G228" s="793" t="s">
        <v>785</v>
      </c>
      <c r="H228" s="793" t="s">
        <v>783</v>
      </c>
      <c r="I228" s="794">
        <v>6.0608742917230982</v>
      </c>
      <c r="J228" s="794">
        <v>984.24951274179341</v>
      </c>
      <c r="K228" s="771"/>
    </row>
    <row r="229" spans="1:11" ht="18.75" customHeight="1" outlineLevel="2">
      <c r="A229" s="791" t="s">
        <v>776</v>
      </c>
      <c r="B229" s="791" t="s">
        <v>1008</v>
      </c>
      <c r="C229" s="791" t="s">
        <v>1009</v>
      </c>
      <c r="D229" s="792" t="s">
        <v>779</v>
      </c>
      <c r="E229" s="793" t="s">
        <v>780</v>
      </c>
      <c r="F229" s="793" t="s">
        <v>786</v>
      </c>
      <c r="G229" s="793" t="s">
        <v>785</v>
      </c>
      <c r="H229" s="793" t="s">
        <v>783</v>
      </c>
      <c r="I229" s="794">
        <v>4.9220288474761129E-3</v>
      </c>
      <c r="J229" s="794">
        <v>0.83383357643601907</v>
      </c>
      <c r="K229" s="771"/>
    </row>
    <row r="230" spans="1:11" ht="18.75" customHeight="1" outlineLevel="2">
      <c r="A230" s="791" t="s">
        <v>776</v>
      </c>
      <c r="B230" s="791" t="s">
        <v>1008</v>
      </c>
      <c r="C230" s="791" t="s">
        <v>1009</v>
      </c>
      <c r="D230" s="792" t="s">
        <v>779</v>
      </c>
      <c r="E230" s="793" t="s">
        <v>780</v>
      </c>
      <c r="F230" s="793" t="s">
        <v>787</v>
      </c>
      <c r="G230" s="793" t="s">
        <v>785</v>
      </c>
      <c r="H230" s="793" t="s">
        <v>783</v>
      </c>
      <c r="I230" s="794">
        <v>2.4734503881524393E-3</v>
      </c>
      <c r="J230" s="794">
        <v>0.45438276432343516</v>
      </c>
      <c r="K230" s="771"/>
    </row>
    <row r="231" spans="1:11" ht="18.75" customHeight="1" outlineLevel="2">
      <c r="A231" s="791" t="s">
        <v>776</v>
      </c>
      <c r="B231" s="791" t="s">
        <v>1008</v>
      </c>
      <c r="C231" s="791" t="s">
        <v>1009</v>
      </c>
      <c r="D231" s="792" t="s">
        <v>779</v>
      </c>
      <c r="E231" s="793" t="s">
        <v>780</v>
      </c>
      <c r="F231" s="793" t="s">
        <v>788</v>
      </c>
      <c r="G231" s="793" t="s">
        <v>785</v>
      </c>
      <c r="H231" s="793" t="s">
        <v>783</v>
      </c>
      <c r="I231" s="794">
        <v>2.1260303339230648E-2</v>
      </c>
      <c r="J231" s="794">
        <v>3.386575407673003</v>
      </c>
      <c r="K231" s="771"/>
    </row>
    <row r="232" spans="1:11" ht="18.75" customHeight="1" outlineLevel="2">
      <c r="A232" s="791" t="s">
        <v>776</v>
      </c>
      <c r="B232" s="791" t="s">
        <v>1008</v>
      </c>
      <c r="C232" s="791" t="s">
        <v>1009</v>
      </c>
      <c r="D232" s="792" t="s">
        <v>779</v>
      </c>
      <c r="E232" s="793" t="s">
        <v>780</v>
      </c>
      <c r="F232" s="793" t="s">
        <v>789</v>
      </c>
      <c r="G232" s="793" t="s">
        <v>785</v>
      </c>
      <c r="H232" s="793" t="s">
        <v>783</v>
      </c>
      <c r="I232" s="794">
        <v>2.2640083295758052E-2</v>
      </c>
      <c r="J232" s="794">
        <v>5.5692669319305628</v>
      </c>
      <c r="K232" s="771"/>
    </row>
    <row r="233" spans="1:11" ht="18.75" customHeight="1" outlineLevel="2">
      <c r="A233" s="791" t="s">
        <v>776</v>
      </c>
      <c r="B233" s="791" t="s">
        <v>1008</v>
      </c>
      <c r="C233" s="791" t="s">
        <v>1009</v>
      </c>
      <c r="D233" s="792" t="s">
        <v>779</v>
      </c>
      <c r="E233" s="793" t="s">
        <v>780</v>
      </c>
      <c r="F233" s="793" t="s">
        <v>790</v>
      </c>
      <c r="G233" s="793" t="s">
        <v>791</v>
      </c>
      <c r="H233" s="793" t="s">
        <v>783</v>
      </c>
      <c r="I233" s="794">
        <v>1.7800034874653147E-3</v>
      </c>
      <c r="J233" s="794">
        <v>2.3643623660414156E-2</v>
      </c>
      <c r="K233" s="771"/>
    </row>
    <row r="234" spans="1:11" ht="18.75" customHeight="1" outlineLevel="2">
      <c r="A234" s="791" t="s">
        <v>776</v>
      </c>
      <c r="B234" s="791" t="s">
        <v>1008</v>
      </c>
      <c r="C234" s="791" t="s">
        <v>1009</v>
      </c>
      <c r="D234" s="792" t="s">
        <v>779</v>
      </c>
      <c r="E234" s="793" t="s">
        <v>780</v>
      </c>
      <c r="F234" s="793" t="s">
        <v>792</v>
      </c>
      <c r="G234" s="793" t="s">
        <v>791</v>
      </c>
      <c r="H234" s="793" t="s">
        <v>783</v>
      </c>
      <c r="I234" s="794">
        <v>1.3212676424856819E-2</v>
      </c>
      <c r="J234" s="794">
        <v>2.5660296058183025</v>
      </c>
      <c r="K234" s="771"/>
    </row>
    <row r="235" spans="1:11" ht="18.75" customHeight="1" outlineLevel="2">
      <c r="A235" s="791" t="s">
        <v>776</v>
      </c>
      <c r="B235" s="791" t="s">
        <v>1008</v>
      </c>
      <c r="C235" s="791" t="s">
        <v>1009</v>
      </c>
      <c r="D235" s="792" t="s">
        <v>779</v>
      </c>
      <c r="E235" s="793" t="s">
        <v>780</v>
      </c>
      <c r="F235" s="793" t="s">
        <v>793</v>
      </c>
      <c r="G235" s="793" t="s">
        <v>794</v>
      </c>
      <c r="H235" s="793" t="s">
        <v>783</v>
      </c>
      <c r="I235" s="794">
        <v>6.6022174730281149</v>
      </c>
      <c r="J235" s="794">
        <v>171.34506848645225</v>
      </c>
      <c r="K235" s="771"/>
    </row>
    <row r="236" spans="1:11" ht="18.75" customHeight="1" outlineLevel="2">
      <c r="A236" s="791" t="s">
        <v>776</v>
      </c>
      <c r="B236" s="791" t="s">
        <v>1008</v>
      </c>
      <c r="C236" s="791" t="s">
        <v>1009</v>
      </c>
      <c r="D236" s="792" t="s">
        <v>779</v>
      </c>
      <c r="E236" s="793" t="s">
        <v>780</v>
      </c>
      <c r="F236" s="793" t="s">
        <v>795</v>
      </c>
      <c r="G236" s="793" t="s">
        <v>794</v>
      </c>
      <c r="H236" s="793" t="s">
        <v>783</v>
      </c>
      <c r="I236" s="794">
        <v>0.19965007425808939</v>
      </c>
      <c r="J236" s="794">
        <v>8.180307441296641</v>
      </c>
      <c r="K236" s="771"/>
    </row>
    <row r="237" spans="1:11" ht="18.75" customHeight="1" outlineLevel="2">
      <c r="A237" s="791" t="s">
        <v>776</v>
      </c>
      <c r="B237" s="791" t="s">
        <v>1008</v>
      </c>
      <c r="C237" s="791" t="s">
        <v>1009</v>
      </c>
      <c r="D237" s="792" t="s">
        <v>779</v>
      </c>
      <c r="E237" s="793" t="s">
        <v>780</v>
      </c>
      <c r="F237" s="793" t="s">
        <v>796</v>
      </c>
      <c r="G237" s="793" t="s">
        <v>794</v>
      </c>
      <c r="H237" s="793" t="s">
        <v>783</v>
      </c>
      <c r="I237" s="794">
        <v>0.10377325183669595</v>
      </c>
      <c r="J237" s="794">
        <v>11.95867974671793</v>
      </c>
      <c r="K237" s="771"/>
    </row>
    <row r="238" spans="1:11" ht="18.75" customHeight="1" outlineLevel="2">
      <c r="A238" s="791" t="s">
        <v>776</v>
      </c>
      <c r="B238" s="791" t="s">
        <v>1008</v>
      </c>
      <c r="C238" s="791" t="s">
        <v>1009</v>
      </c>
      <c r="D238" s="792" t="s">
        <v>779</v>
      </c>
      <c r="E238" s="793" t="s">
        <v>780</v>
      </c>
      <c r="F238" s="793" t="s">
        <v>797</v>
      </c>
      <c r="G238" s="793" t="s">
        <v>794</v>
      </c>
      <c r="H238" s="793" t="s">
        <v>783</v>
      </c>
      <c r="I238" s="794">
        <v>2.0293394996306438</v>
      </c>
      <c r="J238" s="794">
        <v>424.67082747413951</v>
      </c>
      <c r="K238" s="771"/>
    </row>
    <row r="239" spans="1:11" ht="18.75" customHeight="1" outlineLevel="2">
      <c r="A239" s="791" t="s">
        <v>776</v>
      </c>
      <c r="B239" s="791" t="s">
        <v>1008</v>
      </c>
      <c r="C239" s="791" t="s">
        <v>1009</v>
      </c>
      <c r="D239" s="792" t="s">
        <v>779</v>
      </c>
      <c r="E239" s="793" t="s">
        <v>662</v>
      </c>
      <c r="F239" s="793" t="s">
        <v>798</v>
      </c>
      <c r="G239" s="793" t="s">
        <v>799</v>
      </c>
      <c r="H239" s="793" t="s">
        <v>800</v>
      </c>
      <c r="I239" s="794">
        <v>1.2541844371136988</v>
      </c>
      <c r="J239" s="794">
        <v>360.36771856418113</v>
      </c>
      <c r="K239" s="771"/>
    </row>
    <row r="240" spans="1:11" ht="18.75" customHeight="1" outlineLevel="2">
      <c r="A240" s="791" t="s">
        <v>776</v>
      </c>
      <c r="B240" s="791" t="s">
        <v>1008</v>
      </c>
      <c r="C240" s="791" t="s">
        <v>1009</v>
      </c>
      <c r="D240" s="792" t="s">
        <v>779</v>
      </c>
      <c r="E240" s="793" t="s">
        <v>662</v>
      </c>
      <c r="F240" s="793" t="s">
        <v>801</v>
      </c>
      <c r="G240" s="793" t="s">
        <v>799</v>
      </c>
      <c r="H240" s="793" t="s">
        <v>800</v>
      </c>
      <c r="I240" s="794">
        <v>0.38310397222494075</v>
      </c>
      <c r="J240" s="794">
        <v>154.76357178554861</v>
      </c>
      <c r="K240" s="771"/>
    </row>
    <row r="241" spans="1:11" ht="18.75" customHeight="1" outlineLevel="2">
      <c r="A241" s="791" t="s">
        <v>776</v>
      </c>
      <c r="B241" s="791" t="s">
        <v>1008</v>
      </c>
      <c r="C241" s="791" t="s">
        <v>1009</v>
      </c>
      <c r="D241" s="792" t="s">
        <v>779</v>
      </c>
      <c r="E241" s="793" t="s">
        <v>662</v>
      </c>
      <c r="F241" s="793" t="s">
        <v>802</v>
      </c>
      <c r="G241" s="793" t="s">
        <v>799</v>
      </c>
      <c r="H241" s="793" t="s">
        <v>800</v>
      </c>
      <c r="I241" s="794">
        <v>0.17437131520028731</v>
      </c>
      <c r="J241" s="794">
        <v>224.25450089378447</v>
      </c>
      <c r="K241" s="771"/>
    </row>
    <row r="242" spans="1:11" ht="18.75" customHeight="1" outlineLevel="2">
      <c r="A242" s="791" t="s">
        <v>776</v>
      </c>
      <c r="B242" s="791" t="s">
        <v>1008</v>
      </c>
      <c r="C242" s="791" t="s">
        <v>1009</v>
      </c>
      <c r="D242" s="792" t="s">
        <v>779</v>
      </c>
      <c r="E242" s="793" t="s">
        <v>662</v>
      </c>
      <c r="F242" s="793" t="s">
        <v>803</v>
      </c>
      <c r="G242" s="793" t="s">
        <v>782</v>
      </c>
      <c r="H242" s="793" t="s">
        <v>804</v>
      </c>
      <c r="I242" s="794">
        <v>7.5620484365543056E-2</v>
      </c>
      <c r="J242" s="794">
        <v>46.92099898411098</v>
      </c>
      <c r="K242" s="771"/>
    </row>
    <row r="243" spans="1:11" ht="18.75" customHeight="1" outlineLevel="2">
      <c r="A243" s="791" t="s">
        <v>776</v>
      </c>
      <c r="B243" s="791" t="s">
        <v>1008</v>
      </c>
      <c r="C243" s="791" t="s">
        <v>1009</v>
      </c>
      <c r="D243" s="792" t="s">
        <v>779</v>
      </c>
      <c r="E243" s="793" t="s">
        <v>662</v>
      </c>
      <c r="F243" s="793" t="s">
        <v>805</v>
      </c>
      <c r="G243" s="793" t="s">
        <v>782</v>
      </c>
      <c r="H243" s="793" t="s">
        <v>804</v>
      </c>
      <c r="I243" s="794">
        <v>6.2757008045837472E-3</v>
      </c>
      <c r="J243" s="794">
        <v>3.0393618004469074</v>
      </c>
      <c r="K243" s="771"/>
    </row>
    <row r="244" spans="1:11" ht="18.75" customHeight="1" outlineLevel="2">
      <c r="A244" s="791" t="s">
        <v>776</v>
      </c>
      <c r="B244" s="791" t="s">
        <v>1008</v>
      </c>
      <c r="C244" s="791" t="s">
        <v>1009</v>
      </c>
      <c r="D244" s="792" t="s">
        <v>779</v>
      </c>
      <c r="E244" s="793" t="s">
        <v>662</v>
      </c>
      <c r="F244" s="793" t="s">
        <v>806</v>
      </c>
      <c r="G244" s="793" t="s">
        <v>782</v>
      </c>
      <c r="H244" s="793" t="s">
        <v>804</v>
      </c>
      <c r="I244" s="794">
        <v>7.6053257049917304E-3</v>
      </c>
      <c r="J244" s="794">
        <v>3.6329012385348824</v>
      </c>
      <c r="K244" s="771"/>
    </row>
    <row r="245" spans="1:11" ht="18.75" customHeight="1" outlineLevel="2">
      <c r="A245" s="791" t="s">
        <v>776</v>
      </c>
      <c r="B245" s="791" t="s">
        <v>1008</v>
      </c>
      <c r="C245" s="791" t="s">
        <v>1009</v>
      </c>
      <c r="D245" s="792" t="s">
        <v>779</v>
      </c>
      <c r="E245" s="793" t="s">
        <v>662</v>
      </c>
      <c r="F245" s="793" t="s">
        <v>807</v>
      </c>
      <c r="G245" s="793" t="s">
        <v>782</v>
      </c>
      <c r="H245" s="793" t="s">
        <v>804</v>
      </c>
      <c r="I245" s="794">
        <v>5.6244682712194177E-5</v>
      </c>
      <c r="J245" s="794">
        <v>2.5172096615128332E-2</v>
      </c>
      <c r="K245" s="771"/>
    </row>
    <row r="246" spans="1:11" ht="18.75" customHeight="1" outlineLevel="2">
      <c r="A246" s="791" t="s">
        <v>776</v>
      </c>
      <c r="B246" s="791" t="s">
        <v>1008</v>
      </c>
      <c r="C246" s="791" t="s">
        <v>1009</v>
      </c>
      <c r="D246" s="792" t="s">
        <v>779</v>
      </c>
      <c r="E246" s="793" t="s">
        <v>662</v>
      </c>
      <c r="F246" s="793" t="s">
        <v>808</v>
      </c>
      <c r="G246" s="793" t="s">
        <v>782</v>
      </c>
      <c r="H246" s="793" t="s">
        <v>804</v>
      </c>
      <c r="I246" s="794">
        <v>0.21679586640893653</v>
      </c>
      <c r="J246" s="794">
        <v>121.05537899665416</v>
      </c>
      <c r="K246" s="771"/>
    </row>
    <row r="247" spans="1:11" ht="18.75" customHeight="1" outlineLevel="2">
      <c r="A247" s="791" t="s">
        <v>776</v>
      </c>
      <c r="B247" s="791" t="s">
        <v>1008</v>
      </c>
      <c r="C247" s="791" t="s">
        <v>1009</v>
      </c>
      <c r="D247" s="792" t="s">
        <v>779</v>
      </c>
      <c r="E247" s="793" t="s">
        <v>662</v>
      </c>
      <c r="F247" s="793" t="s">
        <v>809</v>
      </c>
      <c r="G247" s="793" t="s">
        <v>782</v>
      </c>
      <c r="H247" s="793" t="s">
        <v>804</v>
      </c>
      <c r="I247" s="794">
        <v>1.5851420755340869E-3</v>
      </c>
      <c r="J247" s="794">
        <v>0.70942503798666956</v>
      </c>
      <c r="K247" s="771"/>
    </row>
    <row r="248" spans="1:11" ht="18.75" customHeight="1" outlineLevel="2">
      <c r="A248" s="791" t="s">
        <v>776</v>
      </c>
      <c r="B248" s="791" t="s">
        <v>1008</v>
      </c>
      <c r="C248" s="791" t="s">
        <v>1009</v>
      </c>
      <c r="D248" s="792" t="s">
        <v>779</v>
      </c>
      <c r="E248" s="793" t="s">
        <v>662</v>
      </c>
      <c r="F248" s="793" t="s">
        <v>810</v>
      </c>
      <c r="G248" s="793" t="s">
        <v>785</v>
      </c>
      <c r="H248" s="793" t="s">
        <v>727</v>
      </c>
      <c r="I248" s="794">
        <v>6.00269526735305E-3</v>
      </c>
      <c r="J248" s="794">
        <v>2.6864824286381483</v>
      </c>
      <c r="K248" s="771"/>
    </row>
    <row r="249" spans="1:11" ht="18.75" customHeight="1" outlineLevel="2">
      <c r="A249" s="791" t="s">
        <v>776</v>
      </c>
      <c r="B249" s="791" t="s">
        <v>1008</v>
      </c>
      <c r="C249" s="791" t="s">
        <v>1009</v>
      </c>
      <c r="D249" s="792" t="s">
        <v>779</v>
      </c>
      <c r="E249" s="793" t="s">
        <v>662</v>
      </c>
      <c r="F249" s="793" t="s">
        <v>811</v>
      </c>
      <c r="G249" s="793" t="s">
        <v>785</v>
      </c>
      <c r="H249" s="793" t="s">
        <v>727</v>
      </c>
      <c r="I249" s="794">
        <v>4.5933404035844759E-4</v>
      </c>
      <c r="J249" s="794">
        <v>0.20557316697105396</v>
      </c>
      <c r="K249" s="771"/>
    </row>
    <row r="250" spans="1:11" ht="18.75" customHeight="1" outlineLevel="2">
      <c r="A250" s="791" t="s">
        <v>776</v>
      </c>
      <c r="B250" s="791" t="s">
        <v>1008</v>
      </c>
      <c r="C250" s="791" t="s">
        <v>1009</v>
      </c>
      <c r="D250" s="792" t="s">
        <v>779</v>
      </c>
      <c r="E250" s="793" t="s">
        <v>662</v>
      </c>
      <c r="F250" s="793" t="s">
        <v>812</v>
      </c>
      <c r="G250" s="793" t="s">
        <v>813</v>
      </c>
      <c r="H250" s="793" t="s">
        <v>814</v>
      </c>
      <c r="I250" s="794">
        <v>3.0533927872615985E-2</v>
      </c>
      <c r="J250" s="794">
        <v>16.722399574460937</v>
      </c>
      <c r="K250" s="771"/>
    </row>
    <row r="251" spans="1:11" ht="18.75" customHeight="1" outlineLevel="2">
      <c r="A251" s="791" t="s">
        <v>776</v>
      </c>
      <c r="B251" s="791" t="s">
        <v>1008</v>
      </c>
      <c r="C251" s="791" t="s">
        <v>1009</v>
      </c>
      <c r="D251" s="792" t="s">
        <v>779</v>
      </c>
      <c r="E251" s="793" t="s">
        <v>662</v>
      </c>
      <c r="F251" s="793" t="s">
        <v>815</v>
      </c>
      <c r="G251" s="793" t="s">
        <v>813</v>
      </c>
      <c r="H251" s="793" t="s">
        <v>814</v>
      </c>
      <c r="I251" s="794">
        <v>0.3060158285002364</v>
      </c>
      <c r="J251" s="794">
        <v>164.46681974940535</v>
      </c>
      <c r="K251" s="771"/>
    </row>
    <row r="252" spans="1:11" ht="18.75" customHeight="1" outlineLevel="2">
      <c r="A252" s="791" t="s">
        <v>776</v>
      </c>
      <c r="B252" s="791" t="s">
        <v>1008</v>
      </c>
      <c r="C252" s="791" t="s">
        <v>1009</v>
      </c>
      <c r="D252" s="792" t="s">
        <v>779</v>
      </c>
      <c r="E252" s="793" t="s">
        <v>662</v>
      </c>
      <c r="F252" s="793" t="s">
        <v>816</v>
      </c>
      <c r="G252" s="793" t="s">
        <v>813</v>
      </c>
      <c r="H252" s="793" t="s">
        <v>814</v>
      </c>
      <c r="I252" s="794">
        <v>0.42975036799443334</v>
      </c>
      <c r="J252" s="794">
        <v>223.27553810574798</v>
      </c>
      <c r="K252" s="771"/>
    </row>
    <row r="253" spans="1:11" ht="18.75" customHeight="1" outlineLevel="2">
      <c r="A253" s="791" t="s">
        <v>776</v>
      </c>
      <c r="B253" s="791" t="s">
        <v>1008</v>
      </c>
      <c r="C253" s="791" t="s">
        <v>1009</v>
      </c>
      <c r="D253" s="792" t="s">
        <v>779</v>
      </c>
      <c r="E253" s="793" t="s">
        <v>662</v>
      </c>
      <c r="F253" s="793" t="s">
        <v>817</v>
      </c>
      <c r="G253" s="793" t="s">
        <v>813</v>
      </c>
      <c r="H253" s="793" t="s">
        <v>814</v>
      </c>
      <c r="I253" s="794">
        <v>2.8935560352934213</v>
      </c>
      <c r="J253" s="794">
        <v>1583.9437169031669</v>
      </c>
      <c r="K253" s="771"/>
    </row>
    <row r="254" spans="1:11" ht="18.75" customHeight="1" outlineLevel="2">
      <c r="A254" s="791" t="s">
        <v>776</v>
      </c>
      <c r="B254" s="791" t="s">
        <v>1008</v>
      </c>
      <c r="C254" s="791" t="s">
        <v>1009</v>
      </c>
      <c r="D254" s="792" t="s">
        <v>779</v>
      </c>
      <c r="E254" s="793" t="s">
        <v>662</v>
      </c>
      <c r="F254" s="793" t="s">
        <v>818</v>
      </c>
      <c r="G254" s="793" t="s">
        <v>813</v>
      </c>
      <c r="H254" s="793" t="s">
        <v>814</v>
      </c>
      <c r="I254" s="794">
        <v>0.52792401844294468</v>
      </c>
      <c r="J254" s="794">
        <v>310.08137963805916</v>
      </c>
      <c r="K254" s="771"/>
    </row>
    <row r="255" spans="1:11" ht="18.75" customHeight="1" outlineLevel="2">
      <c r="A255" s="791" t="s">
        <v>776</v>
      </c>
      <c r="B255" s="791" t="s">
        <v>1008</v>
      </c>
      <c r="C255" s="791" t="s">
        <v>1009</v>
      </c>
      <c r="D255" s="792" t="s">
        <v>779</v>
      </c>
      <c r="E255" s="793" t="s">
        <v>662</v>
      </c>
      <c r="F255" s="793" t="s">
        <v>819</v>
      </c>
      <c r="G255" s="793" t="s">
        <v>813</v>
      </c>
      <c r="H255" s="793" t="s">
        <v>814</v>
      </c>
      <c r="I255" s="794">
        <v>2.7379839605082723</v>
      </c>
      <c r="J255" s="794">
        <v>1384.1540576716477</v>
      </c>
      <c r="K255" s="771"/>
    </row>
    <row r="256" spans="1:11" ht="18.75" customHeight="1" outlineLevel="2">
      <c r="A256" s="791" t="s">
        <v>776</v>
      </c>
      <c r="B256" s="791" t="s">
        <v>1008</v>
      </c>
      <c r="C256" s="791" t="s">
        <v>1009</v>
      </c>
      <c r="D256" s="792" t="s">
        <v>779</v>
      </c>
      <c r="E256" s="793" t="s">
        <v>662</v>
      </c>
      <c r="F256" s="793" t="s">
        <v>820</v>
      </c>
      <c r="G256" s="793" t="s">
        <v>813</v>
      </c>
      <c r="H256" s="793" t="s">
        <v>814</v>
      </c>
      <c r="I256" s="794">
        <v>0.37210503552834695</v>
      </c>
      <c r="J256" s="794">
        <v>199.56765269698712</v>
      </c>
      <c r="K256" s="771"/>
    </row>
    <row r="257" spans="1:11" ht="18.75" customHeight="1" outlineLevel="2">
      <c r="A257" s="791" t="s">
        <v>776</v>
      </c>
      <c r="B257" s="791" t="s">
        <v>1008</v>
      </c>
      <c r="C257" s="791" t="s">
        <v>1009</v>
      </c>
      <c r="D257" s="792" t="s">
        <v>779</v>
      </c>
      <c r="E257" s="793" t="s">
        <v>662</v>
      </c>
      <c r="F257" s="793" t="s">
        <v>821</v>
      </c>
      <c r="G257" s="793" t="s">
        <v>813</v>
      </c>
      <c r="H257" s="793" t="s">
        <v>814</v>
      </c>
      <c r="I257" s="794">
        <v>2.4165270289600334</v>
      </c>
      <c r="J257" s="794">
        <v>1292.4682684801301</v>
      </c>
      <c r="K257" s="771"/>
    </row>
    <row r="258" spans="1:11" ht="18.75" customHeight="1" outlineLevel="2">
      <c r="A258" s="791" t="s">
        <v>776</v>
      </c>
      <c r="B258" s="791" t="s">
        <v>1008</v>
      </c>
      <c r="C258" s="791" t="s">
        <v>1009</v>
      </c>
      <c r="D258" s="792" t="s">
        <v>779</v>
      </c>
      <c r="E258" s="793" t="s">
        <v>662</v>
      </c>
      <c r="F258" s="793" t="s">
        <v>822</v>
      </c>
      <c r="G258" s="793" t="s">
        <v>813</v>
      </c>
      <c r="H258" s="793" t="s">
        <v>814</v>
      </c>
      <c r="I258" s="794">
        <v>0.67440146742546869</v>
      </c>
      <c r="J258" s="794">
        <v>98.74128696952252</v>
      </c>
      <c r="K258" s="771"/>
    </row>
    <row r="259" spans="1:11" ht="18.75" customHeight="1" outlineLevel="2">
      <c r="A259" s="791" t="s">
        <v>776</v>
      </c>
      <c r="B259" s="791" t="s">
        <v>1008</v>
      </c>
      <c r="C259" s="791" t="s">
        <v>1009</v>
      </c>
      <c r="D259" s="792" t="s">
        <v>779</v>
      </c>
      <c r="E259" s="793" t="s">
        <v>662</v>
      </c>
      <c r="F259" s="793" t="s">
        <v>823</v>
      </c>
      <c r="G259" s="793" t="s">
        <v>813</v>
      </c>
      <c r="H259" s="793" t="s">
        <v>814</v>
      </c>
      <c r="I259" s="794">
        <v>3.2142837023187374</v>
      </c>
      <c r="J259" s="794">
        <v>470.60070059677872</v>
      </c>
      <c r="K259" s="771"/>
    </row>
    <row r="260" spans="1:11" ht="18.75" customHeight="1" outlineLevel="2">
      <c r="A260" s="791" t="s">
        <v>776</v>
      </c>
      <c r="B260" s="791" t="s">
        <v>1008</v>
      </c>
      <c r="C260" s="791" t="s">
        <v>1009</v>
      </c>
      <c r="D260" s="792" t="s">
        <v>779</v>
      </c>
      <c r="E260" s="793" t="s">
        <v>662</v>
      </c>
      <c r="F260" s="793" t="s">
        <v>824</v>
      </c>
      <c r="G260" s="793" t="s">
        <v>813</v>
      </c>
      <c r="H260" s="793" t="s">
        <v>814</v>
      </c>
      <c r="I260" s="794">
        <v>1.3821593541217987E-3</v>
      </c>
      <c r="J260" s="794">
        <v>0.68967101926490759</v>
      </c>
      <c r="K260" s="771"/>
    </row>
    <row r="261" spans="1:11" ht="18.75" customHeight="1" outlineLevel="2">
      <c r="A261" s="791" t="s">
        <v>776</v>
      </c>
      <c r="B261" s="791" t="s">
        <v>1008</v>
      </c>
      <c r="C261" s="791" t="s">
        <v>1009</v>
      </c>
      <c r="D261" s="792" t="s">
        <v>779</v>
      </c>
      <c r="E261" s="793" t="s">
        <v>662</v>
      </c>
      <c r="F261" s="793" t="s">
        <v>825</v>
      </c>
      <c r="G261" s="793" t="s">
        <v>791</v>
      </c>
      <c r="H261" s="793" t="s">
        <v>826</v>
      </c>
      <c r="I261" s="794">
        <v>2.2105276798247567E-4</v>
      </c>
      <c r="J261" s="794">
        <v>0.13442712645825705</v>
      </c>
      <c r="K261" s="771"/>
    </row>
    <row r="262" spans="1:11" ht="18.75" customHeight="1" outlineLevel="2">
      <c r="A262" s="791" t="s">
        <v>776</v>
      </c>
      <c r="B262" s="791" t="s">
        <v>1008</v>
      </c>
      <c r="C262" s="791" t="s">
        <v>1009</v>
      </c>
      <c r="D262" s="792" t="s">
        <v>779</v>
      </c>
      <c r="E262" s="793" t="s">
        <v>662</v>
      </c>
      <c r="F262" s="793" t="s">
        <v>827</v>
      </c>
      <c r="G262" s="793" t="s">
        <v>794</v>
      </c>
      <c r="H262" s="793" t="s">
        <v>828</v>
      </c>
      <c r="I262" s="794">
        <v>5.8183598757131881E-2</v>
      </c>
      <c r="J262" s="794">
        <v>28.807281256056214</v>
      </c>
      <c r="K262" s="771"/>
    </row>
    <row r="263" spans="1:11" ht="18.75" customHeight="1" outlineLevel="2">
      <c r="A263" s="791" t="s">
        <v>776</v>
      </c>
      <c r="B263" s="791" t="s">
        <v>1008</v>
      </c>
      <c r="C263" s="791" t="s">
        <v>1009</v>
      </c>
      <c r="D263" s="792" t="s">
        <v>779</v>
      </c>
      <c r="E263" s="793" t="s">
        <v>662</v>
      </c>
      <c r="F263" s="793" t="s">
        <v>829</v>
      </c>
      <c r="G263" s="793" t="s">
        <v>794</v>
      </c>
      <c r="H263" s="793" t="s">
        <v>828</v>
      </c>
      <c r="I263" s="794">
        <v>0.37130427667152111</v>
      </c>
      <c r="J263" s="794">
        <v>192.17679593140116</v>
      </c>
      <c r="K263" s="771"/>
    </row>
    <row r="264" spans="1:11" ht="18.75" customHeight="1" outlineLevel="2">
      <c r="A264" s="791" t="s">
        <v>776</v>
      </c>
      <c r="B264" s="791" t="s">
        <v>1008</v>
      </c>
      <c r="C264" s="791" t="s">
        <v>1009</v>
      </c>
      <c r="D264" s="792" t="s">
        <v>779</v>
      </c>
      <c r="E264" s="793" t="s">
        <v>662</v>
      </c>
      <c r="F264" s="793" t="s">
        <v>830</v>
      </c>
      <c r="G264" s="793" t="s">
        <v>794</v>
      </c>
      <c r="H264" s="793" t="s">
        <v>828</v>
      </c>
      <c r="I264" s="794">
        <v>1.4892953329104187E-4</v>
      </c>
      <c r="J264" s="794">
        <v>6.665285309036123E-2</v>
      </c>
      <c r="K264" s="771"/>
    </row>
    <row r="265" spans="1:11" ht="18.75" customHeight="1" outlineLevel="2">
      <c r="A265" s="791" t="s">
        <v>776</v>
      </c>
      <c r="B265" s="791" t="s">
        <v>1008</v>
      </c>
      <c r="C265" s="791" t="s">
        <v>1009</v>
      </c>
      <c r="D265" s="792" t="s">
        <v>779</v>
      </c>
      <c r="E265" s="793" t="s">
        <v>662</v>
      </c>
      <c r="F265" s="793" t="s">
        <v>831</v>
      </c>
      <c r="G265" s="793" t="s">
        <v>794</v>
      </c>
      <c r="H265" s="793" t="s">
        <v>828</v>
      </c>
      <c r="I265" s="794">
        <v>2.5978033858924231E-3</v>
      </c>
      <c r="J265" s="794">
        <v>1.1626369136022758</v>
      </c>
      <c r="K265" s="771"/>
    </row>
    <row r="266" spans="1:11" ht="18.75" customHeight="1" outlineLevel="2">
      <c r="A266" s="791" t="s">
        <v>776</v>
      </c>
      <c r="B266" s="791" t="s">
        <v>1008</v>
      </c>
      <c r="C266" s="791" t="s">
        <v>1009</v>
      </c>
      <c r="D266" s="792" t="s">
        <v>779</v>
      </c>
      <c r="E266" s="793" t="s">
        <v>662</v>
      </c>
      <c r="F266" s="793" t="s">
        <v>832</v>
      </c>
      <c r="G266" s="793" t="s">
        <v>833</v>
      </c>
      <c r="H266" s="793" t="s">
        <v>834</v>
      </c>
      <c r="I266" s="794">
        <v>1.6291535234776069E-2</v>
      </c>
      <c r="J266" s="794">
        <v>9.4055823883525278</v>
      </c>
      <c r="K266" s="771"/>
    </row>
    <row r="267" spans="1:11" ht="18.75" customHeight="1" outlineLevel="2">
      <c r="A267" s="791" t="s">
        <v>776</v>
      </c>
      <c r="B267" s="791" t="s">
        <v>1008</v>
      </c>
      <c r="C267" s="791" t="s">
        <v>1009</v>
      </c>
      <c r="D267" s="792" t="s">
        <v>779</v>
      </c>
      <c r="E267" s="793" t="s">
        <v>662</v>
      </c>
      <c r="F267" s="793" t="s">
        <v>835</v>
      </c>
      <c r="G267" s="793" t="s">
        <v>799</v>
      </c>
      <c r="H267" s="793" t="s">
        <v>800</v>
      </c>
      <c r="I267" s="794">
        <v>0.23741221627960868</v>
      </c>
      <c r="J267" s="794">
        <v>168.06823628326219</v>
      </c>
      <c r="K267" s="771"/>
    </row>
    <row r="268" spans="1:11" ht="18.75" customHeight="1" outlineLevel="2">
      <c r="A268" s="791" t="s">
        <v>776</v>
      </c>
      <c r="B268" s="791" t="s">
        <v>1008</v>
      </c>
      <c r="C268" s="791" t="s">
        <v>1009</v>
      </c>
      <c r="D268" s="792" t="s">
        <v>779</v>
      </c>
      <c r="E268" s="793" t="s">
        <v>662</v>
      </c>
      <c r="F268" s="793" t="s">
        <v>836</v>
      </c>
      <c r="G268" s="793" t="s">
        <v>799</v>
      </c>
      <c r="H268" s="793" t="s">
        <v>800</v>
      </c>
      <c r="I268" s="794">
        <v>1.7495197883994575</v>
      </c>
      <c r="J268" s="794">
        <v>1597.7882596465977</v>
      </c>
      <c r="K268" s="771"/>
    </row>
    <row r="269" spans="1:11" ht="18.75" customHeight="1" outlineLevel="2">
      <c r="A269" s="791" t="s">
        <v>776</v>
      </c>
      <c r="B269" s="791" t="s">
        <v>1008</v>
      </c>
      <c r="C269" s="791" t="s">
        <v>1009</v>
      </c>
      <c r="D269" s="792" t="s">
        <v>779</v>
      </c>
      <c r="E269" s="793" t="s">
        <v>662</v>
      </c>
      <c r="F269" s="793" t="s">
        <v>837</v>
      </c>
      <c r="G269" s="793" t="s">
        <v>799</v>
      </c>
      <c r="H269" s="793" t="s">
        <v>800</v>
      </c>
      <c r="I269" s="794">
        <v>0.61623465537107891</v>
      </c>
      <c r="J269" s="794">
        <v>819.83508447885697</v>
      </c>
      <c r="K269" s="771"/>
    </row>
    <row r="270" spans="1:11" ht="18.75" customHeight="1" outlineLevel="2">
      <c r="A270" s="791" t="s">
        <v>776</v>
      </c>
      <c r="B270" s="791" t="s">
        <v>1008</v>
      </c>
      <c r="C270" s="791" t="s">
        <v>1009</v>
      </c>
      <c r="D270" s="792" t="s">
        <v>779</v>
      </c>
      <c r="E270" s="793" t="s">
        <v>662</v>
      </c>
      <c r="F270" s="793" t="s">
        <v>838</v>
      </c>
      <c r="G270" s="793" t="s">
        <v>799</v>
      </c>
      <c r="H270" s="793" t="s">
        <v>800</v>
      </c>
      <c r="I270" s="794">
        <v>0.23509631544464471</v>
      </c>
      <c r="J270" s="794">
        <v>214.30408742885422</v>
      </c>
      <c r="K270" s="771"/>
    </row>
    <row r="271" spans="1:11" ht="18.75" customHeight="1" outlineLevel="2">
      <c r="A271" s="791" t="s">
        <v>776</v>
      </c>
      <c r="B271" s="791" t="s">
        <v>1008</v>
      </c>
      <c r="C271" s="791" t="s">
        <v>1009</v>
      </c>
      <c r="D271" s="792" t="s">
        <v>779</v>
      </c>
      <c r="E271" s="793" t="s">
        <v>662</v>
      </c>
      <c r="F271" s="793" t="s">
        <v>839</v>
      </c>
      <c r="G271" s="793" t="s">
        <v>782</v>
      </c>
      <c r="H271" s="793" t="s">
        <v>804</v>
      </c>
      <c r="I271" s="794">
        <v>2.5492113290498317E-2</v>
      </c>
      <c r="J271" s="794">
        <v>41.593344698328835</v>
      </c>
      <c r="K271" s="771"/>
    </row>
    <row r="272" spans="1:11" ht="18.75" customHeight="1" outlineLevel="2">
      <c r="A272" s="791" t="s">
        <v>776</v>
      </c>
      <c r="B272" s="791" t="s">
        <v>1008</v>
      </c>
      <c r="C272" s="791" t="s">
        <v>1009</v>
      </c>
      <c r="D272" s="792" t="s">
        <v>779</v>
      </c>
      <c r="E272" s="793" t="s">
        <v>662</v>
      </c>
      <c r="F272" s="793" t="s">
        <v>840</v>
      </c>
      <c r="G272" s="793" t="s">
        <v>782</v>
      </c>
      <c r="H272" s="793" t="s">
        <v>804</v>
      </c>
      <c r="I272" s="794">
        <v>2.0369936027099593E-4</v>
      </c>
      <c r="J272" s="794">
        <v>0.31045807314753787</v>
      </c>
      <c r="K272" s="771"/>
    </row>
    <row r="273" spans="1:11" ht="18.75" customHeight="1" outlineLevel="2">
      <c r="A273" s="791" t="s">
        <v>776</v>
      </c>
      <c r="B273" s="791" t="s">
        <v>1008</v>
      </c>
      <c r="C273" s="791" t="s">
        <v>1009</v>
      </c>
      <c r="D273" s="792" t="s">
        <v>779</v>
      </c>
      <c r="E273" s="793" t="s">
        <v>662</v>
      </c>
      <c r="F273" s="793" t="s">
        <v>841</v>
      </c>
      <c r="G273" s="793" t="s">
        <v>782</v>
      </c>
      <c r="H273" s="793" t="s">
        <v>804</v>
      </c>
      <c r="I273" s="794">
        <v>5.507714499279568E-2</v>
      </c>
      <c r="J273" s="794">
        <v>78.138160128744175</v>
      </c>
      <c r="K273" s="771"/>
    </row>
    <row r="274" spans="1:11" ht="18.75" customHeight="1" outlineLevel="2">
      <c r="A274" s="791" t="s">
        <v>776</v>
      </c>
      <c r="B274" s="791" t="s">
        <v>1008</v>
      </c>
      <c r="C274" s="791" t="s">
        <v>1009</v>
      </c>
      <c r="D274" s="792" t="s">
        <v>779</v>
      </c>
      <c r="E274" s="793" t="s">
        <v>662</v>
      </c>
      <c r="F274" s="793" t="s">
        <v>842</v>
      </c>
      <c r="G274" s="793" t="s">
        <v>782</v>
      </c>
      <c r="H274" s="793" t="s">
        <v>804</v>
      </c>
      <c r="I274" s="794">
        <v>4.4944888794318592E-2</v>
      </c>
      <c r="J274" s="794">
        <v>73.565760168507865</v>
      </c>
      <c r="K274" s="771"/>
    </row>
    <row r="275" spans="1:11" ht="18.75" customHeight="1" outlineLevel="2">
      <c r="A275" s="791" t="s">
        <v>776</v>
      </c>
      <c r="B275" s="791" t="s">
        <v>1008</v>
      </c>
      <c r="C275" s="791" t="s">
        <v>1009</v>
      </c>
      <c r="D275" s="792" t="s">
        <v>779</v>
      </c>
      <c r="E275" s="793" t="s">
        <v>662</v>
      </c>
      <c r="F275" s="793" t="s">
        <v>843</v>
      </c>
      <c r="G275" s="793" t="s">
        <v>782</v>
      </c>
      <c r="H275" s="793" t="s">
        <v>804</v>
      </c>
      <c r="I275" s="794">
        <v>0.10051196768670723</v>
      </c>
      <c r="J275" s="794">
        <v>146.81461544372539</v>
      </c>
      <c r="K275" s="771"/>
    </row>
    <row r="276" spans="1:11" ht="18.75" customHeight="1" outlineLevel="2">
      <c r="A276" s="791" t="s">
        <v>776</v>
      </c>
      <c r="B276" s="791" t="s">
        <v>1008</v>
      </c>
      <c r="C276" s="791" t="s">
        <v>1009</v>
      </c>
      <c r="D276" s="792" t="s">
        <v>779</v>
      </c>
      <c r="E276" s="793" t="s">
        <v>662</v>
      </c>
      <c r="F276" s="793" t="s">
        <v>844</v>
      </c>
      <c r="G276" s="793" t="s">
        <v>782</v>
      </c>
      <c r="H276" s="793" t="s">
        <v>804</v>
      </c>
      <c r="I276" s="794">
        <v>4.3604232291533533E-2</v>
      </c>
      <c r="J276" s="794">
        <v>61.819802582388327</v>
      </c>
      <c r="K276" s="771"/>
    </row>
    <row r="277" spans="1:11" ht="18.75" customHeight="1" outlineLevel="2">
      <c r="A277" s="791" t="s">
        <v>776</v>
      </c>
      <c r="B277" s="791" t="s">
        <v>1008</v>
      </c>
      <c r="C277" s="791" t="s">
        <v>1009</v>
      </c>
      <c r="D277" s="792" t="s">
        <v>779</v>
      </c>
      <c r="E277" s="793" t="s">
        <v>662</v>
      </c>
      <c r="F277" s="793" t="s">
        <v>845</v>
      </c>
      <c r="G277" s="793" t="s">
        <v>782</v>
      </c>
      <c r="H277" s="793" t="s">
        <v>804</v>
      </c>
      <c r="I277" s="794">
        <v>2.3747565165840364E-3</v>
      </c>
      <c r="J277" s="794">
        <v>3.2219362967819496</v>
      </c>
      <c r="K277" s="771"/>
    </row>
    <row r="278" spans="1:11" ht="18.75" customHeight="1" outlineLevel="2">
      <c r="A278" s="791" t="s">
        <v>776</v>
      </c>
      <c r="B278" s="791" t="s">
        <v>1008</v>
      </c>
      <c r="C278" s="791" t="s">
        <v>1009</v>
      </c>
      <c r="D278" s="792" t="s">
        <v>779</v>
      </c>
      <c r="E278" s="793" t="s">
        <v>662</v>
      </c>
      <c r="F278" s="793" t="s">
        <v>846</v>
      </c>
      <c r="G278" s="793" t="s">
        <v>782</v>
      </c>
      <c r="H278" s="793" t="s">
        <v>804</v>
      </c>
      <c r="I278" s="794">
        <v>8.2642528414002464E-2</v>
      </c>
      <c r="J278" s="794">
        <v>129.36988411237664</v>
      </c>
      <c r="K278" s="771"/>
    </row>
    <row r="279" spans="1:11" ht="18.75" customHeight="1" outlineLevel="2">
      <c r="A279" s="791" t="s">
        <v>776</v>
      </c>
      <c r="B279" s="791" t="s">
        <v>1008</v>
      </c>
      <c r="C279" s="791" t="s">
        <v>1009</v>
      </c>
      <c r="D279" s="792" t="s">
        <v>779</v>
      </c>
      <c r="E279" s="793" t="s">
        <v>662</v>
      </c>
      <c r="F279" s="793" t="s">
        <v>847</v>
      </c>
      <c r="G279" s="793" t="s">
        <v>782</v>
      </c>
      <c r="H279" s="793" t="s">
        <v>804</v>
      </c>
      <c r="I279" s="794">
        <v>3.9395656611400973E-2</v>
      </c>
      <c r="J279" s="794">
        <v>47.980966405169319</v>
      </c>
      <c r="K279" s="771"/>
    </row>
    <row r="280" spans="1:11" ht="18.75" customHeight="1" outlineLevel="2">
      <c r="A280" s="791" t="s">
        <v>776</v>
      </c>
      <c r="B280" s="791" t="s">
        <v>1008</v>
      </c>
      <c r="C280" s="791" t="s">
        <v>1009</v>
      </c>
      <c r="D280" s="792" t="s">
        <v>779</v>
      </c>
      <c r="E280" s="793" t="s">
        <v>662</v>
      </c>
      <c r="F280" s="793" t="s">
        <v>848</v>
      </c>
      <c r="G280" s="793" t="s">
        <v>782</v>
      </c>
      <c r="H280" s="793" t="s">
        <v>804</v>
      </c>
      <c r="I280" s="794">
        <v>0.18617477670984309</v>
      </c>
      <c r="J280" s="794">
        <v>269.5785474201702</v>
      </c>
      <c r="K280" s="771"/>
    </row>
    <row r="281" spans="1:11" ht="18.75" customHeight="1" outlineLevel="2">
      <c r="A281" s="791" t="s">
        <v>776</v>
      </c>
      <c r="B281" s="791" t="s">
        <v>1008</v>
      </c>
      <c r="C281" s="791" t="s">
        <v>1009</v>
      </c>
      <c r="D281" s="792" t="s">
        <v>779</v>
      </c>
      <c r="E281" s="793" t="s">
        <v>662</v>
      </c>
      <c r="F281" s="793" t="s">
        <v>849</v>
      </c>
      <c r="G281" s="793" t="s">
        <v>782</v>
      </c>
      <c r="H281" s="793" t="s">
        <v>804</v>
      </c>
      <c r="I281" s="794">
        <v>9.4376265929773495E-2</v>
      </c>
      <c r="J281" s="794">
        <v>129.45903814295485</v>
      </c>
      <c r="K281" s="771"/>
    </row>
    <row r="282" spans="1:11" ht="18.75" customHeight="1" outlineLevel="2">
      <c r="A282" s="791" t="s">
        <v>776</v>
      </c>
      <c r="B282" s="791" t="s">
        <v>1008</v>
      </c>
      <c r="C282" s="791" t="s">
        <v>1009</v>
      </c>
      <c r="D282" s="792" t="s">
        <v>779</v>
      </c>
      <c r="E282" s="793" t="s">
        <v>662</v>
      </c>
      <c r="F282" s="793" t="s">
        <v>850</v>
      </c>
      <c r="G282" s="793" t="s">
        <v>782</v>
      </c>
      <c r="H282" s="793" t="s">
        <v>804</v>
      </c>
      <c r="I282" s="794">
        <v>7.4619993870481821E-3</v>
      </c>
      <c r="J282" s="794">
        <v>10.427759861547788</v>
      </c>
      <c r="K282" s="771"/>
    </row>
    <row r="283" spans="1:11" ht="18.75" customHeight="1" outlineLevel="2">
      <c r="A283" s="791" t="s">
        <v>776</v>
      </c>
      <c r="B283" s="791" t="s">
        <v>1008</v>
      </c>
      <c r="C283" s="791" t="s">
        <v>1009</v>
      </c>
      <c r="D283" s="792" t="s">
        <v>779</v>
      </c>
      <c r="E283" s="793" t="s">
        <v>662</v>
      </c>
      <c r="F283" s="793" t="s">
        <v>851</v>
      </c>
      <c r="G283" s="793" t="s">
        <v>782</v>
      </c>
      <c r="H283" s="793" t="s">
        <v>804</v>
      </c>
      <c r="I283" s="794">
        <v>1.2249700027362606E-2</v>
      </c>
      <c r="J283" s="794">
        <v>17.510819355984097</v>
      </c>
      <c r="K283" s="771"/>
    </row>
    <row r="284" spans="1:11" ht="18.75" customHeight="1" outlineLevel="2">
      <c r="A284" s="791" t="s">
        <v>776</v>
      </c>
      <c r="B284" s="791" t="s">
        <v>1008</v>
      </c>
      <c r="C284" s="791" t="s">
        <v>1009</v>
      </c>
      <c r="D284" s="792" t="s">
        <v>779</v>
      </c>
      <c r="E284" s="793" t="s">
        <v>662</v>
      </c>
      <c r="F284" s="793" t="s">
        <v>852</v>
      </c>
      <c r="G284" s="793" t="s">
        <v>782</v>
      </c>
      <c r="H284" s="793" t="s">
        <v>804</v>
      </c>
      <c r="I284" s="794">
        <v>5.3641504352472278E-3</v>
      </c>
      <c r="J284" s="794">
        <v>15.647351561245443</v>
      </c>
      <c r="K284" s="771"/>
    </row>
    <row r="285" spans="1:11" ht="18.75" customHeight="1" outlineLevel="2">
      <c r="A285" s="791" t="s">
        <v>776</v>
      </c>
      <c r="B285" s="791" t="s">
        <v>1008</v>
      </c>
      <c r="C285" s="791" t="s">
        <v>1009</v>
      </c>
      <c r="D285" s="792" t="s">
        <v>779</v>
      </c>
      <c r="E285" s="793" t="s">
        <v>662</v>
      </c>
      <c r="F285" s="793" t="s">
        <v>853</v>
      </c>
      <c r="G285" s="793" t="s">
        <v>782</v>
      </c>
      <c r="H285" s="793" t="s">
        <v>804</v>
      </c>
      <c r="I285" s="794">
        <v>4.3170082723133635E-3</v>
      </c>
      <c r="J285" s="794">
        <v>37.112820343014121</v>
      </c>
      <c r="K285" s="771"/>
    </row>
    <row r="286" spans="1:11" ht="18.75" customHeight="1" outlineLevel="2">
      <c r="A286" s="791" t="s">
        <v>776</v>
      </c>
      <c r="B286" s="791" t="s">
        <v>1008</v>
      </c>
      <c r="C286" s="791" t="s">
        <v>1009</v>
      </c>
      <c r="D286" s="792" t="s">
        <v>779</v>
      </c>
      <c r="E286" s="793" t="s">
        <v>662</v>
      </c>
      <c r="F286" s="793" t="s">
        <v>854</v>
      </c>
      <c r="G286" s="793" t="s">
        <v>782</v>
      </c>
      <c r="H286" s="793" t="s">
        <v>804</v>
      </c>
      <c r="I286" s="794">
        <v>5.8738856329680941E-2</v>
      </c>
      <c r="J286" s="794">
        <v>88.492879922343405</v>
      </c>
      <c r="K286" s="771"/>
    </row>
    <row r="287" spans="1:11" ht="18.75" customHeight="1" outlineLevel="2">
      <c r="A287" s="791" t="s">
        <v>776</v>
      </c>
      <c r="B287" s="791" t="s">
        <v>1008</v>
      </c>
      <c r="C287" s="791" t="s">
        <v>1009</v>
      </c>
      <c r="D287" s="792" t="s">
        <v>779</v>
      </c>
      <c r="E287" s="793" t="s">
        <v>662</v>
      </c>
      <c r="F287" s="793" t="s">
        <v>855</v>
      </c>
      <c r="G287" s="793" t="s">
        <v>782</v>
      </c>
      <c r="H287" s="793" t="s">
        <v>804</v>
      </c>
      <c r="I287" s="794">
        <v>4.1938344739873769E-2</v>
      </c>
      <c r="J287" s="794">
        <v>61.675974019897374</v>
      </c>
      <c r="K287" s="771"/>
    </row>
    <row r="288" spans="1:11" ht="18.75" customHeight="1" outlineLevel="2">
      <c r="A288" s="791" t="s">
        <v>776</v>
      </c>
      <c r="B288" s="791" t="s">
        <v>1008</v>
      </c>
      <c r="C288" s="791" t="s">
        <v>1009</v>
      </c>
      <c r="D288" s="792" t="s">
        <v>779</v>
      </c>
      <c r="E288" s="793" t="s">
        <v>662</v>
      </c>
      <c r="F288" s="793" t="s">
        <v>856</v>
      </c>
      <c r="G288" s="793" t="s">
        <v>782</v>
      </c>
      <c r="H288" s="793" t="s">
        <v>804</v>
      </c>
      <c r="I288" s="794">
        <v>1.6471397208351387E-2</v>
      </c>
      <c r="J288" s="794">
        <v>20.209022393704636</v>
      </c>
      <c r="K288" s="771"/>
    </row>
    <row r="289" spans="1:11" ht="18.75" customHeight="1" outlineLevel="2">
      <c r="A289" s="791" t="s">
        <v>776</v>
      </c>
      <c r="B289" s="791" t="s">
        <v>1008</v>
      </c>
      <c r="C289" s="791" t="s">
        <v>1009</v>
      </c>
      <c r="D289" s="792" t="s">
        <v>779</v>
      </c>
      <c r="E289" s="793" t="s">
        <v>662</v>
      </c>
      <c r="F289" s="793" t="s">
        <v>857</v>
      </c>
      <c r="G289" s="793" t="s">
        <v>782</v>
      </c>
      <c r="H289" s="793" t="s">
        <v>804</v>
      </c>
      <c r="I289" s="794">
        <v>1.3710720482046423E-2</v>
      </c>
      <c r="J289" s="794">
        <v>14.766775522160067</v>
      </c>
      <c r="K289" s="771"/>
    </row>
    <row r="290" spans="1:11" ht="18.75" customHeight="1" outlineLevel="2">
      <c r="A290" s="791" t="s">
        <v>776</v>
      </c>
      <c r="B290" s="791" t="s">
        <v>1008</v>
      </c>
      <c r="C290" s="791" t="s">
        <v>1009</v>
      </c>
      <c r="D290" s="792" t="s">
        <v>779</v>
      </c>
      <c r="E290" s="793" t="s">
        <v>662</v>
      </c>
      <c r="F290" s="793" t="s">
        <v>858</v>
      </c>
      <c r="G290" s="793" t="s">
        <v>785</v>
      </c>
      <c r="H290" s="793" t="s">
        <v>727</v>
      </c>
      <c r="I290" s="794">
        <v>0.14850670786562717</v>
      </c>
      <c r="J290" s="794">
        <v>297.78294009078115</v>
      </c>
      <c r="K290" s="771"/>
    </row>
    <row r="291" spans="1:11" ht="18.75" customHeight="1" outlineLevel="2">
      <c r="A291" s="791" t="s">
        <v>776</v>
      </c>
      <c r="B291" s="791" t="s">
        <v>1008</v>
      </c>
      <c r="C291" s="791" t="s">
        <v>1009</v>
      </c>
      <c r="D291" s="792" t="s">
        <v>779</v>
      </c>
      <c r="E291" s="793" t="s">
        <v>662</v>
      </c>
      <c r="F291" s="793" t="s">
        <v>859</v>
      </c>
      <c r="G291" s="793" t="s">
        <v>785</v>
      </c>
      <c r="H291" s="793" t="s">
        <v>727</v>
      </c>
      <c r="I291" s="794">
        <v>0.10669344465776387</v>
      </c>
      <c r="J291" s="794">
        <v>1126.9586819751823</v>
      </c>
      <c r="K291" s="771"/>
    </row>
    <row r="292" spans="1:11" ht="18.75" customHeight="1" outlineLevel="2">
      <c r="A292" s="791" t="s">
        <v>776</v>
      </c>
      <c r="B292" s="791" t="s">
        <v>1008</v>
      </c>
      <c r="C292" s="791" t="s">
        <v>1009</v>
      </c>
      <c r="D292" s="792" t="s">
        <v>779</v>
      </c>
      <c r="E292" s="793" t="s">
        <v>662</v>
      </c>
      <c r="F292" s="793" t="s">
        <v>860</v>
      </c>
      <c r="G292" s="793" t="s">
        <v>785</v>
      </c>
      <c r="H292" s="793" t="s">
        <v>727</v>
      </c>
      <c r="I292" s="794">
        <v>8.8529787248125311E-2</v>
      </c>
      <c r="J292" s="794">
        <v>242.16320062589045</v>
      </c>
      <c r="K292" s="771"/>
    </row>
    <row r="293" spans="1:11" ht="18.75" customHeight="1" outlineLevel="2">
      <c r="A293" s="791" t="s">
        <v>776</v>
      </c>
      <c r="B293" s="791" t="s">
        <v>1008</v>
      </c>
      <c r="C293" s="791" t="s">
        <v>1009</v>
      </c>
      <c r="D293" s="792" t="s">
        <v>779</v>
      </c>
      <c r="E293" s="793" t="s">
        <v>662</v>
      </c>
      <c r="F293" s="793" t="s">
        <v>861</v>
      </c>
      <c r="G293" s="793" t="s">
        <v>785</v>
      </c>
      <c r="H293" s="793" t="s">
        <v>727</v>
      </c>
      <c r="I293" s="794">
        <v>0.34053571985427217</v>
      </c>
      <c r="J293" s="794">
        <v>454.84910256689221</v>
      </c>
      <c r="K293" s="771"/>
    </row>
    <row r="294" spans="1:11" ht="18.75" customHeight="1" outlineLevel="2">
      <c r="A294" s="791" t="s">
        <v>776</v>
      </c>
      <c r="B294" s="791" t="s">
        <v>1008</v>
      </c>
      <c r="C294" s="791" t="s">
        <v>1009</v>
      </c>
      <c r="D294" s="792" t="s">
        <v>779</v>
      </c>
      <c r="E294" s="793" t="s">
        <v>662</v>
      </c>
      <c r="F294" s="793" t="s">
        <v>862</v>
      </c>
      <c r="G294" s="793" t="s">
        <v>785</v>
      </c>
      <c r="H294" s="793" t="s">
        <v>727</v>
      </c>
      <c r="I294" s="794">
        <v>9.6076396114097365E-3</v>
      </c>
      <c r="J294" s="794">
        <v>20.87041253137809</v>
      </c>
      <c r="K294" s="771"/>
    </row>
    <row r="295" spans="1:11" ht="18.75" customHeight="1" outlineLevel="2">
      <c r="A295" s="791" t="s">
        <v>776</v>
      </c>
      <c r="B295" s="791" t="s">
        <v>1008</v>
      </c>
      <c r="C295" s="791" t="s">
        <v>1009</v>
      </c>
      <c r="D295" s="792" t="s">
        <v>779</v>
      </c>
      <c r="E295" s="793" t="s">
        <v>662</v>
      </c>
      <c r="F295" s="793" t="s">
        <v>863</v>
      </c>
      <c r="G295" s="793" t="s">
        <v>785</v>
      </c>
      <c r="H295" s="793" t="s">
        <v>727</v>
      </c>
      <c r="I295" s="794">
        <v>1.1077891155050484E-2</v>
      </c>
      <c r="J295" s="794">
        <v>16.455398350456871</v>
      </c>
      <c r="K295" s="771"/>
    </row>
    <row r="296" spans="1:11" ht="18.75" customHeight="1" outlineLevel="2">
      <c r="A296" s="791" t="s">
        <v>776</v>
      </c>
      <c r="B296" s="791" t="s">
        <v>1008</v>
      </c>
      <c r="C296" s="791" t="s">
        <v>1009</v>
      </c>
      <c r="D296" s="792" t="s">
        <v>779</v>
      </c>
      <c r="E296" s="793" t="s">
        <v>662</v>
      </c>
      <c r="F296" s="793" t="s">
        <v>864</v>
      </c>
      <c r="G296" s="793" t="s">
        <v>785</v>
      </c>
      <c r="H296" s="793" t="s">
        <v>727</v>
      </c>
      <c r="I296" s="794">
        <v>6.9946946339143065E-3</v>
      </c>
      <c r="J296" s="794">
        <v>99.527971740628146</v>
      </c>
      <c r="K296" s="771"/>
    </row>
    <row r="297" spans="1:11" ht="18.75" customHeight="1" outlineLevel="2">
      <c r="A297" s="791" t="s">
        <v>776</v>
      </c>
      <c r="B297" s="791" t="s">
        <v>1008</v>
      </c>
      <c r="C297" s="791" t="s">
        <v>1009</v>
      </c>
      <c r="D297" s="792" t="s">
        <v>779</v>
      </c>
      <c r="E297" s="793" t="s">
        <v>662</v>
      </c>
      <c r="F297" s="793" t="s">
        <v>865</v>
      </c>
      <c r="G297" s="793" t="s">
        <v>813</v>
      </c>
      <c r="H297" s="793" t="s">
        <v>814</v>
      </c>
      <c r="I297" s="794">
        <v>2.6371619728955733</v>
      </c>
      <c r="J297" s="794">
        <v>2820.6288677352882</v>
      </c>
      <c r="K297" s="771"/>
    </row>
    <row r="298" spans="1:11" ht="18.75" customHeight="1" outlineLevel="2">
      <c r="A298" s="791" t="s">
        <v>776</v>
      </c>
      <c r="B298" s="791" t="s">
        <v>1008</v>
      </c>
      <c r="C298" s="791" t="s">
        <v>1009</v>
      </c>
      <c r="D298" s="792" t="s">
        <v>779</v>
      </c>
      <c r="E298" s="793" t="s">
        <v>662</v>
      </c>
      <c r="F298" s="793" t="s">
        <v>866</v>
      </c>
      <c r="G298" s="793" t="s">
        <v>813</v>
      </c>
      <c r="H298" s="793" t="s">
        <v>814</v>
      </c>
      <c r="I298" s="794">
        <v>2.9817996563132545</v>
      </c>
      <c r="J298" s="794">
        <v>4046.0296813642799</v>
      </c>
      <c r="K298" s="771"/>
    </row>
    <row r="299" spans="1:11" ht="18.75" customHeight="1" outlineLevel="2">
      <c r="A299" s="791" t="s">
        <v>776</v>
      </c>
      <c r="B299" s="791" t="s">
        <v>1008</v>
      </c>
      <c r="C299" s="791" t="s">
        <v>1009</v>
      </c>
      <c r="D299" s="792" t="s">
        <v>779</v>
      </c>
      <c r="E299" s="793" t="s">
        <v>662</v>
      </c>
      <c r="F299" s="793" t="s">
        <v>867</v>
      </c>
      <c r="G299" s="793" t="s">
        <v>813</v>
      </c>
      <c r="H299" s="793" t="s">
        <v>814</v>
      </c>
      <c r="I299" s="794">
        <v>0.22701922400861693</v>
      </c>
      <c r="J299" s="794">
        <v>242.72002414488952</v>
      </c>
      <c r="K299" s="771"/>
    </row>
    <row r="300" spans="1:11" ht="18.75" customHeight="1" outlineLevel="2">
      <c r="A300" s="791" t="s">
        <v>776</v>
      </c>
      <c r="B300" s="791" t="s">
        <v>1008</v>
      </c>
      <c r="C300" s="791" t="s">
        <v>1009</v>
      </c>
      <c r="D300" s="792" t="s">
        <v>779</v>
      </c>
      <c r="E300" s="793" t="s">
        <v>662</v>
      </c>
      <c r="F300" s="793" t="s">
        <v>868</v>
      </c>
      <c r="G300" s="793" t="s">
        <v>813</v>
      </c>
      <c r="H300" s="793" t="s">
        <v>814</v>
      </c>
      <c r="I300" s="794">
        <v>1.9002162672100271</v>
      </c>
      <c r="J300" s="794">
        <v>2399.9568433213717</v>
      </c>
      <c r="K300" s="771"/>
    </row>
    <row r="301" spans="1:11" ht="18.75" customHeight="1" outlineLevel="2">
      <c r="A301" s="791" t="s">
        <v>776</v>
      </c>
      <c r="B301" s="791" t="s">
        <v>1008</v>
      </c>
      <c r="C301" s="791" t="s">
        <v>1009</v>
      </c>
      <c r="D301" s="792" t="s">
        <v>779</v>
      </c>
      <c r="E301" s="793" t="s">
        <v>662</v>
      </c>
      <c r="F301" s="793" t="s">
        <v>869</v>
      </c>
      <c r="G301" s="793" t="s">
        <v>813</v>
      </c>
      <c r="H301" s="793" t="s">
        <v>814</v>
      </c>
      <c r="I301" s="794">
        <v>1.2367007552605763E-2</v>
      </c>
      <c r="J301" s="794">
        <v>15.679090084374273</v>
      </c>
      <c r="K301" s="771"/>
    </row>
    <row r="302" spans="1:11" ht="18.75" customHeight="1" outlineLevel="2">
      <c r="A302" s="791" t="s">
        <v>776</v>
      </c>
      <c r="B302" s="791" t="s">
        <v>1008</v>
      </c>
      <c r="C302" s="791" t="s">
        <v>1009</v>
      </c>
      <c r="D302" s="792" t="s">
        <v>779</v>
      </c>
      <c r="E302" s="793" t="s">
        <v>662</v>
      </c>
      <c r="F302" s="793" t="s">
        <v>870</v>
      </c>
      <c r="G302" s="793" t="s">
        <v>813</v>
      </c>
      <c r="H302" s="793" t="s">
        <v>814</v>
      </c>
      <c r="I302" s="794">
        <v>6.6199828871500763E-2</v>
      </c>
      <c r="J302" s="794">
        <v>93.716179706354367</v>
      </c>
      <c r="K302" s="771"/>
    </row>
    <row r="303" spans="1:11" ht="18.75" customHeight="1" outlineLevel="2">
      <c r="A303" s="791" t="s">
        <v>776</v>
      </c>
      <c r="B303" s="791" t="s">
        <v>1008</v>
      </c>
      <c r="C303" s="791" t="s">
        <v>1009</v>
      </c>
      <c r="D303" s="792" t="s">
        <v>779</v>
      </c>
      <c r="E303" s="793" t="s">
        <v>662</v>
      </c>
      <c r="F303" s="793" t="s">
        <v>871</v>
      </c>
      <c r="G303" s="793" t="s">
        <v>813</v>
      </c>
      <c r="H303" s="793" t="s">
        <v>814</v>
      </c>
      <c r="I303" s="794">
        <v>2.3553326087776022E-2</v>
      </c>
      <c r="J303" s="794">
        <v>29.912162144124338</v>
      </c>
      <c r="K303" s="771"/>
    </row>
    <row r="304" spans="1:11" ht="18.75" customHeight="1" outlineLevel="2">
      <c r="A304" s="791" t="s">
        <v>776</v>
      </c>
      <c r="B304" s="791" t="s">
        <v>1008</v>
      </c>
      <c r="C304" s="791" t="s">
        <v>1009</v>
      </c>
      <c r="D304" s="792" t="s">
        <v>779</v>
      </c>
      <c r="E304" s="793" t="s">
        <v>662</v>
      </c>
      <c r="F304" s="793" t="s">
        <v>872</v>
      </c>
      <c r="G304" s="793" t="s">
        <v>813</v>
      </c>
      <c r="H304" s="793" t="s">
        <v>814</v>
      </c>
      <c r="I304" s="794">
        <v>2.2624434470364272</v>
      </c>
      <c r="J304" s="794">
        <v>3845.6063505761631</v>
      </c>
      <c r="K304" s="771"/>
    </row>
    <row r="305" spans="1:11" ht="18.75" customHeight="1" outlineLevel="2">
      <c r="A305" s="791" t="s">
        <v>776</v>
      </c>
      <c r="B305" s="791" t="s">
        <v>1008</v>
      </c>
      <c r="C305" s="791" t="s">
        <v>1009</v>
      </c>
      <c r="D305" s="792" t="s">
        <v>779</v>
      </c>
      <c r="E305" s="793" t="s">
        <v>662</v>
      </c>
      <c r="F305" s="793" t="s">
        <v>873</v>
      </c>
      <c r="G305" s="793" t="s">
        <v>813</v>
      </c>
      <c r="H305" s="793" t="s">
        <v>814</v>
      </c>
      <c r="I305" s="794">
        <v>0.59911577425818296</v>
      </c>
      <c r="J305" s="794">
        <v>319.22444058522302</v>
      </c>
      <c r="K305" s="771"/>
    </row>
    <row r="306" spans="1:11" ht="18.75" customHeight="1" outlineLevel="2">
      <c r="A306" s="791" t="s">
        <v>776</v>
      </c>
      <c r="B306" s="791" t="s">
        <v>1008</v>
      </c>
      <c r="C306" s="791" t="s">
        <v>1009</v>
      </c>
      <c r="D306" s="792" t="s">
        <v>779</v>
      </c>
      <c r="E306" s="793" t="s">
        <v>662</v>
      </c>
      <c r="F306" s="793" t="s">
        <v>874</v>
      </c>
      <c r="G306" s="793" t="s">
        <v>813</v>
      </c>
      <c r="H306" s="793" t="s">
        <v>814</v>
      </c>
      <c r="I306" s="794">
        <v>2.8556861969564014</v>
      </c>
      <c r="J306" s="794">
        <v>1521.405060043385</v>
      </c>
      <c r="K306" s="771"/>
    </row>
    <row r="307" spans="1:11" ht="18.75" customHeight="1" outlineLevel="2">
      <c r="A307" s="791" t="s">
        <v>776</v>
      </c>
      <c r="B307" s="791" t="s">
        <v>1008</v>
      </c>
      <c r="C307" s="791" t="s">
        <v>1009</v>
      </c>
      <c r="D307" s="792" t="s">
        <v>779</v>
      </c>
      <c r="E307" s="793" t="s">
        <v>662</v>
      </c>
      <c r="F307" s="793" t="s">
        <v>875</v>
      </c>
      <c r="G307" s="793" t="s">
        <v>813</v>
      </c>
      <c r="H307" s="793" t="s">
        <v>814</v>
      </c>
      <c r="I307" s="794">
        <v>0.39294030937456476</v>
      </c>
      <c r="J307" s="794">
        <v>572.87871516936343</v>
      </c>
      <c r="K307" s="771"/>
    </row>
    <row r="308" spans="1:11" ht="18.75" customHeight="1" outlineLevel="2">
      <c r="A308" s="791" t="s">
        <v>776</v>
      </c>
      <c r="B308" s="791" t="s">
        <v>1008</v>
      </c>
      <c r="C308" s="791" t="s">
        <v>1009</v>
      </c>
      <c r="D308" s="792" t="s">
        <v>779</v>
      </c>
      <c r="E308" s="793" t="s">
        <v>662</v>
      </c>
      <c r="F308" s="793" t="s">
        <v>876</v>
      </c>
      <c r="G308" s="793" t="s">
        <v>813</v>
      </c>
      <c r="H308" s="793" t="s">
        <v>814</v>
      </c>
      <c r="I308" s="794">
        <v>0.34052248309895278</v>
      </c>
      <c r="J308" s="794">
        <v>514.04621074544207</v>
      </c>
      <c r="K308" s="771"/>
    </row>
    <row r="309" spans="1:11" ht="18.75" customHeight="1" outlineLevel="2">
      <c r="A309" s="791" t="s">
        <v>776</v>
      </c>
      <c r="B309" s="791" t="s">
        <v>1008</v>
      </c>
      <c r="C309" s="791" t="s">
        <v>1009</v>
      </c>
      <c r="D309" s="792" t="s">
        <v>779</v>
      </c>
      <c r="E309" s="793" t="s">
        <v>662</v>
      </c>
      <c r="F309" s="793" t="s">
        <v>877</v>
      </c>
      <c r="G309" s="793" t="s">
        <v>813</v>
      </c>
      <c r="H309" s="793" t="s">
        <v>814</v>
      </c>
      <c r="I309" s="794">
        <v>0.44926644490965978</v>
      </c>
      <c r="J309" s="794">
        <v>581.84957214155645</v>
      </c>
      <c r="K309" s="771"/>
    </row>
    <row r="310" spans="1:11" ht="18.75" customHeight="1" outlineLevel="2">
      <c r="A310" s="791" t="s">
        <v>776</v>
      </c>
      <c r="B310" s="791" t="s">
        <v>1008</v>
      </c>
      <c r="C310" s="791" t="s">
        <v>1009</v>
      </c>
      <c r="D310" s="792" t="s">
        <v>779</v>
      </c>
      <c r="E310" s="793" t="s">
        <v>662</v>
      </c>
      <c r="F310" s="793" t="s">
        <v>878</v>
      </c>
      <c r="G310" s="793" t="s">
        <v>813</v>
      </c>
      <c r="H310" s="793" t="s">
        <v>814</v>
      </c>
      <c r="I310" s="794">
        <v>0.22924453491292338</v>
      </c>
      <c r="J310" s="794">
        <v>276.25864441931895</v>
      </c>
      <c r="K310" s="771"/>
    </row>
    <row r="311" spans="1:11" ht="18.75" customHeight="1" outlineLevel="2">
      <c r="A311" s="791" t="s">
        <v>776</v>
      </c>
      <c r="B311" s="791" t="s">
        <v>1008</v>
      </c>
      <c r="C311" s="791" t="s">
        <v>1009</v>
      </c>
      <c r="D311" s="792" t="s">
        <v>779</v>
      </c>
      <c r="E311" s="793" t="s">
        <v>662</v>
      </c>
      <c r="F311" s="793" t="s">
        <v>879</v>
      </c>
      <c r="G311" s="793" t="s">
        <v>813</v>
      </c>
      <c r="H311" s="793" t="s">
        <v>814</v>
      </c>
      <c r="I311" s="794">
        <v>5.2550776027384467</v>
      </c>
      <c r="J311" s="794">
        <v>7678.9738178331263</v>
      </c>
      <c r="K311" s="771"/>
    </row>
    <row r="312" spans="1:11" ht="18.75" customHeight="1" outlineLevel="2">
      <c r="A312" s="791" t="s">
        <v>776</v>
      </c>
      <c r="B312" s="791" t="s">
        <v>1008</v>
      </c>
      <c r="C312" s="791" t="s">
        <v>1009</v>
      </c>
      <c r="D312" s="792" t="s">
        <v>779</v>
      </c>
      <c r="E312" s="793" t="s">
        <v>662</v>
      </c>
      <c r="F312" s="793" t="s">
        <v>880</v>
      </c>
      <c r="G312" s="793" t="s">
        <v>813</v>
      </c>
      <c r="H312" s="793" t="s">
        <v>814</v>
      </c>
      <c r="I312" s="794">
        <v>4.6266710481709703</v>
      </c>
      <c r="J312" s="794">
        <v>6985.9071233852592</v>
      </c>
      <c r="K312" s="771"/>
    </row>
    <row r="313" spans="1:11" ht="18.75" customHeight="1" outlineLevel="2">
      <c r="A313" s="791" t="s">
        <v>776</v>
      </c>
      <c r="B313" s="791" t="s">
        <v>1008</v>
      </c>
      <c r="C313" s="791" t="s">
        <v>1009</v>
      </c>
      <c r="D313" s="792" t="s">
        <v>779</v>
      </c>
      <c r="E313" s="793" t="s">
        <v>662</v>
      </c>
      <c r="F313" s="793" t="s">
        <v>881</v>
      </c>
      <c r="G313" s="793" t="s">
        <v>813</v>
      </c>
      <c r="H313" s="793" t="s">
        <v>814</v>
      </c>
      <c r="I313" s="794">
        <v>0.51771708726553478</v>
      </c>
      <c r="J313" s="794">
        <v>1166.4638557428907</v>
      </c>
      <c r="K313" s="771"/>
    </row>
    <row r="314" spans="1:11" ht="18.75" customHeight="1" outlineLevel="2">
      <c r="A314" s="791" t="s">
        <v>776</v>
      </c>
      <c r="B314" s="791" t="s">
        <v>1008</v>
      </c>
      <c r="C314" s="791" t="s">
        <v>1009</v>
      </c>
      <c r="D314" s="792" t="s">
        <v>779</v>
      </c>
      <c r="E314" s="793" t="s">
        <v>662</v>
      </c>
      <c r="F314" s="793" t="s">
        <v>882</v>
      </c>
      <c r="G314" s="793" t="s">
        <v>813</v>
      </c>
      <c r="H314" s="793" t="s">
        <v>814</v>
      </c>
      <c r="I314" s="794">
        <v>14.250372797244925</v>
      </c>
      <c r="J314" s="794">
        <v>22550.958658951971</v>
      </c>
      <c r="K314" s="771"/>
    </row>
    <row r="315" spans="1:11" ht="18.75" customHeight="1" outlineLevel="2">
      <c r="A315" s="791" t="s">
        <v>776</v>
      </c>
      <c r="B315" s="791" t="s">
        <v>1008</v>
      </c>
      <c r="C315" s="791" t="s">
        <v>1009</v>
      </c>
      <c r="D315" s="792" t="s">
        <v>779</v>
      </c>
      <c r="E315" s="793" t="s">
        <v>662</v>
      </c>
      <c r="F315" s="793" t="s">
        <v>883</v>
      </c>
      <c r="G315" s="793" t="s">
        <v>813</v>
      </c>
      <c r="H315" s="793" t="s">
        <v>814</v>
      </c>
      <c r="I315" s="794">
        <v>0.23924141064940185</v>
      </c>
      <c r="J315" s="794">
        <v>272.96001083928263</v>
      </c>
      <c r="K315" s="771"/>
    </row>
    <row r="316" spans="1:11" ht="18.75" customHeight="1" outlineLevel="2">
      <c r="A316" s="791" t="s">
        <v>776</v>
      </c>
      <c r="B316" s="791" t="s">
        <v>1008</v>
      </c>
      <c r="C316" s="791" t="s">
        <v>1009</v>
      </c>
      <c r="D316" s="792" t="s">
        <v>779</v>
      </c>
      <c r="E316" s="793" t="s">
        <v>662</v>
      </c>
      <c r="F316" s="793" t="s">
        <v>884</v>
      </c>
      <c r="G316" s="793" t="s">
        <v>813</v>
      </c>
      <c r="H316" s="793" t="s">
        <v>814</v>
      </c>
      <c r="I316" s="794">
        <v>0.59800574407029305</v>
      </c>
      <c r="J316" s="794">
        <v>692.9533825231008</v>
      </c>
      <c r="K316" s="771"/>
    </row>
    <row r="317" spans="1:11" ht="18.75" customHeight="1" outlineLevel="2">
      <c r="A317" s="791" t="s">
        <v>776</v>
      </c>
      <c r="B317" s="791" t="s">
        <v>1008</v>
      </c>
      <c r="C317" s="791" t="s">
        <v>1009</v>
      </c>
      <c r="D317" s="792" t="s">
        <v>779</v>
      </c>
      <c r="E317" s="793" t="s">
        <v>662</v>
      </c>
      <c r="F317" s="793" t="s">
        <v>885</v>
      </c>
      <c r="G317" s="793" t="s">
        <v>791</v>
      </c>
      <c r="H317" s="793" t="s">
        <v>826</v>
      </c>
      <c r="I317" s="794">
        <v>2.2174216468310621E-4</v>
      </c>
      <c r="J317" s="794">
        <v>0.32700477745995249</v>
      </c>
      <c r="K317" s="771"/>
    </row>
    <row r="318" spans="1:11" ht="18.75" customHeight="1" outlineLevel="2">
      <c r="A318" s="791" t="s">
        <v>776</v>
      </c>
      <c r="B318" s="791" t="s">
        <v>1008</v>
      </c>
      <c r="C318" s="791" t="s">
        <v>1009</v>
      </c>
      <c r="D318" s="792" t="s">
        <v>779</v>
      </c>
      <c r="E318" s="793" t="s">
        <v>662</v>
      </c>
      <c r="F318" s="793" t="s">
        <v>886</v>
      </c>
      <c r="G318" s="793" t="s">
        <v>791</v>
      </c>
      <c r="H318" s="793" t="s">
        <v>826</v>
      </c>
      <c r="I318" s="794">
        <v>2.9017910719112528E-4</v>
      </c>
      <c r="J318" s="794">
        <v>1.2653910420556445</v>
      </c>
      <c r="K318" s="771"/>
    </row>
    <row r="319" spans="1:11" ht="18.75" customHeight="1" outlineLevel="2">
      <c r="A319" s="791" t="s">
        <v>776</v>
      </c>
      <c r="B319" s="791" t="s">
        <v>1008</v>
      </c>
      <c r="C319" s="791" t="s">
        <v>1009</v>
      </c>
      <c r="D319" s="792" t="s">
        <v>779</v>
      </c>
      <c r="E319" s="793" t="s">
        <v>662</v>
      </c>
      <c r="F319" s="793" t="s">
        <v>887</v>
      </c>
      <c r="G319" s="793" t="s">
        <v>791</v>
      </c>
      <c r="H319" s="793" t="s">
        <v>826</v>
      </c>
      <c r="I319" s="794">
        <v>1.0822050784636866E-5</v>
      </c>
      <c r="J319" s="794">
        <v>1.0150630180429341E-2</v>
      </c>
      <c r="K319" s="771"/>
    </row>
    <row r="320" spans="1:11" ht="18.75" customHeight="1" outlineLevel="2">
      <c r="A320" s="791" t="s">
        <v>776</v>
      </c>
      <c r="B320" s="791" t="s">
        <v>1008</v>
      </c>
      <c r="C320" s="791" t="s">
        <v>1009</v>
      </c>
      <c r="D320" s="792" t="s">
        <v>779</v>
      </c>
      <c r="E320" s="793" t="s">
        <v>662</v>
      </c>
      <c r="F320" s="793" t="s">
        <v>888</v>
      </c>
      <c r="G320" s="793" t="s">
        <v>791</v>
      </c>
      <c r="H320" s="793" t="s">
        <v>826</v>
      </c>
      <c r="I320" s="794">
        <v>9.7072033480594686E-4</v>
      </c>
      <c r="J320" s="794">
        <v>0.9086816130299008</v>
      </c>
      <c r="K320" s="771"/>
    </row>
    <row r="321" spans="1:11" ht="18.75" customHeight="1" outlineLevel="2">
      <c r="A321" s="791" t="s">
        <v>776</v>
      </c>
      <c r="B321" s="791" t="s">
        <v>1008</v>
      </c>
      <c r="C321" s="791" t="s">
        <v>1009</v>
      </c>
      <c r="D321" s="792" t="s">
        <v>779</v>
      </c>
      <c r="E321" s="793" t="s">
        <v>662</v>
      </c>
      <c r="F321" s="793" t="s">
        <v>889</v>
      </c>
      <c r="G321" s="793" t="s">
        <v>791</v>
      </c>
      <c r="H321" s="793" t="s">
        <v>826</v>
      </c>
      <c r="I321" s="794">
        <v>1.8656029768773699E-4</v>
      </c>
      <c r="J321" s="794">
        <v>0.26884757363329315</v>
      </c>
      <c r="K321" s="771"/>
    </row>
    <row r="322" spans="1:11" ht="18.75" customHeight="1" outlineLevel="2">
      <c r="A322" s="791" t="s">
        <v>776</v>
      </c>
      <c r="B322" s="791" t="s">
        <v>1008</v>
      </c>
      <c r="C322" s="791" t="s">
        <v>1009</v>
      </c>
      <c r="D322" s="792" t="s">
        <v>779</v>
      </c>
      <c r="E322" s="793" t="s">
        <v>662</v>
      </c>
      <c r="F322" s="793" t="s">
        <v>890</v>
      </c>
      <c r="G322" s="793" t="s">
        <v>791</v>
      </c>
      <c r="H322" s="793" t="s">
        <v>826</v>
      </c>
      <c r="I322" s="794">
        <v>2.6660608840433416E-3</v>
      </c>
      <c r="J322" s="794">
        <v>2.9788165686350569</v>
      </c>
      <c r="K322" s="771"/>
    </row>
    <row r="323" spans="1:11" ht="18.75" customHeight="1" outlineLevel="2">
      <c r="A323" s="791" t="s">
        <v>776</v>
      </c>
      <c r="B323" s="791" t="s">
        <v>1008</v>
      </c>
      <c r="C323" s="791" t="s">
        <v>1009</v>
      </c>
      <c r="D323" s="792" t="s">
        <v>779</v>
      </c>
      <c r="E323" s="793" t="s">
        <v>662</v>
      </c>
      <c r="F323" s="793" t="s">
        <v>891</v>
      </c>
      <c r="G323" s="793" t="s">
        <v>791</v>
      </c>
      <c r="H323" s="793" t="s">
        <v>826</v>
      </c>
      <c r="I323" s="794">
        <v>1.3649168497852148E-2</v>
      </c>
      <c r="J323" s="794">
        <v>6.6782004541228304</v>
      </c>
      <c r="K323" s="771"/>
    </row>
    <row r="324" spans="1:11" ht="18.75" customHeight="1" outlineLevel="2">
      <c r="A324" s="791" t="s">
        <v>776</v>
      </c>
      <c r="B324" s="791" t="s">
        <v>1008</v>
      </c>
      <c r="C324" s="791" t="s">
        <v>1009</v>
      </c>
      <c r="D324" s="792" t="s">
        <v>779</v>
      </c>
      <c r="E324" s="793" t="s">
        <v>662</v>
      </c>
      <c r="F324" s="793" t="s">
        <v>892</v>
      </c>
      <c r="G324" s="793" t="s">
        <v>791</v>
      </c>
      <c r="H324" s="793" t="s">
        <v>826</v>
      </c>
      <c r="I324" s="794">
        <v>1.5373227599622505E-3</v>
      </c>
      <c r="J324" s="794">
        <v>1.4390722112888996</v>
      </c>
      <c r="K324" s="771"/>
    </row>
    <row r="325" spans="1:11" ht="18.75" customHeight="1" outlineLevel="2">
      <c r="A325" s="791" t="s">
        <v>776</v>
      </c>
      <c r="B325" s="791" t="s">
        <v>1008</v>
      </c>
      <c r="C325" s="791" t="s">
        <v>1009</v>
      </c>
      <c r="D325" s="792" t="s">
        <v>779</v>
      </c>
      <c r="E325" s="793" t="s">
        <v>662</v>
      </c>
      <c r="F325" s="793" t="s">
        <v>893</v>
      </c>
      <c r="G325" s="793" t="s">
        <v>791</v>
      </c>
      <c r="H325" s="793" t="s">
        <v>826</v>
      </c>
      <c r="I325" s="794">
        <v>2.0182293324861916E-3</v>
      </c>
      <c r="J325" s="794">
        <v>2.0536073842069973</v>
      </c>
      <c r="K325" s="771"/>
    </row>
    <row r="326" spans="1:11" ht="18.75" customHeight="1" outlineLevel="2">
      <c r="A326" s="791" t="s">
        <v>776</v>
      </c>
      <c r="B326" s="791" t="s">
        <v>1008</v>
      </c>
      <c r="C326" s="791" t="s">
        <v>1009</v>
      </c>
      <c r="D326" s="792" t="s">
        <v>779</v>
      </c>
      <c r="E326" s="793" t="s">
        <v>662</v>
      </c>
      <c r="F326" s="793" t="s">
        <v>894</v>
      </c>
      <c r="G326" s="793" t="s">
        <v>791</v>
      </c>
      <c r="H326" s="793" t="s">
        <v>826</v>
      </c>
      <c r="I326" s="794">
        <v>2.417912417450952E-4</v>
      </c>
      <c r="J326" s="794">
        <v>2.1947032595121914</v>
      </c>
      <c r="K326" s="771"/>
    </row>
    <row r="327" spans="1:11" ht="18.75" customHeight="1" outlineLevel="2">
      <c r="A327" s="791" t="s">
        <v>776</v>
      </c>
      <c r="B327" s="791" t="s">
        <v>1008</v>
      </c>
      <c r="C327" s="791" t="s">
        <v>1009</v>
      </c>
      <c r="D327" s="792" t="s">
        <v>779</v>
      </c>
      <c r="E327" s="793" t="s">
        <v>662</v>
      </c>
      <c r="F327" s="793" t="s">
        <v>895</v>
      </c>
      <c r="G327" s="793" t="s">
        <v>794</v>
      </c>
      <c r="H327" s="793" t="s">
        <v>828</v>
      </c>
      <c r="I327" s="794">
        <v>4.274087965719561</v>
      </c>
      <c r="J327" s="794">
        <v>5927.4473045728073</v>
      </c>
      <c r="K327" s="771"/>
    </row>
    <row r="328" spans="1:11" ht="18.75" customHeight="1" outlineLevel="2">
      <c r="A328" s="791" t="s">
        <v>776</v>
      </c>
      <c r="B328" s="791" t="s">
        <v>1008</v>
      </c>
      <c r="C328" s="791" t="s">
        <v>1009</v>
      </c>
      <c r="D328" s="792" t="s">
        <v>779</v>
      </c>
      <c r="E328" s="793" t="s">
        <v>662</v>
      </c>
      <c r="F328" s="793" t="s">
        <v>896</v>
      </c>
      <c r="G328" s="793" t="s">
        <v>794</v>
      </c>
      <c r="H328" s="793" t="s">
        <v>828</v>
      </c>
      <c r="I328" s="794">
        <v>1.0039273394226129</v>
      </c>
      <c r="J328" s="794">
        <v>1482.994674752623</v>
      </c>
      <c r="K328" s="771"/>
    </row>
    <row r="329" spans="1:11" ht="18.75" customHeight="1" outlineLevel="2">
      <c r="A329" s="791" t="s">
        <v>776</v>
      </c>
      <c r="B329" s="791" t="s">
        <v>1008</v>
      </c>
      <c r="C329" s="791" t="s">
        <v>1009</v>
      </c>
      <c r="D329" s="792" t="s">
        <v>779</v>
      </c>
      <c r="E329" s="793" t="s">
        <v>662</v>
      </c>
      <c r="F329" s="793" t="s">
        <v>897</v>
      </c>
      <c r="G329" s="793" t="s">
        <v>794</v>
      </c>
      <c r="H329" s="793" t="s">
        <v>828</v>
      </c>
      <c r="I329" s="794">
        <v>0.46313419529138428</v>
      </c>
      <c r="J329" s="794">
        <v>784.15857096352556</v>
      </c>
      <c r="K329" s="771"/>
    </row>
    <row r="330" spans="1:11" ht="18.75" customHeight="1" outlineLevel="2">
      <c r="A330" s="791" t="s">
        <v>776</v>
      </c>
      <c r="B330" s="791" t="s">
        <v>1008</v>
      </c>
      <c r="C330" s="791" t="s">
        <v>1009</v>
      </c>
      <c r="D330" s="792" t="s">
        <v>779</v>
      </c>
      <c r="E330" s="793" t="s">
        <v>662</v>
      </c>
      <c r="F330" s="793" t="s">
        <v>898</v>
      </c>
      <c r="G330" s="793" t="s">
        <v>794</v>
      </c>
      <c r="H330" s="793" t="s">
        <v>828</v>
      </c>
      <c r="I330" s="794">
        <v>1.0671642597326267</v>
      </c>
      <c r="J330" s="794">
        <v>1685.7296844752029</v>
      </c>
      <c r="K330" s="771"/>
    </row>
    <row r="331" spans="1:11" ht="18.75" customHeight="1" outlineLevel="2">
      <c r="A331" s="791" t="s">
        <v>776</v>
      </c>
      <c r="B331" s="791" t="s">
        <v>1008</v>
      </c>
      <c r="C331" s="791" t="s">
        <v>1009</v>
      </c>
      <c r="D331" s="792" t="s">
        <v>779</v>
      </c>
      <c r="E331" s="793" t="s">
        <v>662</v>
      </c>
      <c r="F331" s="793" t="s">
        <v>899</v>
      </c>
      <c r="G331" s="793" t="s">
        <v>794</v>
      </c>
      <c r="H331" s="793" t="s">
        <v>828</v>
      </c>
      <c r="I331" s="794">
        <v>1.8799624857930413</v>
      </c>
      <c r="J331" s="794">
        <v>2663.4067583305568</v>
      </c>
      <c r="K331" s="771"/>
    </row>
    <row r="332" spans="1:11" ht="18.75" customHeight="1" outlineLevel="2">
      <c r="A332" s="791" t="s">
        <v>776</v>
      </c>
      <c r="B332" s="791" t="s">
        <v>1008</v>
      </c>
      <c r="C332" s="791" t="s">
        <v>1009</v>
      </c>
      <c r="D332" s="792" t="s">
        <v>779</v>
      </c>
      <c r="E332" s="793" t="s">
        <v>662</v>
      </c>
      <c r="F332" s="793" t="s">
        <v>900</v>
      </c>
      <c r="G332" s="793" t="s">
        <v>794</v>
      </c>
      <c r="H332" s="793" t="s">
        <v>828</v>
      </c>
      <c r="I332" s="794">
        <v>8.7093697468093298E-2</v>
      </c>
      <c r="J332" s="794">
        <v>124.96271436992694</v>
      </c>
      <c r="K332" s="771"/>
    </row>
    <row r="333" spans="1:11" ht="18.75" customHeight="1" outlineLevel="2">
      <c r="A333" s="791" t="s">
        <v>776</v>
      </c>
      <c r="B333" s="791" t="s">
        <v>1008</v>
      </c>
      <c r="C333" s="791" t="s">
        <v>1009</v>
      </c>
      <c r="D333" s="792" t="s">
        <v>779</v>
      </c>
      <c r="E333" s="793" t="s">
        <v>662</v>
      </c>
      <c r="F333" s="793" t="s">
        <v>901</v>
      </c>
      <c r="G333" s="793" t="s">
        <v>833</v>
      </c>
      <c r="H333" s="793" t="s">
        <v>834</v>
      </c>
      <c r="I333" s="794">
        <v>2.1712760563748993E-2</v>
      </c>
      <c r="J333" s="794">
        <v>22.665974527839793</v>
      </c>
      <c r="K333" s="771"/>
    </row>
    <row r="334" spans="1:11" ht="18.75" customHeight="1" outlineLevel="2">
      <c r="A334" s="791" t="s">
        <v>776</v>
      </c>
      <c r="B334" s="791" t="s">
        <v>1008</v>
      </c>
      <c r="C334" s="791" t="s">
        <v>1009</v>
      </c>
      <c r="D334" s="792" t="s">
        <v>779</v>
      </c>
      <c r="E334" s="793" t="s">
        <v>662</v>
      </c>
      <c r="F334" s="793" t="s">
        <v>902</v>
      </c>
      <c r="G334" s="793" t="s">
        <v>833</v>
      </c>
      <c r="H334" s="793" t="s">
        <v>834</v>
      </c>
      <c r="I334" s="794">
        <v>1.8899836381950819E-4</v>
      </c>
      <c r="J334" s="794">
        <v>0.24156575379878434</v>
      </c>
      <c r="K334" s="771"/>
    </row>
    <row r="335" spans="1:11" ht="18.75" customHeight="1" outlineLevel="2">
      <c r="A335" s="791" t="s">
        <v>776</v>
      </c>
      <c r="B335" s="791" t="s">
        <v>1008</v>
      </c>
      <c r="C335" s="791" t="s">
        <v>1009</v>
      </c>
      <c r="D335" s="792" t="s">
        <v>779</v>
      </c>
      <c r="E335" s="793" t="s">
        <v>662</v>
      </c>
      <c r="F335" s="793" t="s">
        <v>903</v>
      </c>
      <c r="G335" s="793" t="s">
        <v>904</v>
      </c>
      <c r="H335" s="793" t="s">
        <v>905</v>
      </c>
      <c r="I335" s="794">
        <v>6.93157232071463</v>
      </c>
      <c r="J335" s="794">
        <v>5897.5103761030787</v>
      </c>
      <c r="K335" s="771"/>
    </row>
    <row r="336" spans="1:11" ht="18.75" customHeight="1" outlineLevel="2">
      <c r="A336" s="791" t="s">
        <v>776</v>
      </c>
      <c r="B336" s="791" t="s">
        <v>1008</v>
      </c>
      <c r="C336" s="791" t="s">
        <v>1009</v>
      </c>
      <c r="D336" s="792" t="s">
        <v>779</v>
      </c>
      <c r="E336" s="793" t="s">
        <v>662</v>
      </c>
      <c r="F336" s="793" t="s">
        <v>906</v>
      </c>
      <c r="G336" s="793" t="s">
        <v>904</v>
      </c>
      <c r="H336" s="793" t="s">
        <v>905</v>
      </c>
      <c r="I336" s="794">
        <v>2.9175860275801035</v>
      </c>
      <c r="J336" s="794">
        <v>2489.0228531924831</v>
      </c>
      <c r="K336" s="771"/>
    </row>
    <row r="337" spans="1:11" ht="18.75" customHeight="1" outlineLevel="2">
      <c r="A337" s="791" t="s">
        <v>776</v>
      </c>
      <c r="B337" s="791" t="s">
        <v>1008</v>
      </c>
      <c r="C337" s="791" t="s">
        <v>1009</v>
      </c>
      <c r="D337" s="792" t="s">
        <v>779</v>
      </c>
      <c r="E337" s="793" t="s">
        <v>662</v>
      </c>
      <c r="F337" s="793" t="s">
        <v>907</v>
      </c>
      <c r="G337" s="793" t="s">
        <v>908</v>
      </c>
      <c r="H337" s="793" t="s">
        <v>905</v>
      </c>
      <c r="I337" s="794">
        <v>2.8041619131381008</v>
      </c>
      <c r="J337" s="794">
        <v>4713.2258148164665</v>
      </c>
      <c r="K337" s="771"/>
    </row>
    <row r="338" spans="1:11" ht="18.75" customHeight="1" outlineLevel="2">
      <c r="A338" s="791" t="s">
        <v>776</v>
      </c>
      <c r="B338" s="791" t="s">
        <v>1008</v>
      </c>
      <c r="C338" s="791" t="s">
        <v>1009</v>
      </c>
      <c r="D338" s="792" t="s">
        <v>779</v>
      </c>
      <c r="E338" s="793" t="s">
        <v>662</v>
      </c>
      <c r="F338" s="793" t="s">
        <v>909</v>
      </c>
      <c r="G338" s="793" t="s">
        <v>910</v>
      </c>
      <c r="H338" s="793" t="s">
        <v>911</v>
      </c>
      <c r="I338" s="794">
        <v>5.0124136312349223E-3</v>
      </c>
      <c r="J338" s="794">
        <v>7.473836576196744</v>
      </c>
      <c r="K338" s="771"/>
    </row>
    <row r="339" spans="1:11" ht="18.75" customHeight="1" outlineLevel="2">
      <c r="A339" s="791" t="s">
        <v>776</v>
      </c>
      <c r="B339" s="791" t="s">
        <v>1008</v>
      </c>
      <c r="C339" s="791" t="s">
        <v>1009</v>
      </c>
      <c r="D339" s="792" t="s">
        <v>779</v>
      </c>
      <c r="E339" s="793" t="s">
        <v>763</v>
      </c>
      <c r="F339" s="793" t="s">
        <v>912</v>
      </c>
      <c r="G339" s="793" t="s">
        <v>799</v>
      </c>
      <c r="H339" s="793" t="s">
        <v>913</v>
      </c>
      <c r="I339" s="794">
        <v>7.6906171678728366E-3</v>
      </c>
      <c r="J339" s="794">
        <v>14.727907196786809</v>
      </c>
      <c r="K339" s="771"/>
    </row>
    <row r="340" spans="1:11" ht="18.75" customHeight="1" outlineLevel="2">
      <c r="A340" s="791" t="s">
        <v>776</v>
      </c>
      <c r="B340" s="791" t="s">
        <v>1008</v>
      </c>
      <c r="C340" s="791" t="s">
        <v>1009</v>
      </c>
      <c r="D340" s="792" t="s">
        <v>779</v>
      </c>
      <c r="E340" s="793" t="s">
        <v>763</v>
      </c>
      <c r="F340" s="793" t="s">
        <v>914</v>
      </c>
      <c r="G340" s="793" t="s">
        <v>782</v>
      </c>
      <c r="H340" s="793" t="s">
        <v>913</v>
      </c>
      <c r="I340" s="794">
        <v>1.3104550585064754E-3</v>
      </c>
      <c r="J340" s="794">
        <v>6.1001632593898139</v>
      </c>
      <c r="K340" s="771"/>
    </row>
    <row r="341" spans="1:11" ht="18.75" customHeight="1" outlineLevel="2">
      <c r="A341" s="791" t="s">
        <v>776</v>
      </c>
      <c r="B341" s="791" t="s">
        <v>1008</v>
      </c>
      <c r="C341" s="791" t="s">
        <v>1009</v>
      </c>
      <c r="D341" s="792" t="s">
        <v>779</v>
      </c>
      <c r="E341" s="793" t="s">
        <v>763</v>
      </c>
      <c r="F341" s="793" t="s">
        <v>915</v>
      </c>
      <c r="G341" s="793" t="s">
        <v>782</v>
      </c>
      <c r="H341" s="793" t="s">
        <v>913</v>
      </c>
      <c r="I341" s="794">
        <v>7.0283909568588383E-4</v>
      </c>
      <c r="J341" s="794">
        <v>10.201614588990704</v>
      </c>
      <c r="K341" s="771"/>
    </row>
    <row r="342" spans="1:11" ht="18.75" customHeight="1" outlineLevel="2">
      <c r="A342" s="791" t="s">
        <v>776</v>
      </c>
      <c r="B342" s="791" t="s">
        <v>1008</v>
      </c>
      <c r="C342" s="791" t="s">
        <v>1009</v>
      </c>
      <c r="D342" s="792" t="s">
        <v>779</v>
      </c>
      <c r="E342" s="793" t="s">
        <v>763</v>
      </c>
      <c r="F342" s="793" t="s">
        <v>916</v>
      </c>
      <c r="G342" s="793" t="s">
        <v>782</v>
      </c>
      <c r="H342" s="793" t="s">
        <v>913</v>
      </c>
      <c r="I342" s="794">
        <v>1.042069020394861E-3</v>
      </c>
      <c r="J342" s="794">
        <v>1.8015956047235957</v>
      </c>
      <c r="K342" s="771"/>
    </row>
    <row r="343" spans="1:11" ht="18.75" customHeight="1" outlineLevel="2">
      <c r="A343" s="791" t="s">
        <v>776</v>
      </c>
      <c r="B343" s="791" t="s">
        <v>1008</v>
      </c>
      <c r="C343" s="791" t="s">
        <v>1009</v>
      </c>
      <c r="D343" s="792" t="s">
        <v>779</v>
      </c>
      <c r="E343" s="793" t="s">
        <v>763</v>
      </c>
      <c r="F343" s="793" t="s">
        <v>917</v>
      </c>
      <c r="G343" s="793" t="s">
        <v>782</v>
      </c>
      <c r="H343" s="793" t="s">
        <v>913</v>
      </c>
      <c r="I343" s="794">
        <v>1.9078111753813911E-4</v>
      </c>
      <c r="J343" s="794">
        <v>1.0444669874005361</v>
      </c>
      <c r="K343" s="771"/>
    </row>
    <row r="344" spans="1:11" ht="18.75" customHeight="1" outlineLevel="2">
      <c r="A344" s="791" t="s">
        <v>776</v>
      </c>
      <c r="B344" s="791" t="s">
        <v>1008</v>
      </c>
      <c r="C344" s="791" t="s">
        <v>1009</v>
      </c>
      <c r="D344" s="792" t="s">
        <v>779</v>
      </c>
      <c r="E344" s="793" t="s">
        <v>763</v>
      </c>
      <c r="F344" s="793" t="s">
        <v>918</v>
      </c>
      <c r="G344" s="793" t="s">
        <v>782</v>
      </c>
      <c r="H344" s="793" t="s">
        <v>913</v>
      </c>
      <c r="I344" s="794">
        <v>4.2226471499761196E-3</v>
      </c>
      <c r="J344" s="794">
        <v>18.865452421869744</v>
      </c>
      <c r="K344" s="771"/>
    </row>
    <row r="345" spans="1:11" ht="18.75" customHeight="1" outlineLevel="2">
      <c r="A345" s="791" t="s">
        <v>776</v>
      </c>
      <c r="B345" s="791" t="s">
        <v>1008</v>
      </c>
      <c r="C345" s="791" t="s">
        <v>1009</v>
      </c>
      <c r="D345" s="792" t="s">
        <v>779</v>
      </c>
      <c r="E345" s="793" t="s">
        <v>763</v>
      </c>
      <c r="F345" s="793" t="s">
        <v>919</v>
      </c>
      <c r="G345" s="793" t="s">
        <v>782</v>
      </c>
      <c r="H345" s="793" t="s">
        <v>913</v>
      </c>
      <c r="I345" s="794">
        <v>8.0771636645660273E-3</v>
      </c>
      <c r="J345" s="794">
        <v>9.4757174838254468</v>
      </c>
      <c r="K345" s="771"/>
    </row>
    <row r="346" spans="1:11" ht="18.75" customHeight="1" outlineLevel="2">
      <c r="A346" s="791" t="s">
        <v>776</v>
      </c>
      <c r="B346" s="791" t="s">
        <v>1008</v>
      </c>
      <c r="C346" s="791" t="s">
        <v>1009</v>
      </c>
      <c r="D346" s="792" t="s">
        <v>779</v>
      </c>
      <c r="E346" s="793" t="s">
        <v>763</v>
      </c>
      <c r="F346" s="793" t="s">
        <v>920</v>
      </c>
      <c r="G346" s="793" t="s">
        <v>782</v>
      </c>
      <c r="H346" s="793" t="s">
        <v>913</v>
      </c>
      <c r="I346" s="794">
        <v>8.7728600356149411E-4</v>
      </c>
      <c r="J346" s="794">
        <v>17.454020183079322</v>
      </c>
      <c r="K346" s="771"/>
    </row>
    <row r="347" spans="1:11" ht="18.75" customHeight="1" outlineLevel="2">
      <c r="A347" s="791" t="s">
        <v>776</v>
      </c>
      <c r="B347" s="791" t="s">
        <v>1008</v>
      </c>
      <c r="C347" s="791" t="s">
        <v>1009</v>
      </c>
      <c r="D347" s="792" t="s">
        <v>779</v>
      </c>
      <c r="E347" s="793" t="s">
        <v>763</v>
      </c>
      <c r="F347" s="793" t="s">
        <v>921</v>
      </c>
      <c r="G347" s="793" t="s">
        <v>782</v>
      </c>
      <c r="H347" s="793" t="s">
        <v>913</v>
      </c>
      <c r="I347" s="794">
        <v>4.071710518020584E-3</v>
      </c>
      <c r="J347" s="794">
        <v>7.1119433699550321</v>
      </c>
      <c r="K347" s="771"/>
    </row>
    <row r="348" spans="1:11" ht="18.75" customHeight="1" outlineLevel="2">
      <c r="A348" s="791" t="s">
        <v>776</v>
      </c>
      <c r="B348" s="791" t="s">
        <v>1008</v>
      </c>
      <c r="C348" s="791" t="s">
        <v>1009</v>
      </c>
      <c r="D348" s="792" t="s">
        <v>779</v>
      </c>
      <c r="E348" s="793" t="s">
        <v>763</v>
      </c>
      <c r="F348" s="793" t="s">
        <v>922</v>
      </c>
      <c r="G348" s="793" t="s">
        <v>782</v>
      </c>
      <c r="H348" s="793" t="s">
        <v>913</v>
      </c>
      <c r="I348" s="794">
        <v>6.0867366778153255E-4</v>
      </c>
      <c r="J348" s="794">
        <v>1.1656475980478724</v>
      </c>
      <c r="K348" s="771"/>
    </row>
    <row r="349" spans="1:11" ht="18.75" customHeight="1" outlineLevel="2">
      <c r="A349" s="791" t="s">
        <v>776</v>
      </c>
      <c r="B349" s="791" t="s">
        <v>1008</v>
      </c>
      <c r="C349" s="791" t="s">
        <v>1009</v>
      </c>
      <c r="D349" s="792" t="s">
        <v>779</v>
      </c>
      <c r="E349" s="793" t="s">
        <v>763</v>
      </c>
      <c r="F349" s="793" t="s">
        <v>923</v>
      </c>
      <c r="G349" s="793" t="s">
        <v>782</v>
      </c>
      <c r="H349" s="793" t="s">
        <v>913</v>
      </c>
      <c r="I349" s="794">
        <v>3.3358421748486511E-3</v>
      </c>
      <c r="J349" s="794">
        <v>12.120702182433542</v>
      </c>
      <c r="K349" s="771"/>
    </row>
    <row r="350" spans="1:11" ht="18.75" customHeight="1" outlineLevel="2">
      <c r="A350" s="791" t="s">
        <v>776</v>
      </c>
      <c r="B350" s="791" t="s">
        <v>1008</v>
      </c>
      <c r="C350" s="791" t="s">
        <v>1009</v>
      </c>
      <c r="D350" s="792" t="s">
        <v>779</v>
      </c>
      <c r="E350" s="793" t="s">
        <v>763</v>
      </c>
      <c r="F350" s="793" t="s">
        <v>924</v>
      </c>
      <c r="G350" s="793" t="s">
        <v>782</v>
      </c>
      <c r="H350" s="793" t="s">
        <v>913</v>
      </c>
      <c r="I350" s="794">
        <v>2.7481911033349019E-3</v>
      </c>
      <c r="J350" s="794">
        <v>29.268844900040687</v>
      </c>
      <c r="K350" s="771"/>
    </row>
    <row r="351" spans="1:11" ht="18.75" customHeight="1" outlineLevel="2">
      <c r="A351" s="791" t="s">
        <v>776</v>
      </c>
      <c r="B351" s="791" t="s">
        <v>1008</v>
      </c>
      <c r="C351" s="791" t="s">
        <v>1009</v>
      </c>
      <c r="D351" s="792" t="s">
        <v>779</v>
      </c>
      <c r="E351" s="793" t="s">
        <v>763</v>
      </c>
      <c r="F351" s="793" t="s">
        <v>925</v>
      </c>
      <c r="G351" s="793" t="s">
        <v>782</v>
      </c>
      <c r="H351" s="793" t="s">
        <v>913</v>
      </c>
      <c r="I351" s="794">
        <v>1.9337510913221251E-4</v>
      </c>
      <c r="J351" s="794">
        <v>3.0794641722331506</v>
      </c>
      <c r="K351" s="771"/>
    </row>
    <row r="352" spans="1:11" ht="18.75" customHeight="1" outlineLevel="2">
      <c r="A352" s="791" t="s">
        <v>776</v>
      </c>
      <c r="B352" s="791" t="s">
        <v>1008</v>
      </c>
      <c r="C352" s="791" t="s">
        <v>1009</v>
      </c>
      <c r="D352" s="792" t="s">
        <v>779</v>
      </c>
      <c r="E352" s="793" t="s">
        <v>763</v>
      </c>
      <c r="F352" s="793" t="s">
        <v>926</v>
      </c>
      <c r="G352" s="793" t="s">
        <v>782</v>
      </c>
      <c r="H352" s="793" t="s">
        <v>913</v>
      </c>
      <c r="I352" s="794">
        <v>1.4340644027744615E-2</v>
      </c>
      <c r="J352" s="794">
        <v>26.363890501737799</v>
      </c>
      <c r="K352" s="771"/>
    </row>
    <row r="353" spans="1:11" ht="18.75" customHeight="1" outlineLevel="2">
      <c r="A353" s="791" t="s">
        <v>776</v>
      </c>
      <c r="B353" s="791" t="s">
        <v>1008</v>
      </c>
      <c r="C353" s="791" t="s">
        <v>1009</v>
      </c>
      <c r="D353" s="792" t="s">
        <v>779</v>
      </c>
      <c r="E353" s="793" t="s">
        <v>763</v>
      </c>
      <c r="F353" s="793" t="s">
        <v>927</v>
      </c>
      <c r="G353" s="793" t="s">
        <v>782</v>
      </c>
      <c r="H353" s="793" t="s">
        <v>913</v>
      </c>
      <c r="I353" s="794">
        <v>7.9934581612318822E-3</v>
      </c>
      <c r="J353" s="794">
        <v>11.064189494554908</v>
      </c>
      <c r="K353" s="771"/>
    </row>
    <row r="354" spans="1:11" ht="18.75" customHeight="1" outlineLevel="2">
      <c r="A354" s="791" t="s">
        <v>776</v>
      </c>
      <c r="B354" s="791" t="s">
        <v>1008</v>
      </c>
      <c r="C354" s="791" t="s">
        <v>1009</v>
      </c>
      <c r="D354" s="792" t="s">
        <v>779</v>
      </c>
      <c r="E354" s="793" t="s">
        <v>763</v>
      </c>
      <c r="F354" s="793" t="s">
        <v>928</v>
      </c>
      <c r="G354" s="793" t="s">
        <v>785</v>
      </c>
      <c r="H354" s="793" t="s">
        <v>913</v>
      </c>
      <c r="I354" s="794">
        <v>5.2372667530183235E-2</v>
      </c>
      <c r="J354" s="794">
        <v>161.22349775035511</v>
      </c>
      <c r="K354" s="771"/>
    </row>
    <row r="355" spans="1:11" ht="18.75" customHeight="1" outlineLevel="2">
      <c r="A355" s="791" t="s">
        <v>776</v>
      </c>
      <c r="B355" s="791" t="s">
        <v>1008</v>
      </c>
      <c r="C355" s="791" t="s">
        <v>1009</v>
      </c>
      <c r="D355" s="792" t="s">
        <v>779</v>
      </c>
      <c r="E355" s="793" t="s">
        <v>763</v>
      </c>
      <c r="F355" s="793" t="s">
        <v>929</v>
      </c>
      <c r="G355" s="793" t="s">
        <v>785</v>
      </c>
      <c r="H355" s="793" t="s">
        <v>913</v>
      </c>
      <c r="I355" s="794">
        <v>1.0412034975949218</v>
      </c>
      <c r="J355" s="794">
        <v>14665.042214755653</v>
      </c>
      <c r="K355" s="771"/>
    </row>
    <row r="356" spans="1:11" ht="18.75" customHeight="1" outlineLevel="2">
      <c r="A356" s="791" t="s">
        <v>776</v>
      </c>
      <c r="B356" s="791" t="s">
        <v>1008</v>
      </c>
      <c r="C356" s="791" t="s">
        <v>1009</v>
      </c>
      <c r="D356" s="792" t="s">
        <v>779</v>
      </c>
      <c r="E356" s="793" t="s">
        <v>763</v>
      </c>
      <c r="F356" s="793" t="s">
        <v>930</v>
      </c>
      <c r="G356" s="793" t="s">
        <v>785</v>
      </c>
      <c r="H356" s="793" t="s">
        <v>913</v>
      </c>
      <c r="I356" s="794">
        <v>6.1988112295753087E-3</v>
      </c>
      <c r="J356" s="794">
        <v>109.24886571472341</v>
      </c>
      <c r="K356" s="771"/>
    </row>
    <row r="357" spans="1:11" ht="18.75" customHeight="1" outlineLevel="2">
      <c r="A357" s="791" t="s">
        <v>776</v>
      </c>
      <c r="B357" s="791" t="s">
        <v>1008</v>
      </c>
      <c r="C357" s="791" t="s">
        <v>1009</v>
      </c>
      <c r="D357" s="792" t="s">
        <v>779</v>
      </c>
      <c r="E357" s="793" t="s">
        <v>763</v>
      </c>
      <c r="F357" s="793" t="s">
        <v>931</v>
      </c>
      <c r="G357" s="793" t="s">
        <v>785</v>
      </c>
      <c r="H357" s="793" t="s">
        <v>913</v>
      </c>
      <c r="I357" s="794">
        <v>2.0736239033840999E-3</v>
      </c>
      <c r="J357" s="794">
        <v>34.460995348511958</v>
      </c>
      <c r="K357" s="771"/>
    </row>
    <row r="358" spans="1:11" ht="18.75" customHeight="1" outlineLevel="2">
      <c r="A358" s="791" t="s">
        <v>776</v>
      </c>
      <c r="B358" s="791" t="s">
        <v>1008</v>
      </c>
      <c r="C358" s="791" t="s">
        <v>1009</v>
      </c>
      <c r="D358" s="792" t="s">
        <v>779</v>
      </c>
      <c r="E358" s="793" t="s">
        <v>763</v>
      </c>
      <c r="F358" s="793" t="s">
        <v>932</v>
      </c>
      <c r="G358" s="793" t="s">
        <v>785</v>
      </c>
      <c r="H358" s="793" t="s">
        <v>913</v>
      </c>
      <c r="I358" s="794">
        <v>2.2141143126365656E-3</v>
      </c>
      <c r="J358" s="794">
        <v>8.5108386143434593</v>
      </c>
      <c r="K358" s="771"/>
    </row>
    <row r="359" spans="1:11" ht="18.75" customHeight="1" outlineLevel="2">
      <c r="A359" s="791" t="s">
        <v>776</v>
      </c>
      <c r="B359" s="791" t="s">
        <v>1008</v>
      </c>
      <c r="C359" s="791" t="s">
        <v>1009</v>
      </c>
      <c r="D359" s="792" t="s">
        <v>779</v>
      </c>
      <c r="E359" s="793" t="s">
        <v>763</v>
      </c>
      <c r="F359" s="793" t="s">
        <v>933</v>
      </c>
      <c r="G359" s="793" t="s">
        <v>785</v>
      </c>
      <c r="H359" s="793" t="s">
        <v>913</v>
      </c>
      <c r="I359" s="794">
        <v>3.107785609771378E-3</v>
      </c>
      <c r="J359" s="794">
        <v>67.684744298083686</v>
      </c>
      <c r="K359" s="771"/>
    </row>
    <row r="360" spans="1:11" ht="18.75" customHeight="1" outlineLevel="2">
      <c r="A360" s="791" t="s">
        <v>776</v>
      </c>
      <c r="B360" s="791" t="s">
        <v>1008</v>
      </c>
      <c r="C360" s="791" t="s">
        <v>1009</v>
      </c>
      <c r="D360" s="792" t="s">
        <v>779</v>
      </c>
      <c r="E360" s="793" t="s">
        <v>763</v>
      </c>
      <c r="F360" s="793" t="s">
        <v>934</v>
      </c>
      <c r="G360" s="793" t="s">
        <v>813</v>
      </c>
      <c r="H360" s="793" t="s">
        <v>913</v>
      </c>
      <c r="I360" s="794">
        <v>2.5370344774873866E-2</v>
      </c>
      <c r="J360" s="794">
        <v>384.46970892855433</v>
      </c>
      <c r="K360" s="771"/>
    </row>
    <row r="361" spans="1:11" ht="18.75" customHeight="1" outlineLevel="2">
      <c r="A361" s="791" t="s">
        <v>776</v>
      </c>
      <c r="B361" s="791" t="s">
        <v>1008</v>
      </c>
      <c r="C361" s="791" t="s">
        <v>1009</v>
      </c>
      <c r="D361" s="792" t="s">
        <v>779</v>
      </c>
      <c r="E361" s="793" t="s">
        <v>763</v>
      </c>
      <c r="F361" s="793" t="s">
        <v>935</v>
      </c>
      <c r="G361" s="793" t="s">
        <v>791</v>
      </c>
      <c r="H361" s="793" t="s">
        <v>913</v>
      </c>
      <c r="I361" s="794">
        <v>1.0295703713317042E-5</v>
      </c>
      <c r="J361" s="794">
        <v>1.2973430590845297E-2</v>
      </c>
      <c r="K361" s="771"/>
    </row>
    <row r="362" spans="1:11" ht="18.75" customHeight="1" outlineLevel="2">
      <c r="A362" s="791" t="s">
        <v>776</v>
      </c>
      <c r="B362" s="791" t="s">
        <v>1008</v>
      </c>
      <c r="C362" s="791" t="s">
        <v>1009</v>
      </c>
      <c r="D362" s="792" t="s">
        <v>779</v>
      </c>
      <c r="E362" s="793" t="s">
        <v>763</v>
      </c>
      <c r="F362" s="793" t="s">
        <v>936</v>
      </c>
      <c r="G362" s="793" t="s">
        <v>791</v>
      </c>
      <c r="H362" s="793" t="s">
        <v>913</v>
      </c>
      <c r="I362" s="794">
        <v>1.4917532115093527E-6</v>
      </c>
      <c r="J362" s="794">
        <v>2.5268601637958236E-2</v>
      </c>
      <c r="K362" s="771"/>
    </row>
    <row r="363" spans="1:11" ht="18.75" customHeight="1" outlineLevel="2">
      <c r="A363" s="791" t="s">
        <v>776</v>
      </c>
      <c r="B363" s="791" t="s">
        <v>1008</v>
      </c>
      <c r="C363" s="791" t="s">
        <v>1009</v>
      </c>
      <c r="D363" s="792" t="s">
        <v>779</v>
      </c>
      <c r="E363" s="793" t="s">
        <v>763</v>
      </c>
      <c r="F363" s="793" t="s">
        <v>937</v>
      </c>
      <c r="G363" s="793" t="s">
        <v>794</v>
      </c>
      <c r="H363" s="793" t="s">
        <v>913</v>
      </c>
      <c r="I363" s="794">
        <v>0.23199842528191947</v>
      </c>
      <c r="J363" s="794">
        <v>569.63093927923762</v>
      </c>
      <c r="K363" s="771"/>
    </row>
    <row r="364" spans="1:11" ht="18.75" customHeight="1" outlineLevel="2">
      <c r="A364" s="791" t="s">
        <v>776</v>
      </c>
      <c r="B364" s="791" t="s">
        <v>1008</v>
      </c>
      <c r="C364" s="791" t="s">
        <v>1009</v>
      </c>
      <c r="D364" s="792" t="s">
        <v>779</v>
      </c>
      <c r="E364" s="793" t="s">
        <v>763</v>
      </c>
      <c r="F364" s="793" t="s">
        <v>938</v>
      </c>
      <c r="G364" s="793" t="s">
        <v>794</v>
      </c>
      <c r="H364" s="793" t="s">
        <v>913</v>
      </c>
      <c r="I364" s="794">
        <v>2.7298398542693E-2</v>
      </c>
      <c r="J364" s="794">
        <v>124.68505163123176</v>
      </c>
      <c r="K364" s="771"/>
    </row>
    <row r="365" spans="1:11" ht="18.75" customHeight="1" outlineLevel="2">
      <c r="A365" s="791" t="s">
        <v>776</v>
      </c>
      <c r="B365" s="791" t="s">
        <v>1008</v>
      </c>
      <c r="C365" s="791" t="s">
        <v>1009</v>
      </c>
      <c r="D365" s="792" t="s">
        <v>779</v>
      </c>
      <c r="E365" s="793" t="s">
        <v>763</v>
      </c>
      <c r="F365" s="793" t="s">
        <v>939</v>
      </c>
      <c r="G365" s="793" t="s">
        <v>794</v>
      </c>
      <c r="H365" s="793" t="s">
        <v>913</v>
      </c>
      <c r="I365" s="794">
        <v>1.4233625696452463E-2</v>
      </c>
      <c r="J365" s="794">
        <v>145.59149457129624</v>
      </c>
      <c r="K365" s="771"/>
    </row>
    <row r="366" spans="1:11" ht="18.75" customHeight="1" outlineLevel="2">
      <c r="A366" s="791" t="s">
        <v>776</v>
      </c>
      <c r="B366" s="791" t="s">
        <v>1008</v>
      </c>
      <c r="C366" s="791" t="s">
        <v>1009</v>
      </c>
      <c r="D366" s="792" t="s">
        <v>779</v>
      </c>
      <c r="E366" s="793" t="s">
        <v>763</v>
      </c>
      <c r="F366" s="793" t="s">
        <v>940</v>
      </c>
      <c r="G366" s="793" t="s">
        <v>794</v>
      </c>
      <c r="H366" s="793" t="s">
        <v>913</v>
      </c>
      <c r="I366" s="794">
        <v>2.3563681314720541E-2</v>
      </c>
      <c r="J366" s="794">
        <v>180.94898014760437</v>
      </c>
      <c r="K366" s="771"/>
    </row>
    <row r="367" spans="1:11" ht="18.75" customHeight="1" outlineLevel="2">
      <c r="A367" s="791" t="s">
        <v>776</v>
      </c>
      <c r="B367" s="791" t="s">
        <v>1008</v>
      </c>
      <c r="C367" s="791" t="s">
        <v>1009</v>
      </c>
      <c r="D367" s="792" t="s">
        <v>779</v>
      </c>
      <c r="E367" s="793" t="s">
        <v>763</v>
      </c>
      <c r="F367" s="793" t="s">
        <v>941</v>
      </c>
      <c r="G367" s="793" t="s">
        <v>794</v>
      </c>
      <c r="H367" s="793" t="s">
        <v>913</v>
      </c>
      <c r="I367" s="794">
        <v>8.1568427557142538E-4</v>
      </c>
      <c r="J367" s="794">
        <v>2.4610058803182575</v>
      </c>
      <c r="K367" s="771"/>
    </row>
    <row r="368" spans="1:11" ht="18.75" customHeight="1" outlineLevel="2">
      <c r="A368" s="791" t="s">
        <v>776</v>
      </c>
      <c r="B368" s="791" t="s">
        <v>1008</v>
      </c>
      <c r="C368" s="791" t="s">
        <v>1009</v>
      </c>
      <c r="D368" s="792" t="s">
        <v>779</v>
      </c>
      <c r="E368" s="793" t="s">
        <v>763</v>
      </c>
      <c r="F368" s="793" t="s">
        <v>942</v>
      </c>
      <c r="G368" s="793" t="s">
        <v>794</v>
      </c>
      <c r="H368" s="793" t="s">
        <v>913</v>
      </c>
      <c r="I368" s="794">
        <v>1.9335626542371629E-4</v>
      </c>
      <c r="J368" s="794">
        <v>2.2343800687879409</v>
      </c>
      <c r="K368" s="771"/>
    </row>
    <row r="369" spans="1:11" ht="18.75" customHeight="1" outlineLevel="2">
      <c r="A369" s="791" t="s">
        <v>776</v>
      </c>
      <c r="B369" s="791" t="s">
        <v>1008</v>
      </c>
      <c r="C369" s="791" t="s">
        <v>1009</v>
      </c>
      <c r="D369" s="792" t="s">
        <v>779</v>
      </c>
      <c r="E369" s="793" t="s">
        <v>763</v>
      </c>
      <c r="F369" s="793" t="s">
        <v>943</v>
      </c>
      <c r="G369" s="793" t="s">
        <v>944</v>
      </c>
      <c r="H369" s="793" t="s">
        <v>913</v>
      </c>
      <c r="I369" s="794">
        <v>5.2512624836497939E-5</v>
      </c>
      <c r="J369" s="794">
        <v>0.22687252497501628</v>
      </c>
      <c r="K369" s="771"/>
    </row>
    <row r="370" spans="1:11" ht="18.75" customHeight="1" outlineLevel="2">
      <c r="A370" s="791" t="s">
        <v>776</v>
      </c>
      <c r="B370" s="791" t="s">
        <v>1008</v>
      </c>
      <c r="C370" s="791" t="s">
        <v>1009</v>
      </c>
      <c r="D370" s="792" t="s">
        <v>779</v>
      </c>
      <c r="E370" s="793" t="s">
        <v>764</v>
      </c>
      <c r="F370" s="793" t="s">
        <v>945</v>
      </c>
      <c r="G370" s="793" t="s">
        <v>244</v>
      </c>
      <c r="H370" s="793" t="s">
        <v>905</v>
      </c>
      <c r="I370" s="794">
        <v>9.9507946740141309E-2</v>
      </c>
      <c r="J370" s="794">
        <v>3581.3691817281479</v>
      </c>
      <c r="K370" s="771"/>
    </row>
    <row r="371" spans="1:11" ht="18.75" customHeight="1" outlineLevel="2">
      <c r="A371" s="791" t="s">
        <v>776</v>
      </c>
      <c r="B371" s="791" t="s">
        <v>1008</v>
      </c>
      <c r="C371" s="791" t="s">
        <v>1009</v>
      </c>
      <c r="D371" s="792" t="s">
        <v>779</v>
      </c>
      <c r="E371" s="793" t="s">
        <v>764</v>
      </c>
      <c r="F371" s="793" t="s">
        <v>946</v>
      </c>
      <c r="G371" s="793" t="s">
        <v>244</v>
      </c>
      <c r="H371" s="793" t="s">
        <v>905</v>
      </c>
      <c r="I371" s="794">
        <v>6.15180239981346E-4</v>
      </c>
      <c r="J371" s="794">
        <v>11.669618843089953</v>
      </c>
      <c r="K371" s="771"/>
    </row>
    <row r="372" spans="1:11" ht="18.75" customHeight="1" outlineLevel="2">
      <c r="A372" s="791" t="s">
        <v>776</v>
      </c>
      <c r="B372" s="791" t="s">
        <v>1008</v>
      </c>
      <c r="C372" s="791" t="s">
        <v>1009</v>
      </c>
      <c r="D372" s="792" t="s">
        <v>779</v>
      </c>
      <c r="E372" s="793" t="s">
        <v>947</v>
      </c>
      <c r="F372" s="793" t="s">
        <v>948</v>
      </c>
      <c r="G372" s="793" t="s">
        <v>799</v>
      </c>
      <c r="H372" s="793" t="s">
        <v>800</v>
      </c>
      <c r="I372" s="794">
        <v>9.3234536935001017E-3</v>
      </c>
      <c r="J372" s="794">
        <v>230.48893820305238</v>
      </c>
      <c r="K372" s="771"/>
    </row>
    <row r="373" spans="1:11" ht="18.75" customHeight="1" outlineLevel="2">
      <c r="A373" s="791" t="s">
        <v>776</v>
      </c>
      <c r="B373" s="791" t="s">
        <v>1008</v>
      </c>
      <c r="C373" s="791" t="s">
        <v>1009</v>
      </c>
      <c r="D373" s="792" t="s">
        <v>779</v>
      </c>
      <c r="E373" s="793" t="s">
        <v>947</v>
      </c>
      <c r="F373" s="793" t="s">
        <v>949</v>
      </c>
      <c r="G373" s="793" t="s">
        <v>782</v>
      </c>
      <c r="H373" s="793" t="s">
        <v>804</v>
      </c>
      <c r="I373" s="794">
        <v>1.2509789654355894E-2</v>
      </c>
      <c r="J373" s="794">
        <v>729.57631530180811</v>
      </c>
      <c r="K373" s="771"/>
    </row>
    <row r="374" spans="1:11" ht="18.75" customHeight="1" outlineLevel="2">
      <c r="A374" s="791" t="s">
        <v>776</v>
      </c>
      <c r="B374" s="791" t="s">
        <v>1008</v>
      </c>
      <c r="C374" s="791" t="s">
        <v>1009</v>
      </c>
      <c r="D374" s="792" t="s">
        <v>779</v>
      </c>
      <c r="E374" s="793" t="s">
        <v>947</v>
      </c>
      <c r="F374" s="793" t="s">
        <v>950</v>
      </c>
      <c r="G374" s="793" t="s">
        <v>782</v>
      </c>
      <c r="H374" s="793" t="s">
        <v>804</v>
      </c>
      <c r="I374" s="794">
        <v>1.0756286267376581E-4</v>
      </c>
      <c r="J374" s="794">
        <v>1.188099291139282</v>
      </c>
      <c r="K374" s="771"/>
    </row>
    <row r="375" spans="1:11" ht="18.75" customHeight="1" outlineLevel="2">
      <c r="A375" s="791" t="s">
        <v>776</v>
      </c>
      <c r="B375" s="791" t="s">
        <v>1008</v>
      </c>
      <c r="C375" s="791" t="s">
        <v>1009</v>
      </c>
      <c r="D375" s="792" t="s">
        <v>779</v>
      </c>
      <c r="E375" s="793" t="s">
        <v>947</v>
      </c>
      <c r="F375" s="793" t="s">
        <v>951</v>
      </c>
      <c r="G375" s="793" t="s">
        <v>782</v>
      </c>
      <c r="H375" s="793" t="s">
        <v>804</v>
      </c>
      <c r="I375" s="794">
        <v>1.5599383176460562E-3</v>
      </c>
      <c r="J375" s="794">
        <v>19.571233697751808</v>
      </c>
      <c r="K375" s="771"/>
    </row>
    <row r="376" spans="1:11" ht="18.75" customHeight="1" outlineLevel="2">
      <c r="A376" s="791" t="s">
        <v>776</v>
      </c>
      <c r="B376" s="791" t="s">
        <v>1008</v>
      </c>
      <c r="C376" s="791" t="s">
        <v>1009</v>
      </c>
      <c r="D376" s="792" t="s">
        <v>779</v>
      </c>
      <c r="E376" s="793" t="s">
        <v>947</v>
      </c>
      <c r="F376" s="793" t="s">
        <v>952</v>
      </c>
      <c r="G376" s="793" t="s">
        <v>782</v>
      </c>
      <c r="H376" s="793" t="s">
        <v>804</v>
      </c>
      <c r="I376" s="794">
        <v>3.5622819516453984E-2</v>
      </c>
      <c r="J376" s="794">
        <v>1826.239585164938</v>
      </c>
      <c r="K376" s="771"/>
    </row>
    <row r="377" spans="1:11" ht="18.75" customHeight="1" outlineLevel="2">
      <c r="A377" s="791" t="s">
        <v>776</v>
      </c>
      <c r="B377" s="791" t="s">
        <v>1008</v>
      </c>
      <c r="C377" s="791" t="s">
        <v>1009</v>
      </c>
      <c r="D377" s="792" t="s">
        <v>779</v>
      </c>
      <c r="E377" s="793" t="s">
        <v>947</v>
      </c>
      <c r="F377" s="793" t="s">
        <v>953</v>
      </c>
      <c r="G377" s="793" t="s">
        <v>782</v>
      </c>
      <c r="H377" s="793" t="s">
        <v>804</v>
      </c>
      <c r="I377" s="794">
        <v>2.7042246292141758E-2</v>
      </c>
      <c r="J377" s="794">
        <v>1987.072561387042</v>
      </c>
      <c r="K377" s="771"/>
    </row>
    <row r="378" spans="1:11" ht="18.75" customHeight="1" outlineLevel="2">
      <c r="A378" s="791" t="s">
        <v>776</v>
      </c>
      <c r="B378" s="791" t="s">
        <v>1008</v>
      </c>
      <c r="C378" s="791" t="s">
        <v>1009</v>
      </c>
      <c r="D378" s="792" t="s">
        <v>779</v>
      </c>
      <c r="E378" s="793" t="s">
        <v>947</v>
      </c>
      <c r="F378" s="793" t="s">
        <v>954</v>
      </c>
      <c r="G378" s="793" t="s">
        <v>782</v>
      </c>
      <c r="H378" s="793" t="s">
        <v>804</v>
      </c>
      <c r="I378" s="794">
        <v>3.0552090474217481E-3</v>
      </c>
      <c r="J378" s="794">
        <v>109.72242239914959</v>
      </c>
      <c r="K378" s="771"/>
    </row>
    <row r="379" spans="1:11" ht="18.75" customHeight="1" outlineLevel="2">
      <c r="A379" s="791" t="s">
        <v>776</v>
      </c>
      <c r="B379" s="791" t="s">
        <v>1008</v>
      </c>
      <c r="C379" s="791" t="s">
        <v>1009</v>
      </c>
      <c r="D379" s="792" t="s">
        <v>779</v>
      </c>
      <c r="E379" s="793" t="s">
        <v>947</v>
      </c>
      <c r="F379" s="793" t="s">
        <v>955</v>
      </c>
      <c r="G379" s="793" t="s">
        <v>782</v>
      </c>
      <c r="H379" s="793" t="s">
        <v>804</v>
      </c>
      <c r="I379" s="794">
        <v>1.6250374980568711E-3</v>
      </c>
      <c r="J379" s="794">
        <v>74.716241879398581</v>
      </c>
      <c r="K379" s="771"/>
    </row>
    <row r="380" spans="1:11" ht="18.75" customHeight="1" outlineLevel="2">
      <c r="A380" s="791" t="s">
        <v>776</v>
      </c>
      <c r="B380" s="791" t="s">
        <v>1008</v>
      </c>
      <c r="C380" s="791" t="s">
        <v>1009</v>
      </c>
      <c r="D380" s="792" t="s">
        <v>779</v>
      </c>
      <c r="E380" s="793" t="s">
        <v>947</v>
      </c>
      <c r="F380" s="793" t="s">
        <v>956</v>
      </c>
      <c r="G380" s="793" t="s">
        <v>782</v>
      </c>
      <c r="H380" s="793" t="s">
        <v>804</v>
      </c>
      <c r="I380" s="794">
        <v>8.6370128744689984E-3</v>
      </c>
      <c r="J380" s="794">
        <v>205.17802506473828</v>
      </c>
      <c r="K380" s="771"/>
    </row>
    <row r="381" spans="1:11" ht="18.75" customHeight="1" outlineLevel="2">
      <c r="A381" s="791" t="s">
        <v>776</v>
      </c>
      <c r="B381" s="791" t="s">
        <v>1008</v>
      </c>
      <c r="C381" s="791" t="s">
        <v>1009</v>
      </c>
      <c r="D381" s="792" t="s">
        <v>779</v>
      </c>
      <c r="E381" s="793" t="s">
        <v>947</v>
      </c>
      <c r="F381" s="793" t="s">
        <v>957</v>
      </c>
      <c r="G381" s="793" t="s">
        <v>782</v>
      </c>
      <c r="H381" s="793" t="s">
        <v>804</v>
      </c>
      <c r="I381" s="794">
        <v>2.475984663340506E-2</v>
      </c>
      <c r="J381" s="794">
        <v>878.01109221558261</v>
      </c>
      <c r="K381" s="771"/>
    </row>
    <row r="382" spans="1:11" ht="18.75" customHeight="1" outlineLevel="2">
      <c r="A382" s="791" t="s">
        <v>776</v>
      </c>
      <c r="B382" s="791" t="s">
        <v>1008</v>
      </c>
      <c r="C382" s="791" t="s">
        <v>1009</v>
      </c>
      <c r="D382" s="792" t="s">
        <v>779</v>
      </c>
      <c r="E382" s="793" t="s">
        <v>947</v>
      </c>
      <c r="F382" s="793" t="s">
        <v>958</v>
      </c>
      <c r="G382" s="793" t="s">
        <v>782</v>
      </c>
      <c r="H382" s="793" t="s">
        <v>804</v>
      </c>
      <c r="I382" s="794">
        <v>1.7504399429479574E-2</v>
      </c>
      <c r="J382" s="794">
        <v>964.00166496416261</v>
      </c>
      <c r="K382" s="771"/>
    </row>
    <row r="383" spans="1:11" ht="18.75" customHeight="1" outlineLevel="2">
      <c r="A383" s="791" t="s">
        <v>776</v>
      </c>
      <c r="B383" s="791" t="s">
        <v>1008</v>
      </c>
      <c r="C383" s="791" t="s">
        <v>1009</v>
      </c>
      <c r="D383" s="792" t="s">
        <v>779</v>
      </c>
      <c r="E383" s="793" t="s">
        <v>947</v>
      </c>
      <c r="F383" s="793" t="s">
        <v>959</v>
      </c>
      <c r="G383" s="793" t="s">
        <v>782</v>
      </c>
      <c r="H383" s="793" t="s">
        <v>804</v>
      </c>
      <c r="I383" s="794">
        <v>9.5967233270575367E-2</v>
      </c>
      <c r="J383" s="794">
        <v>7402.0639345689315</v>
      </c>
      <c r="K383" s="771"/>
    </row>
    <row r="384" spans="1:11" ht="18.75" customHeight="1" outlineLevel="2">
      <c r="A384" s="791" t="s">
        <v>776</v>
      </c>
      <c r="B384" s="791" t="s">
        <v>1008</v>
      </c>
      <c r="C384" s="791" t="s">
        <v>1009</v>
      </c>
      <c r="D384" s="792" t="s">
        <v>779</v>
      </c>
      <c r="E384" s="793" t="s">
        <v>947</v>
      </c>
      <c r="F384" s="793" t="s">
        <v>960</v>
      </c>
      <c r="G384" s="793" t="s">
        <v>782</v>
      </c>
      <c r="H384" s="793" t="s">
        <v>804</v>
      </c>
      <c r="I384" s="794">
        <v>2.0297788592634944E-3</v>
      </c>
      <c r="J384" s="794">
        <v>61.549052243615414</v>
      </c>
      <c r="K384" s="771"/>
    </row>
    <row r="385" spans="1:11" ht="18.75" customHeight="1" outlineLevel="2">
      <c r="A385" s="791" t="s">
        <v>776</v>
      </c>
      <c r="B385" s="791" t="s">
        <v>1008</v>
      </c>
      <c r="C385" s="791" t="s">
        <v>1009</v>
      </c>
      <c r="D385" s="792" t="s">
        <v>779</v>
      </c>
      <c r="E385" s="793" t="s">
        <v>947</v>
      </c>
      <c r="F385" s="793" t="s">
        <v>961</v>
      </c>
      <c r="G385" s="793" t="s">
        <v>782</v>
      </c>
      <c r="H385" s="793" t="s">
        <v>804</v>
      </c>
      <c r="I385" s="794">
        <v>7.9934920250968077E-4</v>
      </c>
      <c r="J385" s="794">
        <v>37.686607742216125</v>
      </c>
      <c r="K385" s="771"/>
    </row>
    <row r="386" spans="1:11" ht="18.75" customHeight="1" outlineLevel="2">
      <c r="A386" s="791" t="s">
        <v>776</v>
      </c>
      <c r="B386" s="791" t="s">
        <v>1008</v>
      </c>
      <c r="C386" s="791" t="s">
        <v>1009</v>
      </c>
      <c r="D386" s="792" t="s">
        <v>779</v>
      </c>
      <c r="E386" s="793" t="s">
        <v>947</v>
      </c>
      <c r="F386" s="793" t="s">
        <v>962</v>
      </c>
      <c r="G386" s="793" t="s">
        <v>782</v>
      </c>
      <c r="H386" s="793" t="s">
        <v>804</v>
      </c>
      <c r="I386" s="794">
        <v>2.8318436049993165E-2</v>
      </c>
      <c r="J386" s="794">
        <v>1691.9220651909486</v>
      </c>
      <c r="K386" s="771"/>
    </row>
    <row r="387" spans="1:11" ht="18.75" customHeight="1" outlineLevel="2">
      <c r="A387" s="791" t="s">
        <v>776</v>
      </c>
      <c r="B387" s="791" t="s">
        <v>1008</v>
      </c>
      <c r="C387" s="791" t="s">
        <v>1009</v>
      </c>
      <c r="D387" s="792" t="s">
        <v>779</v>
      </c>
      <c r="E387" s="793" t="s">
        <v>947</v>
      </c>
      <c r="F387" s="793" t="s">
        <v>963</v>
      </c>
      <c r="G387" s="793" t="s">
        <v>782</v>
      </c>
      <c r="H387" s="793" t="s">
        <v>804</v>
      </c>
      <c r="I387" s="794">
        <v>2.4345759204664807E-2</v>
      </c>
      <c r="J387" s="794">
        <v>1841.678931978171</v>
      </c>
      <c r="K387" s="771"/>
    </row>
    <row r="388" spans="1:11" ht="18.75" customHeight="1" outlineLevel="2">
      <c r="A388" s="791" t="s">
        <v>776</v>
      </c>
      <c r="B388" s="791" t="s">
        <v>1008</v>
      </c>
      <c r="C388" s="791" t="s">
        <v>1009</v>
      </c>
      <c r="D388" s="792" t="s">
        <v>779</v>
      </c>
      <c r="E388" s="793" t="s">
        <v>947</v>
      </c>
      <c r="F388" s="793" t="s">
        <v>964</v>
      </c>
      <c r="G388" s="793" t="s">
        <v>782</v>
      </c>
      <c r="H388" s="793" t="s">
        <v>804</v>
      </c>
      <c r="I388" s="794">
        <v>8.8888668337397309E-2</v>
      </c>
      <c r="J388" s="794">
        <v>6335.1146908036735</v>
      </c>
      <c r="K388" s="771"/>
    </row>
    <row r="389" spans="1:11" ht="18.75" customHeight="1" outlineLevel="2">
      <c r="A389" s="791" t="s">
        <v>776</v>
      </c>
      <c r="B389" s="791" t="s">
        <v>1008</v>
      </c>
      <c r="C389" s="791" t="s">
        <v>1009</v>
      </c>
      <c r="D389" s="792" t="s">
        <v>779</v>
      </c>
      <c r="E389" s="793" t="s">
        <v>947</v>
      </c>
      <c r="F389" s="793" t="s">
        <v>965</v>
      </c>
      <c r="G389" s="793" t="s">
        <v>782</v>
      </c>
      <c r="H389" s="793" t="s">
        <v>804</v>
      </c>
      <c r="I389" s="794">
        <v>6.1186618430427208E-3</v>
      </c>
      <c r="J389" s="794">
        <v>297.88824397673221</v>
      </c>
      <c r="K389" s="771"/>
    </row>
    <row r="390" spans="1:11" ht="18.75" customHeight="1" outlineLevel="2">
      <c r="A390" s="791" t="s">
        <v>776</v>
      </c>
      <c r="B390" s="791" t="s">
        <v>1008</v>
      </c>
      <c r="C390" s="791" t="s">
        <v>1009</v>
      </c>
      <c r="D390" s="792" t="s">
        <v>779</v>
      </c>
      <c r="E390" s="793" t="s">
        <v>947</v>
      </c>
      <c r="F390" s="793" t="s">
        <v>966</v>
      </c>
      <c r="G390" s="793" t="s">
        <v>782</v>
      </c>
      <c r="H390" s="793" t="s">
        <v>804</v>
      </c>
      <c r="I390" s="794">
        <v>5.1450080592834395E-2</v>
      </c>
      <c r="J390" s="794">
        <v>2369.5400157277145</v>
      </c>
      <c r="K390" s="771"/>
    </row>
    <row r="391" spans="1:11" ht="18.75" customHeight="1" outlineLevel="2">
      <c r="A391" s="791" t="s">
        <v>776</v>
      </c>
      <c r="B391" s="791" t="s">
        <v>1008</v>
      </c>
      <c r="C391" s="791" t="s">
        <v>1009</v>
      </c>
      <c r="D391" s="792" t="s">
        <v>779</v>
      </c>
      <c r="E391" s="793" t="s">
        <v>947</v>
      </c>
      <c r="F391" s="793" t="s">
        <v>967</v>
      </c>
      <c r="G391" s="793" t="s">
        <v>782</v>
      </c>
      <c r="H391" s="793" t="s">
        <v>804</v>
      </c>
      <c r="I391" s="794">
        <v>0.12570831123160392</v>
      </c>
      <c r="J391" s="794">
        <v>8055.9848889719924</v>
      </c>
      <c r="K391" s="771"/>
    </row>
    <row r="392" spans="1:11" ht="18.75" customHeight="1" outlineLevel="2">
      <c r="A392" s="791" t="s">
        <v>776</v>
      </c>
      <c r="B392" s="791" t="s">
        <v>1008</v>
      </c>
      <c r="C392" s="791" t="s">
        <v>1009</v>
      </c>
      <c r="D392" s="792" t="s">
        <v>779</v>
      </c>
      <c r="E392" s="793" t="s">
        <v>947</v>
      </c>
      <c r="F392" s="793" t="s">
        <v>968</v>
      </c>
      <c r="G392" s="793" t="s">
        <v>782</v>
      </c>
      <c r="H392" s="793" t="s">
        <v>804</v>
      </c>
      <c r="I392" s="794">
        <v>0.27533220352907717</v>
      </c>
      <c r="J392" s="794">
        <v>5404.4650023335598</v>
      </c>
      <c r="K392" s="771"/>
    </row>
    <row r="393" spans="1:11" ht="18.75" customHeight="1" outlineLevel="2">
      <c r="A393" s="791" t="s">
        <v>776</v>
      </c>
      <c r="B393" s="791" t="s">
        <v>1008</v>
      </c>
      <c r="C393" s="791" t="s">
        <v>1009</v>
      </c>
      <c r="D393" s="792" t="s">
        <v>779</v>
      </c>
      <c r="E393" s="793" t="s">
        <v>947</v>
      </c>
      <c r="F393" s="793" t="s">
        <v>969</v>
      </c>
      <c r="G393" s="793" t="s">
        <v>782</v>
      </c>
      <c r="H393" s="793" t="s">
        <v>804</v>
      </c>
      <c r="I393" s="794">
        <v>0.10123309273749688</v>
      </c>
      <c r="J393" s="794">
        <v>7369.5220551133643</v>
      </c>
      <c r="K393" s="771"/>
    </row>
    <row r="394" spans="1:11" ht="18.75" customHeight="1" outlineLevel="2">
      <c r="A394" s="791" t="s">
        <v>776</v>
      </c>
      <c r="B394" s="791" t="s">
        <v>1008</v>
      </c>
      <c r="C394" s="791" t="s">
        <v>1009</v>
      </c>
      <c r="D394" s="792" t="s">
        <v>779</v>
      </c>
      <c r="E394" s="793" t="s">
        <v>947</v>
      </c>
      <c r="F394" s="793" t="s">
        <v>970</v>
      </c>
      <c r="G394" s="793" t="s">
        <v>782</v>
      </c>
      <c r="H394" s="793" t="s">
        <v>804</v>
      </c>
      <c r="I394" s="794">
        <v>0.18432579395698162</v>
      </c>
      <c r="J394" s="794">
        <v>4242.228212251779</v>
      </c>
      <c r="K394" s="771"/>
    </row>
    <row r="395" spans="1:11" ht="18.75" customHeight="1" outlineLevel="2">
      <c r="A395" s="791" t="s">
        <v>776</v>
      </c>
      <c r="B395" s="791" t="s">
        <v>1008</v>
      </c>
      <c r="C395" s="791" t="s">
        <v>1009</v>
      </c>
      <c r="D395" s="792" t="s">
        <v>779</v>
      </c>
      <c r="E395" s="793" t="s">
        <v>947</v>
      </c>
      <c r="F395" s="793" t="s">
        <v>971</v>
      </c>
      <c r="G395" s="793" t="s">
        <v>782</v>
      </c>
      <c r="H395" s="793" t="s">
        <v>804</v>
      </c>
      <c r="I395" s="794">
        <v>1.082028077450436E-2</v>
      </c>
      <c r="J395" s="794">
        <v>790.75886644601326</v>
      </c>
      <c r="K395" s="771"/>
    </row>
    <row r="396" spans="1:11" ht="18.75" customHeight="1" outlineLevel="2">
      <c r="A396" s="791" t="s">
        <v>776</v>
      </c>
      <c r="B396" s="791" t="s">
        <v>1008</v>
      </c>
      <c r="C396" s="791" t="s">
        <v>1009</v>
      </c>
      <c r="D396" s="792" t="s">
        <v>779</v>
      </c>
      <c r="E396" s="793" t="s">
        <v>947</v>
      </c>
      <c r="F396" s="793" t="s">
        <v>972</v>
      </c>
      <c r="G396" s="793" t="s">
        <v>782</v>
      </c>
      <c r="H396" s="793" t="s">
        <v>804</v>
      </c>
      <c r="I396" s="794">
        <v>5.6199657609764121E-4</v>
      </c>
      <c r="J396" s="794">
        <v>12.97344455530799</v>
      </c>
      <c r="K396" s="771"/>
    </row>
    <row r="397" spans="1:11" ht="18.75" customHeight="1" outlineLevel="2">
      <c r="A397" s="791" t="s">
        <v>776</v>
      </c>
      <c r="B397" s="791" t="s">
        <v>1008</v>
      </c>
      <c r="C397" s="791" t="s">
        <v>1009</v>
      </c>
      <c r="D397" s="792" t="s">
        <v>779</v>
      </c>
      <c r="E397" s="793" t="s">
        <v>947</v>
      </c>
      <c r="F397" s="793" t="s">
        <v>973</v>
      </c>
      <c r="G397" s="793" t="s">
        <v>782</v>
      </c>
      <c r="H397" s="793" t="s">
        <v>804</v>
      </c>
      <c r="I397" s="794">
        <v>1.534301772973632E-2</v>
      </c>
      <c r="J397" s="794">
        <v>824.83894200051373</v>
      </c>
      <c r="K397" s="771"/>
    </row>
    <row r="398" spans="1:11" ht="18.75" customHeight="1" outlineLevel="2">
      <c r="A398" s="791" t="s">
        <v>776</v>
      </c>
      <c r="B398" s="791" t="s">
        <v>1008</v>
      </c>
      <c r="C398" s="791" t="s">
        <v>1009</v>
      </c>
      <c r="D398" s="792" t="s">
        <v>779</v>
      </c>
      <c r="E398" s="793" t="s">
        <v>947</v>
      </c>
      <c r="F398" s="793" t="s">
        <v>974</v>
      </c>
      <c r="G398" s="793" t="s">
        <v>785</v>
      </c>
      <c r="H398" s="793" t="s">
        <v>727</v>
      </c>
      <c r="I398" s="794">
        <v>1.0896983533665278E-2</v>
      </c>
      <c r="J398" s="794">
        <v>263.62702605699729</v>
      </c>
      <c r="K398" s="771"/>
    </row>
    <row r="399" spans="1:11" ht="18.75" customHeight="1" outlineLevel="2">
      <c r="A399" s="791" t="s">
        <v>776</v>
      </c>
      <c r="B399" s="791" t="s">
        <v>1008</v>
      </c>
      <c r="C399" s="791" t="s">
        <v>1009</v>
      </c>
      <c r="D399" s="792" t="s">
        <v>779</v>
      </c>
      <c r="E399" s="793" t="s">
        <v>947</v>
      </c>
      <c r="F399" s="793" t="s">
        <v>975</v>
      </c>
      <c r="G399" s="793" t="s">
        <v>785</v>
      </c>
      <c r="H399" s="793" t="s">
        <v>727</v>
      </c>
      <c r="I399" s="794">
        <v>5.4230284997962695E-2</v>
      </c>
      <c r="J399" s="794">
        <v>3824.5954273481007</v>
      </c>
      <c r="K399" s="771"/>
    </row>
    <row r="400" spans="1:11" ht="18.75" customHeight="1" outlineLevel="2">
      <c r="A400" s="791" t="s">
        <v>776</v>
      </c>
      <c r="B400" s="791" t="s">
        <v>1008</v>
      </c>
      <c r="C400" s="791" t="s">
        <v>1009</v>
      </c>
      <c r="D400" s="792" t="s">
        <v>779</v>
      </c>
      <c r="E400" s="793" t="s">
        <v>947</v>
      </c>
      <c r="F400" s="793" t="s">
        <v>976</v>
      </c>
      <c r="G400" s="793" t="s">
        <v>785</v>
      </c>
      <c r="H400" s="793" t="s">
        <v>727</v>
      </c>
      <c r="I400" s="794">
        <v>3.1857427333835064E-2</v>
      </c>
      <c r="J400" s="794">
        <v>1670.5047289028353</v>
      </c>
      <c r="K400" s="771"/>
    </row>
    <row r="401" spans="1:11" ht="18.75" customHeight="1" outlineLevel="2">
      <c r="A401" s="791" t="s">
        <v>776</v>
      </c>
      <c r="B401" s="791" t="s">
        <v>1008</v>
      </c>
      <c r="C401" s="791" t="s">
        <v>1009</v>
      </c>
      <c r="D401" s="792" t="s">
        <v>779</v>
      </c>
      <c r="E401" s="793" t="s">
        <v>947</v>
      </c>
      <c r="F401" s="793" t="s">
        <v>977</v>
      </c>
      <c r="G401" s="793" t="s">
        <v>785</v>
      </c>
      <c r="H401" s="793" t="s">
        <v>727</v>
      </c>
      <c r="I401" s="794">
        <v>3.7708890254729732E-2</v>
      </c>
      <c r="J401" s="794">
        <v>1693.9571288880384</v>
      </c>
      <c r="K401" s="771"/>
    </row>
    <row r="402" spans="1:11" ht="18.75" customHeight="1" outlineLevel="2">
      <c r="A402" s="791" t="s">
        <v>776</v>
      </c>
      <c r="B402" s="791" t="s">
        <v>1008</v>
      </c>
      <c r="C402" s="791" t="s">
        <v>1009</v>
      </c>
      <c r="D402" s="792" t="s">
        <v>779</v>
      </c>
      <c r="E402" s="793" t="s">
        <v>947</v>
      </c>
      <c r="F402" s="793" t="s">
        <v>978</v>
      </c>
      <c r="G402" s="793" t="s">
        <v>785</v>
      </c>
      <c r="H402" s="793" t="s">
        <v>727</v>
      </c>
      <c r="I402" s="794">
        <v>2.3883085600082577E-3</v>
      </c>
      <c r="J402" s="794">
        <v>65.329435175927415</v>
      </c>
      <c r="K402" s="771"/>
    </row>
    <row r="403" spans="1:11" ht="18.75" customHeight="1" outlineLevel="2">
      <c r="A403" s="791" t="s">
        <v>776</v>
      </c>
      <c r="B403" s="791" t="s">
        <v>1008</v>
      </c>
      <c r="C403" s="791" t="s">
        <v>1009</v>
      </c>
      <c r="D403" s="792" t="s">
        <v>779</v>
      </c>
      <c r="E403" s="793" t="s">
        <v>947</v>
      </c>
      <c r="F403" s="793" t="s">
        <v>979</v>
      </c>
      <c r="G403" s="793" t="s">
        <v>785</v>
      </c>
      <c r="H403" s="793" t="s">
        <v>727</v>
      </c>
      <c r="I403" s="794">
        <v>0.26895965003691924</v>
      </c>
      <c r="J403" s="794">
        <v>8839.7312943545239</v>
      </c>
      <c r="K403" s="771"/>
    </row>
    <row r="404" spans="1:11" ht="18.75" customHeight="1" outlineLevel="2">
      <c r="A404" s="791" t="s">
        <v>776</v>
      </c>
      <c r="B404" s="791" t="s">
        <v>1008</v>
      </c>
      <c r="C404" s="791" t="s">
        <v>1009</v>
      </c>
      <c r="D404" s="792" t="s">
        <v>779</v>
      </c>
      <c r="E404" s="793" t="s">
        <v>947</v>
      </c>
      <c r="F404" s="793" t="s">
        <v>980</v>
      </c>
      <c r="G404" s="793" t="s">
        <v>785</v>
      </c>
      <c r="H404" s="793" t="s">
        <v>727</v>
      </c>
      <c r="I404" s="794">
        <v>2.9734691101971335E-2</v>
      </c>
      <c r="J404" s="794">
        <v>2410.5047409972735</v>
      </c>
      <c r="K404" s="771"/>
    </row>
    <row r="405" spans="1:11" ht="18.75" customHeight="1" outlineLevel="2">
      <c r="A405" s="791" t="s">
        <v>776</v>
      </c>
      <c r="B405" s="791" t="s">
        <v>1008</v>
      </c>
      <c r="C405" s="791" t="s">
        <v>1009</v>
      </c>
      <c r="D405" s="792" t="s">
        <v>779</v>
      </c>
      <c r="E405" s="793" t="s">
        <v>947</v>
      </c>
      <c r="F405" s="793" t="s">
        <v>981</v>
      </c>
      <c r="G405" s="793" t="s">
        <v>813</v>
      </c>
      <c r="H405" s="793" t="s">
        <v>814</v>
      </c>
      <c r="I405" s="794">
        <v>1.8010958429251435E-5</v>
      </c>
      <c r="J405" s="794">
        <v>0.45142449431746001</v>
      </c>
      <c r="K405" s="771"/>
    </row>
    <row r="406" spans="1:11" ht="18.75" customHeight="1" outlineLevel="2">
      <c r="A406" s="791" t="s">
        <v>776</v>
      </c>
      <c r="B406" s="791" t="s">
        <v>1008</v>
      </c>
      <c r="C406" s="791" t="s">
        <v>1009</v>
      </c>
      <c r="D406" s="792" t="s">
        <v>779</v>
      </c>
      <c r="E406" s="793" t="s">
        <v>947</v>
      </c>
      <c r="F406" s="793" t="s">
        <v>982</v>
      </c>
      <c r="G406" s="793" t="s">
        <v>813</v>
      </c>
      <c r="H406" s="793" t="s">
        <v>814</v>
      </c>
      <c r="I406" s="794">
        <v>2.1168227596486486E-3</v>
      </c>
      <c r="J406" s="794">
        <v>118.57569869059868</v>
      </c>
      <c r="K406" s="771"/>
    </row>
    <row r="407" spans="1:11" ht="18.75" customHeight="1" outlineLevel="2">
      <c r="A407" s="791" t="s">
        <v>776</v>
      </c>
      <c r="B407" s="791" t="s">
        <v>1008</v>
      </c>
      <c r="C407" s="791" t="s">
        <v>1009</v>
      </c>
      <c r="D407" s="792" t="s">
        <v>779</v>
      </c>
      <c r="E407" s="793" t="s">
        <v>947</v>
      </c>
      <c r="F407" s="793" t="s">
        <v>983</v>
      </c>
      <c r="G407" s="793" t="s">
        <v>813</v>
      </c>
      <c r="H407" s="793" t="s">
        <v>814</v>
      </c>
      <c r="I407" s="794">
        <v>0.14244223072576481</v>
      </c>
      <c r="J407" s="794">
        <v>3164.3738844618556</v>
      </c>
      <c r="K407" s="771"/>
    </row>
    <row r="408" spans="1:11" ht="18.75" customHeight="1" outlineLevel="2">
      <c r="A408" s="791" t="s">
        <v>776</v>
      </c>
      <c r="B408" s="791" t="s">
        <v>1008</v>
      </c>
      <c r="C408" s="791" t="s">
        <v>1009</v>
      </c>
      <c r="D408" s="792" t="s">
        <v>779</v>
      </c>
      <c r="E408" s="793" t="s">
        <v>947</v>
      </c>
      <c r="F408" s="793" t="s">
        <v>984</v>
      </c>
      <c r="G408" s="793" t="s">
        <v>813</v>
      </c>
      <c r="H408" s="793" t="s">
        <v>814</v>
      </c>
      <c r="I408" s="794">
        <v>3.7459774455045509E-2</v>
      </c>
      <c r="J408" s="794">
        <v>653.2274377014453</v>
      </c>
      <c r="K408" s="771"/>
    </row>
    <row r="409" spans="1:11" ht="18.75" customHeight="1" outlineLevel="2">
      <c r="A409" s="791" t="s">
        <v>776</v>
      </c>
      <c r="B409" s="791" t="s">
        <v>1008</v>
      </c>
      <c r="C409" s="791" t="s">
        <v>1009</v>
      </c>
      <c r="D409" s="792" t="s">
        <v>779</v>
      </c>
      <c r="E409" s="793" t="s">
        <v>947</v>
      </c>
      <c r="F409" s="793" t="s">
        <v>985</v>
      </c>
      <c r="G409" s="793" t="s">
        <v>813</v>
      </c>
      <c r="H409" s="793" t="s">
        <v>814</v>
      </c>
      <c r="I409" s="794">
        <v>8.8540208016800931E-2</v>
      </c>
      <c r="J409" s="794">
        <v>4313.672556035317</v>
      </c>
      <c r="K409" s="771"/>
    </row>
    <row r="410" spans="1:11" ht="18.75" customHeight="1" outlineLevel="2">
      <c r="A410" s="791" t="s">
        <v>776</v>
      </c>
      <c r="B410" s="791" t="s">
        <v>1008</v>
      </c>
      <c r="C410" s="791" t="s">
        <v>1009</v>
      </c>
      <c r="D410" s="792" t="s">
        <v>779</v>
      </c>
      <c r="E410" s="793" t="s">
        <v>947</v>
      </c>
      <c r="F410" s="793" t="s">
        <v>986</v>
      </c>
      <c r="G410" s="793" t="s">
        <v>813</v>
      </c>
      <c r="H410" s="793" t="s">
        <v>814</v>
      </c>
      <c r="I410" s="794">
        <v>1.5184269965347372E-2</v>
      </c>
      <c r="J410" s="794">
        <v>508.25924986702205</v>
      </c>
      <c r="K410" s="771"/>
    </row>
    <row r="411" spans="1:11" ht="18.75" customHeight="1" outlineLevel="2">
      <c r="A411" s="791" t="s">
        <v>776</v>
      </c>
      <c r="B411" s="791" t="s">
        <v>1008</v>
      </c>
      <c r="C411" s="791" t="s">
        <v>1009</v>
      </c>
      <c r="D411" s="792" t="s">
        <v>779</v>
      </c>
      <c r="E411" s="793" t="s">
        <v>947</v>
      </c>
      <c r="F411" s="793" t="s">
        <v>987</v>
      </c>
      <c r="G411" s="793" t="s">
        <v>813</v>
      </c>
      <c r="H411" s="793" t="s">
        <v>814</v>
      </c>
      <c r="I411" s="794">
        <v>4.2690367233460234E-4</v>
      </c>
      <c r="J411" s="794">
        <v>12.90581832754485</v>
      </c>
      <c r="K411" s="771"/>
    </row>
    <row r="412" spans="1:11" ht="18.75" customHeight="1" outlineLevel="2">
      <c r="A412" s="791" t="s">
        <v>776</v>
      </c>
      <c r="B412" s="791" t="s">
        <v>1008</v>
      </c>
      <c r="C412" s="791" t="s">
        <v>1009</v>
      </c>
      <c r="D412" s="792" t="s">
        <v>779</v>
      </c>
      <c r="E412" s="793" t="s">
        <v>947</v>
      </c>
      <c r="F412" s="793" t="s">
        <v>988</v>
      </c>
      <c r="G412" s="793" t="s">
        <v>791</v>
      </c>
      <c r="H412" s="793" t="s">
        <v>826</v>
      </c>
      <c r="I412" s="794">
        <v>2.9623185180862958E-6</v>
      </c>
      <c r="J412" s="794">
        <v>2.5320115504007038E-2</v>
      </c>
      <c r="K412" s="771"/>
    </row>
    <row r="413" spans="1:11" ht="18.75" customHeight="1" outlineLevel="2">
      <c r="A413" s="791" t="s">
        <v>776</v>
      </c>
      <c r="B413" s="791" t="s">
        <v>1008</v>
      </c>
      <c r="C413" s="791" t="s">
        <v>1009</v>
      </c>
      <c r="D413" s="792" t="s">
        <v>779</v>
      </c>
      <c r="E413" s="793" t="s">
        <v>947</v>
      </c>
      <c r="F413" s="793" t="s">
        <v>989</v>
      </c>
      <c r="G413" s="793" t="s">
        <v>791</v>
      </c>
      <c r="H413" s="793" t="s">
        <v>826</v>
      </c>
      <c r="I413" s="794">
        <v>1.7919136792838429E-2</v>
      </c>
      <c r="J413" s="794">
        <v>1051.346654765081</v>
      </c>
      <c r="K413" s="771"/>
    </row>
    <row r="414" spans="1:11" ht="18.75" customHeight="1" outlineLevel="2">
      <c r="A414" s="791" t="s">
        <v>776</v>
      </c>
      <c r="B414" s="791" t="s">
        <v>1008</v>
      </c>
      <c r="C414" s="791" t="s">
        <v>1009</v>
      </c>
      <c r="D414" s="792" t="s">
        <v>779</v>
      </c>
      <c r="E414" s="793" t="s">
        <v>947</v>
      </c>
      <c r="F414" s="793" t="s">
        <v>990</v>
      </c>
      <c r="G414" s="793" t="s">
        <v>791</v>
      </c>
      <c r="H414" s="793" t="s">
        <v>826</v>
      </c>
      <c r="I414" s="794">
        <v>8.5526231325750411E-4</v>
      </c>
      <c r="J414" s="794">
        <v>94.262201354263411</v>
      </c>
      <c r="K414" s="771"/>
    </row>
    <row r="415" spans="1:11" ht="18.75" customHeight="1" outlineLevel="2">
      <c r="A415" s="791" t="s">
        <v>776</v>
      </c>
      <c r="B415" s="791" t="s">
        <v>1008</v>
      </c>
      <c r="C415" s="791" t="s">
        <v>1009</v>
      </c>
      <c r="D415" s="792" t="s">
        <v>779</v>
      </c>
      <c r="E415" s="793" t="s">
        <v>947</v>
      </c>
      <c r="F415" s="793" t="s">
        <v>991</v>
      </c>
      <c r="G415" s="793" t="s">
        <v>791</v>
      </c>
      <c r="H415" s="793" t="s">
        <v>826</v>
      </c>
      <c r="I415" s="794">
        <v>6.793410726181023E-6</v>
      </c>
      <c r="J415" s="794">
        <v>0.52174795139604557</v>
      </c>
      <c r="K415" s="771"/>
    </row>
    <row r="416" spans="1:11" ht="18.75" customHeight="1" outlineLevel="2">
      <c r="A416" s="791" t="s">
        <v>776</v>
      </c>
      <c r="B416" s="791" t="s">
        <v>1008</v>
      </c>
      <c r="C416" s="791" t="s">
        <v>1009</v>
      </c>
      <c r="D416" s="792" t="s">
        <v>779</v>
      </c>
      <c r="E416" s="793" t="s">
        <v>947</v>
      </c>
      <c r="F416" s="793" t="s">
        <v>992</v>
      </c>
      <c r="G416" s="793" t="s">
        <v>791</v>
      </c>
      <c r="H416" s="793" t="s">
        <v>826</v>
      </c>
      <c r="I416" s="794">
        <v>1.3242780178006193E-6</v>
      </c>
      <c r="J416" s="794">
        <v>0.10960333855058133</v>
      </c>
      <c r="K416" s="771"/>
    </row>
    <row r="417" spans="1:11" ht="18.75" customHeight="1" outlineLevel="2">
      <c r="A417" s="791" t="s">
        <v>776</v>
      </c>
      <c r="B417" s="791" t="s">
        <v>1008</v>
      </c>
      <c r="C417" s="791" t="s">
        <v>1009</v>
      </c>
      <c r="D417" s="792" t="s">
        <v>779</v>
      </c>
      <c r="E417" s="793" t="s">
        <v>947</v>
      </c>
      <c r="F417" s="793" t="s">
        <v>993</v>
      </c>
      <c r="G417" s="793" t="s">
        <v>791</v>
      </c>
      <c r="H417" s="793" t="s">
        <v>826</v>
      </c>
      <c r="I417" s="794">
        <v>8.6938718712393839E-5</v>
      </c>
      <c r="J417" s="794">
        <v>7.9938456313366615</v>
      </c>
      <c r="K417" s="771"/>
    </row>
    <row r="418" spans="1:11" ht="18.75" customHeight="1" outlineLevel="2">
      <c r="A418" s="791" t="s">
        <v>776</v>
      </c>
      <c r="B418" s="791" t="s">
        <v>1008</v>
      </c>
      <c r="C418" s="791" t="s">
        <v>1009</v>
      </c>
      <c r="D418" s="792" t="s">
        <v>779</v>
      </c>
      <c r="E418" s="793" t="s">
        <v>947</v>
      </c>
      <c r="F418" s="793" t="s">
        <v>994</v>
      </c>
      <c r="G418" s="793" t="s">
        <v>791</v>
      </c>
      <c r="H418" s="793" t="s">
        <v>826</v>
      </c>
      <c r="I418" s="794">
        <v>1.8381068081755679E-7</v>
      </c>
      <c r="J418" s="794">
        <v>2.2116509115364457E-2</v>
      </c>
      <c r="K418" s="771"/>
    </row>
    <row r="419" spans="1:11" ht="18.75" customHeight="1" outlineLevel="2">
      <c r="A419" s="791" t="s">
        <v>776</v>
      </c>
      <c r="B419" s="791" t="s">
        <v>1008</v>
      </c>
      <c r="C419" s="791" t="s">
        <v>1009</v>
      </c>
      <c r="D419" s="792" t="s">
        <v>779</v>
      </c>
      <c r="E419" s="793" t="s">
        <v>947</v>
      </c>
      <c r="F419" s="793" t="s">
        <v>995</v>
      </c>
      <c r="G419" s="793" t="s">
        <v>791</v>
      </c>
      <c r="H419" s="793" t="s">
        <v>826</v>
      </c>
      <c r="I419" s="794">
        <v>7.8250314330139585E-5</v>
      </c>
      <c r="J419" s="794">
        <v>7.3913663732898289</v>
      </c>
      <c r="K419" s="771"/>
    </row>
    <row r="420" spans="1:11" ht="18.75" customHeight="1" outlineLevel="2">
      <c r="A420" s="791" t="s">
        <v>776</v>
      </c>
      <c r="B420" s="791" t="s">
        <v>1008</v>
      </c>
      <c r="C420" s="791" t="s">
        <v>1009</v>
      </c>
      <c r="D420" s="792" t="s">
        <v>779</v>
      </c>
      <c r="E420" s="793" t="s">
        <v>947</v>
      </c>
      <c r="F420" s="793" t="s">
        <v>996</v>
      </c>
      <c r="G420" s="793" t="s">
        <v>791</v>
      </c>
      <c r="H420" s="793" t="s">
        <v>826</v>
      </c>
      <c r="I420" s="794">
        <v>2.3136090417684617E-4</v>
      </c>
      <c r="J420" s="794">
        <v>20.568957598986525</v>
      </c>
      <c r="K420" s="771"/>
    </row>
    <row r="421" spans="1:11" ht="18.75" customHeight="1" outlineLevel="2">
      <c r="A421" s="791" t="s">
        <v>776</v>
      </c>
      <c r="B421" s="791" t="s">
        <v>1008</v>
      </c>
      <c r="C421" s="791" t="s">
        <v>1009</v>
      </c>
      <c r="D421" s="792" t="s">
        <v>779</v>
      </c>
      <c r="E421" s="793" t="s">
        <v>947</v>
      </c>
      <c r="F421" s="793" t="s">
        <v>997</v>
      </c>
      <c r="G421" s="793" t="s">
        <v>791</v>
      </c>
      <c r="H421" s="793" t="s">
        <v>826</v>
      </c>
      <c r="I421" s="794">
        <v>3.5088618069136792E-4</v>
      </c>
      <c r="J421" s="794">
        <v>15.166965350234936</v>
      </c>
      <c r="K421" s="771"/>
    </row>
    <row r="422" spans="1:11" ht="18.75" customHeight="1" outlineLevel="2">
      <c r="A422" s="791" t="s">
        <v>776</v>
      </c>
      <c r="B422" s="791" t="s">
        <v>1008</v>
      </c>
      <c r="C422" s="791" t="s">
        <v>1009</v>
      </c>
      <c r="D422" s="792" t="s">
        <v>779</v>
      </c>
      <c r="E422" s="793" t="s">
        <v>947</v>
      </c>
      <c r="F422" s="793" t="s">
        <v>998</v>
      </c>
      <c r="G422" s="793" t="s">
        <v>794</v>
      </c>
      <c r="H422" s="793" t="s">
        <v>828</v>
      </c>
      <c r="I422" s="794">
        <v>0.11845690268181064</v>
      </c>
      <c r="J422" s="794">
        <v>4331.6103592770251</v>
      </c>
      <c r="K422" s="771"/>
    </row>
    <row r="423" spans="1:11" ht="18.75" customHeight="1" outlineLevel="2">
      <c r="A423" s="791" t="s">
        <v>776</v>
      </c>
      <c r="B423" s="791" t="s">
        <v>1008</v>
      </c>
      <c r="C423" s="791" t="s">
        <v>1009</v>
      </c>
      <c r="D423" s="792" t="s">
        <v>779</v>
      </c>
      <c r="E423" s="793" t="s">
        <v>947</v>
      </c>
      <c r="F423" s="793" t="s">
        <v>999</v>
      </c>
      <c r="G423" s="793" t="s">
        <v>794</v>
      </c>
      <c r="H423" s="793" t="s">
        <v>828</v>
      </c>
      <c r="I423" s="794">
        <v>2.7935784571549903E-2</v>
      </c>
      <c r="J423" s="794">
        <v>1022.3391437293187</v>
      </c>
      <c r="K423" s="771"/>
    </row>
    <row r="424" spans="1:11" ht="18.75" customHeight="1" outlineLevel="2">
      <c r="A424" s="791" t="s">
        <v>776</v>
      </c>
      <c r="B424" s="791" t="s">
        <v>1008</v>
      </c>
      <c r="C424" s="791" t="s">
        <v>1009</v>
      </c>
      <c r="D424" s="792" t="s">
        <v>779</v>
      </c>
      <c r="E424" s="793" t="s">
        <v>947</v>
      </c>
      <c r="F424" s="793" t="s">
        <v>1000</v>
      </c>
      <c r="G424" s="793" t="s">
        <v>794</v>
      </c>
      <c r="H424" s="793" t="s">
        <v>828</v>
      </c>
      <c r="I424" s="794">
        <v>7.8403988176996647E-2</v>
      </c>
      <c r="J424" s="794">
        <v>2836.3550031859641</v>
      </c>
      <c r="K424" s="771"/>
    </row>
    <row r="425" spans="1:11" ht="18.75" customHeight="1" outlineLevel="2">
      <c r="A425" s="791" t="s">
        <v>776</v>
      </c>
      <c r="B425" s="791" t="s">
        <v>1008</v>
      </c>
      <c r="C425" s="791" t="s">
        <v>1009</v>
      </c>
      <c r="D425" s="792" t="s">
        <v>779</v>
      </c>
      <c r="E425" s="793" t="s">
        <v>947</v>
      </c>
      <c r="F425" s="793" t="s">
        <v>1001</v>
      </c>
      <c r="G425" s="793" t="s">
        <v>794</v>
      </c>
      <c r="H425" s="793" t="s">
        <v>828</v>
      </c>
      <c r="I425" s="794">
        <v>6.6205646629410572E-2</v>
      </c>
      <c r="J425" s="794">
        <v>1440.1040355272789</v>
      </c>
      <c r="K425" s="771"/>
    </row>
    <row r="426" spans="1:11" ht="18.75" customHeight="1" outlineLevel="2">
      <c r="A426" s="791" t="s">
        <v>776</v>
      </c>
      <c r="B426" s="791" t="s">
        <v>1008</v>
      </c>
      <c r="C426" s="791" t="s">
        <v>1009</v>
      </c>
      <c r="D426" s="792" t="s">
        <v>779</v>
      </c>
      <c r="E426" s="793" t="s">
        <v>947</v>
      </c>
      <c r="F426" s="793" t="s">
        <v>1002</v>
      </c>
      <c r="G426" s="793" t="s">
        <v>794</v>
      </c>
      <c r="H426" s="793" t="s">
        <v>828</v>
      </c>
      <c r="I426" s="794">
        <v>3.2933588142855974E-3</v>
      </c>
      <c r="J426" s="794">
        <v>138.50188642228974</v>
      </c>
      <c r="K426" s="771"/>
    </row>
    <row r="427" spans="1:11" ht="18.75" customHeight="1" outlineLevel="2">
      <c r="A427" s="791" t="s">
        <v>776</v>
      </c>
      <c r="B427" s="791" t="s">
        <v>1008</v>
      </c>
      <c r="C427" s="791" t="s">
        <v>1009</v>
      </c>
      <c r="D427" s="792" t="s">
        <v>779</v>
      </c>
      <c r="E427" s="793" t="s">
        <v>947</v>
      </c>
      <c r="F427" s="793" t="s">
        <v>1003</v>
      </c>
      <c r="G427" s="793" t="s">
        <v>794</v>
      </c>
      <c r="H427" s="793" t="s">
        <v>828</v>
      </c>
      <c r="I427" s="794">
        <v>3.8100407508878911E-3</v>
      </c>
      <c r="J427" s="794">
        <v>122.58527257112414</v>
      </c>
      <c r="K427" s="771"/>
    </row>
    <row r="428" spans="1:11" ht="18.75" customHeight="1" outlineLevel="2">
      <c r="A428" s="791" t="s">
        <v>776</v>
      </c>
      <c r="B428" s="791" t="s">
        <v>1008</v>
      </c>
      <c r="C428" s="791" t="s">
        <v>1009</v>
      </c>
      <c r="D428" s="792" t="s">
        <v>779</v>
      </c>
      <c r="E428" s="793" t="s">
        <v>947</v>
      </c>
      <c r="F428" s="793" t="s">
        <v>1004</v>
      </c>
      <c r="G428" s="793" t="s">
        <v>833</v>
      </c>
      <c r="H428" s="793" t="s">
        <v>834</v>
      </c>
      <c r="I428" s="794">
        <v>7.8968361600398659E-3</v>
      </c>
      <c r="J428" s="794">
        <v>517.54171206096021</v>
      </c>
      <c r="K428" s="771"/>
    </row>
    <row r="429" spans="1:11" ht="18.75" customHeight="1" outlineLevel="2">
      <c r="A429" s="791" t="s">
        <v>776</v>
      </c>
      <c r="B429" s="791" t="s">
        <v>1008</v>
      </c>
      <c r="C429" s="791" t="s">
        <v>1009</v>
      </c>
      <c r="D429" s="792" t="s">
        <v>779</v>
      </c>
      <c r="E429" s="793" t="s">
        <v>947</v>
      </c>
      <c r="F429" s="793" t="s">
        <v>1007</v>
      </c>
      <c r="G429" s="793" t="s">
        <v>244</v>
      </c>
      <c r="H429" s="793" t="s">
        <v>911</v>
      </c>
      <c r="I429" s="794">
        <v>5.6721408995262434E-3</v>
      </c>
      <c r="J429" s="794">
        <v>126.45575850918118</v>
      </c>
      <c r="K429" s="771"/>
    </row>
    <row r="430" spans="1:11" ht="18.75" customHeight="1" outlineLevel="2">
      <c r="A430" s="791" t="s">
        <v>776</v>
      </c>
      <c r="B430" s="791" t="s">
        <v>1008</v>
      </c>
      <c r="C430" s="791" t="s">
        <v>1009</v>
      </c>
      <c r="D430" s="792" t="s">
        <v>1010</v>
      </c>
      <c r="E430" s="793" t="s">
        <v>662</v>
      </c>
      <c r="F430" s="793" t="s">
        <v>1011</v>
      </c>
      <c r="G430" s="793" t="s">
        <v>1012</v>
      </c>
      <c r="H430" s="793" t="s">
        <v>1013</v>
      </c>
      <c r="I430" s="794">
        <v>0.10625586305037081</v>
      </c>
      <c r="J430" s="794">
        <v>359.49009235155461</v>
      </c>
      <c r="K430" s="771"/>
    </row>
    <row r="431" spans="1:11" ht="18.75" customHeight="1" outlineLevel="2">
      <c r="A431" s="791" t="s">
        <v>776</v>
      </c>
      <c r="B431" s="791" t="s">
        <v>1008</v>
      </c>
      <c r="C431" s="791" t="s">
        <v>1009</v>
      </c>
      <c r="D431" s="792" t="s">
        <v>1010</v>
      </c>
      <c r="E431" s="793" t="s">
        <v>763</v>
      </c>
      <c r="F431" s="793" t="s">
        <v>1014</v>
      </c>
      <c r="G431" s="793" t="s">
        <v>1012</v>
      </c>
      <c r="H431" s="793" t="s">
        <v>913</v>
      </c>
      <c r="I431" s="794">
        <v>1.1967680457090105E-2</v>
      </c>
      <c r="J431" s="794">
        <v>200.58341292891606</v>
      </c>
      <c r="K431" s="771"/>
    </row>
    <row r="432" spans="1:11" ht="18.75" customHeight="1" outlineLevel="2">
      <c r="A432" s="791" t="s">
        <v>776</v>
      </c>
      <c r="B432" s="791" t="s">
        <v>1008</v>
      </c>
      <c r="C432" s="791" t="s">
        <v>1009</v>
      </c>
      <c r="D432" s="792" t="s">
        <v>1010</v>
      </c>
      <c r="E432" s="793" t="s">
        <v>947</v>
      </c>
      <c r="F432" s="793" t="s">
        <v>1015</v>
      </c>
      <c r="G432" s="793" t="s">
        <v>1012</v>
      </c>
      <c r="H432" s="793" t="s">
        <v>1013</v>
      </c>
      <c r="I432" s="794">
        <v>0.20832763164300086</v>
      </c>
      <c r="J432" s="794">
        <v>11094.690261399708</v>
      </c>
      <c r="K432" s="771"/>
    </row>
    <row r="433" spans="1:11" ht="18.75" customHeight="1" outlineLevel="2">
      <c r="A433" s="791" t="s">
        <v>776</v>
      </c>
      <c r="B433" s="791" t="s">
        <v>1016</v>
      </c>
      <c r="C433" s="791" t="s">
        <v>1009</v>
      </c>
      <c r="D433" s="792" t="s">
        <v>779</v>
      </c>
      <c r="E433" s="793" t="s">
        <v>780</v>
      </c>
      <c r="F433" s="793" t="s">
        <v>781</v>
      </c>
      <c r="G433" s="793" t="s">
        <v>782</v>
      </c>
      <c r="H433" s="793" t="s">
        <v>783</v>
      </c>
      <c r="I433" s="794">
        <v>5.6667024022300207E-2</v>
      </c>
      <c r="J433" s="794">
        <v>0.83358502383126665</v>
      </c>
      <c r="K433" s="771"/>
    </row>
    <row r="434" spans="1:11" ht="18.75" customHeight="1" outlineLevel="2">
      <c r="A434" s="791" t="s">
        <v>776</v>
      </c>
      <c r="B434" s="791" t="s">
        <v>1016</v>
      </c>
      <c r="C434" s="791" t="s">
        <v>1009</v>
      </c>
      <c r="D434" s="792" t="s">
        <v>779</v>
      </c>
      <c r="E434" s="793" t="s">
        <v>780</v>
      </c>
      <c r="F434" s="793" t="s">
        <v>784</v>
      </c>
      <c r="G434" s="793" t="s">
        <v>785</v>
      </c>
      <c r="H434" s="793" t="s">
        <v>783</v>
      </c>
      <c r="I434" s="794">
        <v>11.091875774172607</v>
      </c>
      <c r="J434" s="794">
        <v>1801.2550668398969</v>
      </c>
      <c r="K434" s="771"/>
    </row>
    <row r="435" spans="1:11" ht="18.75" customHeight="1" outlineLevel="2">
      <c r="A435" s="791" t="s">
        <v>776</v>
      </c>
      <c r="B435" s="791" t="s">
        <v>1016</v>
      </c>
      <c r="C435" s="791" t="s">
        <v>1009</v>
      </c>
      <c r="D435" s="792" t="s">
        <v>779</v>
      </c>
      <c r="E435" s="793" t="s">
        <v>780</v>
      </c>
      <c r="F435" s="793" t="s">
        <v>786</v>
      </c>
      <c r="G435" s="793" t="s">
        <v>785</v>
      </c>
      <c r="H435" s="793" t="s">
        <v>783</v>
      </c>
      <c r="I435" s="794">
        <v>9.007706095340089E-3</v>
      </c>
      <c r="J435" s="794">
        <v>1.5259817524349344</v>
      </c>
      <c r="K435" s="771"/>
    </row>
    <row r="436" spans="1:11" ht="18.75" customHeight="1" outlineLevel="2">
      <c r="A436" s="791" t="s">
        <v>776</v>
      </c>
      <c r="B436" s="791" t="s">
        <v>1016</v>
      </c>
      <c r="C436" s="791" t="s">
        <v>1009</v>
      </c>
      <c r="D436" s="792" t="s">
        <v>779</v>
      </c>
      <c r="E436" s="793" t="s">
        <v>780</v>
      </c>
      <c r="F436" s="793" t="s">
        <v>787</v>
      </c>
      <c r="G436" s="793" t="s">
        <v>785</v>
      </c>
      <c r="H436" s="793" t="s">
        <v>783</v>
      </c>
      <c r="I436" s="794">
        <v>4.5266114046162362E-3</v>
      </c>
      <c r="J436" s="794">
        <v>0.8315568108725343</v>
      </c>
      <c r="K436" s="771"/>
    </row>
    <row r="437" spans="1:11" ht="18.75" customHeight="1" outlineLevel="2">
      <c r="A437" s="791" t="s">
        <v>776</v>
      </c>
      <c r="B437" s="791" t="s">
        <v>1016</v>
      </c>
      <c r="C437" s="791" t="s">
        <v>1009</v>
      </c>
      <c r="D437" s="792" t="s">
        <v>779</v>
      </c>
      <c r="E437" s="793" t="s">
        <v>780</v>
      </c>
      <c r="F437" s="793" t="s">
        <v>788</v>
      </c>
      <c r="G437" s="793" t="s">
        <v>785</v>
      </c>
      <c r="H437" s="793" t="s">
        <v>783</v>
      </c>
      <c r="I437" s="794">
        <v>3.2546841853153298E-2</v>
      </c>
      <c r="J437" s="794">
        <v>5.1844235261815603</v>
      </c>
      <c r="K437" s="771"/>
    </row>
    <row r="438" spans="1:11" ht="18.75" customHeight="1" outlineLevel="2">
      <c r="A438" s="791" t="s">
        <v>776</v>
      </c>
      <c r="B438" s="791" t="s">
        <v>1016</v>
      </c>
      <c r="C438" s="791" t="s">
        <v>1009</v>
      </c>
      <c r="D438" s="792" t="s">
        <v>779</v>
      </c>
      <c r="E438" s="793" t="s">
        <v>780</v>
      </c>
      <c r="F438" s="793" t="s">
        <v>789</v>
      </c>
      <c r="G438" s="793" t="s">
        <v>785</v>
      </c>
      <c r="H438" s="793" t="s">
        <v>783</v>
      </c>
      <c r="I438" s="794">
        <v>4.1433148042585792E-2</v>
      </c>
      <c r="J438" s="794">
        <v>10.192206755453086</v>
      </c>
      <c r="K438" s="771"/>
    </row>
    <row r="439" spans="1:11" ht="18.75" customHeight="1" outlineLevel="2">
      <c r="A439" s="791" t="s">
        <v>776</v>
      </c>
      <c r="B439" s="791" t="s">
        <v>1016</v>
      </c>
      <c r="C439" s="791" t="s">
        <v>1009</v>
      </c>
      <c r="D439" s="792" t="s">
        <v>779</v>
      </c>
      <c r="E439" s="793" t="s">
        <v>780</v>
      </c>
      <c r="F439" s="793" t="s">
        <v>790</v>
      </c>
      <c r="G439" s="793" t="s">
        <v>791</v>
      </c>
      <c r="H439" s="793" t="s">
        <v>783</v>
      </c>
      <c r="I439" s="794">
        <v>3.6414532498885623E-3</v>
      </c>
      <c r="J439" s="794">
        <v>4.8369097565098863E-2</v>
      </c>
      <c r="K439" s="771"/>
    </row>
    <row r="440" spans="1:11" ht="18.75" customHeight="1" outlineLevel="2">
      <c r="A440" s="791" t="s">
        <v>776</v>
      </c>
      <c r="B440" s="791" t="s">
        <v>1016</v>
      </c>
      <c r="C440" s="791" t="s">
        <v>1009</v>
      </c>
      <c r="D440" s="792" t="s">
        <v>779</v>
      </c>
      <c r="E440" s="793" t="s">
        <v>780</v>
      </c>
      <c r="F440" s="793" t="s">
        <v>792</v>
      </c>
      <c r="G440" s="793" t="s">
        <v>791</v>
      </c>
      <c r="H440" s="793" t="s">
        <v>783</v>
      </c>
      <c r="I440" s="794">
        <v>2.7029927336926815E-2</v>
      </c>
      <c r="J440" s="794">
        <v>5.2494715865075152</v>
      </c>
      <c r="K440" s="771"/>
    </row>
    <row r="441" spans="1:11" ht="18.75" customHeight="1" outlineLevel="2">
      <c r="A441" s="791" t="s">
        <v>776</v>
      </c>
      <c r="B441" s="791" t="s">
        <v>1016</v>
      </c>
      <c r="C441" s="791" t="s">
        <v>1009</v>
      </c>
      <c r="D441" s="792" t="s">
        <v>779</v>
      </c>
      <c r="E441" s="793" t="s">
        <v>780</v>
      </c>
      <c r="F441" s="793" t="s">
        <v>793</v>
      </c>
      <c r="G441" s="793" t="s">
        <v>794</v>
      </c>
      <c r="H441" s="793" t="s">
        <v>783</v>
      </c>
      <c r="I441" s="794">
        <v>10.09868676574705</v>
      </c>
      <c r="J441" s="794">
        <v>262.08778628137907</v>
      </c>
      <c r="K441" s="771"/>
    </row>
    <row r="442" spans="1:11" ht="18.75" customHeight="1" outlineLevel="2">
      <c r="A442" s="791" t="s">
        <v>776</v>
      </c>
      <c r="B442" s="791" t="s">
        <v>1016</v>
      </c>
      <c r="C442" s="791" t="s">
        <v>1009</v>
      </c>
      <c r="D442" s="792" t="s">
        <v>779</v>
      </c>
      <c r="E442" s="793" t="s">
        <v>780</v>
      </c>
      <c r="F442" s="793" t="s">
        <v>795</v>
      </c>
      <c r="G442" s="793" t="s">
        <v>794</v>
      </c>
      <c r="H442" s="793" t="s">
        <v>783</v>
      </c>
      <c r="I442" s="794">
        <v>0.30538289618345638</v>
      </c>
      <c r="J442" s="794">
        <v>12.512519173397067</v>
      </c>
      <c r="K442" s="771"/>
    </row>
    <row r="443" spans="1:11" ht="18.75" customHeight="1" outlineLevel="2">
      <c r="A443" s="791" t="s">
        <v>776</v>
      </c>
      <c r="B443" s="791" t="s">
        <v>1016</v>
      </c>
      <c r="C443" s="791" t="s">
        <v>1009</v>
      </c>
      <c r="D443" s="792" t="s">
        <v>779</v>
      </c>
      <c r="E443" s="793" t="s">
        <v>780</v>
      </c>
      <c r="F443" s="793" t="s">
        <v>796</v>
      </c>
      <c r="G443" s="793" t="s">
        <v>794</v>
      </c>
      <c r="H443" s="793" t="s">
        <v>783</v>
      </c>
      <c r="I443" s="794">
        <v>0.15873053946670515</v>
      </c>
      <c r="J443" s="794">
        <v>18.291884408210215</v>
      </c>
      <c r="K443" s="771"/>
    </row>
    <row r="444" spans="1:11" ht="18.75" customHeight="1" outlineLevel="2">
      <c r="A444" s="791" t="s">
        <v>776</v>
      </c>
      <c r="B444" s="791" t="s">
        <v>1016</v>
      </c>
      <c r="C444" s="791" t="s">
        <v>1009</v>
      </c>
      <c r="D444" s="792" t="s">
        <v>779</v>
      </c>
      <c r="E444" s="793" t="s">
        <v>780</v>
      </c>
      <c r="F444" s="793" t="s">
        <v>797</v>
      </c>
      <c r="G444" s="793" t="s">
        <v>794</v>
      </c>
      <c r="H444" s="793" t="s">
        <v>783</v>
      </c>
      <c r="I444" s="794">
        <v>3.1040598746373647</v>
      </c>
      <c r="J444" s="794">
        <v>649.57241284811653</v>
      </c>
      <c r="K444" s="771"/>
    </row>
    <row r="445" spans="1:11" ht="18.75" customHeight="1" outlineLevel="2">
      <c r="A445" s="791" t="s">
        <v>776</v>
      </c>
      <c r="B445" s="791" t="s">
        <v>1016</v>
      </c>
      <c r="C445" s="791" t="s">
        <v>1009</v>
      </c>
      <c r="D445" s="792" t="s">
        <v>779</v>
      </c>
      <c r="E445" s="793" t="s">
        <v>780</v>
      </c>
      <c r="F445" s="793" t="s">
        <v>1017</v>
      </c>
      <c r="G445" s="793" t="s">
        <v>785</v>
      </c>
      <c r="H445" s="793" t="s">
        <v>783</v>
      </c>
      <c r="I445" s="794">
        <v>3.229805206106473E-2</v>
      </c>
      <c r="J445" s="794">
        <v>7.3396805580313726</v>
      </c>
      <c r="K445" s="771"/>
    </row>
    <row r="446" spans="1:11" ht="18.75" customHeight="1" outlineLevel="2">
      <c r="A446" s="791" t="s">
        <v>776</v>
      </c>
      <c r="B446" s="791" t="s">
        <v>1016</v>
      </c>
      <c r="C446" s="791" t="s">
        <v>1009</v>
      </c>
      <c r="D446" s="792" t="s">
        <v>779</v>
      </c>
      <c r="E446" s="793" t="s">
        <v>662</v>
      </c>
      <c r="F446" s="793" t="s">
        <v>798</v>
      </c>
      <c r="G446" s="793" t="s">
        <v>799</v>
      </c>
      <c r="H446" s="793" t="s">
        <v>800</v>
      </c>
      <c r="I446" s="794">
        <v>0.62709222247279695</v>
      </c>
      <c r="J446" s="794">
        <v>180.183873799563</v>
      </c>
      <c r="K446" s="771"/>
    </row>
    <row r="447" spans="1:11" ht="18.75" customHeight="1" outlineLevel="2">
      <c r="A447" s="791" t="s">
        <v>776</v>
      </c>
      <c r="B447" s="791" t="s">
        <v>1016</v>
      </c>
      <c r="C447" s="791" t="s">
        <v>1009</v>
      </c>
      <c r="D447" s="792" t="s">
        <v>779</v>
      </c>
      <c r="E447" s="793" t="s">
        <v>662</v>
      </c>
      <c r="F447" s="793" t="s">
        <v>801</v>
      </c>
      <c r="G447" s="793" t="s">
        <v>799</v>
      </c>
      <c r="H447" s="793" t="s">
        <v>800</v>
      </c>
      <c r="I447" s="794">
        <v>0.19155200138827849</v>
      </c>
      <c r="J447" s="794">
        <v>77.381798849913594</v>
      </c>
      <c r="K447" s="771"/>
    </row>
    <row r="448" spans="1:11" ht="18.75" customHeight="1" outlineLevel="2">
      <c r="A448" s="791" t="s">
        <v>776</v>
      </c>
      <c r="B448" s="791" t="s">
        <v>1016</v>
      </c>
      <c r="C448" s="791" t="s">
        <v>1009</v>
      </c>
      <c r="D448" s="792" t="s">
        <v>779</v>
      </c>
      <c r="E448" s="793" t="s">
        <v>662</v>
      </c>
      <c r="F448" s="793" t="s">
        <v>802</v>
      </c>
      <c r="G448" s="793" t="s">
        <v>799</v>
      </c>
      <c r="H448" s="793" t="s">
        <v>800</v>
      </c>
      <c r="I448" s="794">
        <v>8.7185679491838933E-2</v>
      </c>
      <c r="J448" s="794">
        <v>112.12724707176623</v>
      </c>
      <c r="K448" s="771"/>
    </row>
    <row r="449" spans="1:11" ht="18.75" customHeight="1" outlineLevel="2">
      <c r="A449" s="791" t="s">
        <v>776</v>
      </c>
      <c r="B449" s="791" t="s">
        <v>1016</v>
      </c>
      <c r="C449" s="791" t="s">
        <v>1009</v>
      </c>
      <c r="D449" s="792" t="s">
        <v>779</v>
      </c>
      <c r="E449" s="793" t="s">
        <v>662</v>
      </c>
      <c r="F449" s="793" t="s">
        <v>803</v>
      </c>
      <c r="G449" s="793" t="s">
        <v>782</v>
      </c>
      <c r="H449" s="793" t="s">
        <v>804</v>
      </c>
      <c r="I449" s="794">
        <v>0.17516089674403887</v>
      </c>
      <c r="J449" s="794">
        <v>108.68389526928264</v>
      </c>
      <c r="K449" s="771"/>
    </row>
    <row r="450" spans="1:11" ht="18.75" customHeight="1" outlineLevel="2">
      <c r="A450" s="791" t="s">
        <v>776</v>
      </c>
      <c r="B450" s="791" t="s">
        <v>1016</v>
      </c>
      <c r="C450" s="791" t="s">
        <v>1009</v>
      </c>
      <c r="D450" s="792" t="s">
        <v>779</v>
      </c>
      <c r="E450" s="793" t="s">
        <v>662</v>
      </c>
      <c r="F450" s="793" t="s">
        <v>805</v>
      </c>
      <c r="G450" s="793" t="s">
        <v>782</v>
      </c>
      <c r="H450" s="793" t="s">
        <v>804</v>
      </c>
      <c r="I450" s="794">
        <v>1.4536506685131045E-2</v>
      </c>
      <c r="J450" s="794">
        <v>7.0401208603937988</v>
      </c>
      <c r="K450" s="771"/>
    </row>
    <row r="451" spans="1:11" ht="18.75" customHeight="1" outlineLevel="2">
      <c r="A451" s="791" t="s">
        <v>776</v>
      </c>
      <c r="B451" s="791" t="s">
        <v>1016</v>
      </c>
      <c r="C451" s="791" t="s">
        <v>1009</v>
      </c>
      <c r="D451" s="792" t="s">
        <v>779</v>
      </c>
      <c r="E451" s="793" t="s">
        <v>662</v>
      </c>
      <c r="F451" s="793" t="s">
        <v>806</v>
      </c>
      <c r="G451" s="793" t="s">
        <v>782</v>
      </c>
      <c r="H451" s="793" t="s">
        <v>804</v>
      </c>
      <c r="I451" s="794">
        <v>1.7616343726124195E-2</v>
      </c>
      <c r="J451" s="794">
        <v>8.4149388864265315</v>
      </c>
      <c r="K451" s="771"/>
    </row>
    <row r="452" spans="1:11" ht="18.75" customHeight="1" outlineLevel="2">
      <c r="A452" s="791" t="s">
        <v>776</v>
      </c>
      <c r="B452" s="791" t="s">
        <v>1016</v>
      </c>
      <c r="C452" s="791" t="s">
        <v>1009</v>
      </c>
      <c r="D452" s="792" t="s">
        <v>779</v>
      </c>
      <c r="E452" s="793" t="s">
        <v>662</v>
      </c>
      <c r="F452" s="793" t="s">
        <v>807</v>
      </c>
      <c r="G452" s="793" t="s">
        <v>782</v>
      </c>
      <c r="H452" s="793" t="s">
        <v>804</v>
      </c>
      <c r="I452" s="794">
        <v>1.3028037415731045E-4</v>
      </c>
      <c r="J452" s="794">
        <v>5.8306554033084067E-2</v>
      </c>
      <c r="K452" s="771"/>
    </row>
    <row r="453" spans="1:11" ht="18.75" customHeight="1" outlineLevel="2">
      <c r="A453" s="791" t="s">
        <v>776</v>
      </c>
      <c r="B453" s="791" t="s">
        <v>1016</v>
      </c>
      <c r="C453" s="791" t="s">
        <v>1009</v>
      </c>
      <c r="D453" s="792" t="s">
        <v>779</v>
      </c>
      <c r="E453" s="793" t="s">
        <v>662</v>
      </c>
      <c r="F453" s="793" t="s">
        <v>808</v>
      </c>
      <c r="G453" s="793" t="s">
        <v>782</v>
      </c>
      <c r="H453" s="793" t="s">
        <v>804</v>
      </c>
      <c r="I453" s="794">
        <v>0.50216749588219423</v>
      </c>
      <c r="J453" s="794">
        <v>280.40236009582475</v>
      </c>
      <c r="K453" s="771"/>
    </row>
    <row r="454" spans="1:11" ht="18.75" customHeight="1" outlineLevel="2">
      <c r="A454" s="791" t="s">
        <v>776</v>
      </c>
      <c r="B454" s="791" t="s">
        <v>1016</v>
      </c>
      <c r="C454" s="791" t="s">
        <v>1009</v>
      </c>
      <c r="D454" s="792" t="s">
        <v>779</v>
      </c>
      <c r="E454" s="793" t="s">
        <v>662</v>
      </c>
      <c r="F454" s="793" t="s">
        <v>809</v>
      </c>
      <c r="G454" s="793" t="s">
        <v>782</v>
      </c>
      <c r="H454" s="793" t="s">
        <v>804</v>
      </c>
      <c r="I454" s="794">
        <v>3.6716885195339751E-3</v>
      </c>
      <c r="J454" s="794">
        <v>1.6432506576298247</v>
      </c>
      <c r="K454" s="771"/>
    </row>
    <row r="455" spans="1:11" ht="18.75" customHeight="1" outlineLevel="2">
      <c r="A455" s="791" t="s">
        <v>776</v>
      </c>
      <c r="B455" s="791" t="s">
        <v>1016</v>
      </c>
      <c r="C455" s="791" t="s">
        <v>1009</v>
      </c>
      <c r="D455" s="792" t="s">
        <v>779</v>
      </c>
      <c r="E455" s="793" t="s">
        <v>662</v>
      </c>
      <c r="F455" s="793" t="s">
        <v>810</v>
      </c>
      <c r="G455" s="793" t="s">
        <v>785</v>
      </c>
      <c r="H455" s="793" t="s">
        <v>727</v>
      </c>
      <c r="I455" s="794">
        <v>1.098540896384374E-2</v>
      </c>
      <c r="J455" s="794">
        <v>4.916481011902893</v>
      </c>
      <c r="K455" s="771"/>
    </row>
    <row r="456" spans="1:11" ht="18.75" customHeight="1" outlineLevel="2">
      <c r="A456" s="791" t="s">
        <v>776</v>
      </c>
      <c r="B456" s="791" t="s">
        <v>1016</v>
      </c>
      <c r="C456" s="791" t="s">
        <v>1009</v>
      </c>
      <c r="D456" s="792" t="s">
        <v>779</v>
      </c>
      <c r="E456" s="793" t="s">
        <v>662</v>
      </c>
      <c r="F456" s="793" t="s">
        <v>811</v>
      </c>
      <c r="G456" s="793" t="s">
        <v>785</v>
      </c>
      <c r="H456" s="793" t="s">
        <v>727</v>
      </c>
      <c r="I456" s="794">
        <v>8.4061682007705962E-4</v>
      </c>
      <c r="J456" s="794">
        <v>0.3762154559701133</v>
      </c>
      <c r="K456" s="771"/>
    </row>
    <row r="457" spans="1:11" ht="18.75" customHeight="1" outlineLevel="2">
      <c r="A457" s="791" t="s">
        <v>776</v>
      </c>
      <c r="B457" s="791" t="s">
        <v>1016</v>
      </c>
      <c r="C457" s="791" t="s">
        <v>1009</v>
      </c>
      <c r="D457" s="792" t="s">
        <v>779</v>
      </c>
      <c r="E457" s="793" t="s">
        <v>662</v>
      </c>
      <c r="F457" s="793" t="s">
        <v>812</v>
      </c>
      <c r="G457" s="793" t="s">
        <v>813</v>
      </c>
      <c r="H457" s="793" t="s">
        <v>814</v>
      </c>
      <c r="I457" s="794">
        <v>5.0591428730209852E-2</v>
      </c>
      <c r="J457" s="794">
        <v>27.707204847061305</v>
      </c>
      <c r="K457" s="771"/>
    </row>
    <row r="458" spans="1:11" ht="18.75" customHeight="1" outlineLevel="2">
      <c r="A458" s="791" t="s">
        <v>776</v>
      </c>
      <c r="B458" s="791" t="s">
        <v>1016</v>
      </c>
      <c r="C458" s="791" t="s">
        <v>1009</v>
      </c>
      <c r="D458" s="792" t="s">
        <v>779</v>
      </c>
      <c r="E458" s="793" t="s">
        <v>662</v>
      </c>
      <c r="F458" s="793" t="s">
        <v>815</v>
      </c>
      <c r="G458" s="793" t="s">
        <v>813</v>
      </c>
      <c r="H458" s="793" t="s">
        <v>814</v>
      </c>
      <c r="I458" s="794">
        <v>0.36783210949772632</v>
      </c>
      <c r="J458" s="794">
        <v>197.68957261929228</v>
      </c>
      <c r="K458" s="771"/>
    </row>
    <row r="459" spans="1:11" ht="18.75" customHeight="1" outlineLevel="2">
      <c r="A459" s="791" t="s">
        <v>776</v>
      </c>
      <c r="B459" s="791" t="s">
        <v>1016</v>
      </c>
      <c r="C459" s="791" t="s">
        <v>1009</v>
      </c>
      <c r="D459" s="792" t="s">
        <v>779</v>
      </c>
      <c r="E459" s="793" t="s">
        <v>662</v>
      </c>
      <c r="F459" s="793" t="s">
        <v>816</v>
      </c>
      <c r="G459" s="793" t="s">
        <v>813</v>
      </c>
      <c r="H459" s="793" t="s">
        <v>814</v>
      </c>
      <c r="I459" s="794">
        <v>0.71204985064414372</v>
      </c>
      <c r="J459" s="794">
        <v>369.94360344637562</v>
      </c>
      <c r="K459" s="771"/>
    </row>
    <row r="460" spans="1:11" ht="18.75" customHeight="1" outlineLevel="2">
      <c r="A460" s="791" t="s">
        <v>776</v>
      </c>
      <c r="B460" s="791" t="s">
        <v>1016</v>
      </c>
      <c r="C460" s="791" t="s">
        <v>1009</v>
      </c>
      <c r="D460" s="792" t="s">
        <v>779</v>
      </c>
      <c r="E460" s="793" t="s">
        <v>662</v>
      </c>
      <c r="F460" s="793" t="s">
        <v>817</v>
      </c>
      <c r="G460" s="793" t="s">
        <v>813</v>
      </c>
      <c r="H460" s="793" t="s">
        <v>814</v>
      </c>
      <c r="I460" s="794">
        <v>3.4780619647453559</v>
      </c>
      <c r="J460" s="794">
        <v>1903.9038366027009</v>
      </c>
      <c r="K460" s="771"/>
    </row>
    <row r="461" spans="1:11" ht="18.75" customHeight="1" outlineLevel="2">
      <c r="A461" s="791" t="s">
        <v>776</v>
      </c>
      <c r="B461" s="791" t="s">
        <v>1016</v>
      </c>
      <c r="C461" s="791" t="s">
        <v>1009</v>
      </c>
      <c r="D461" s="792" t="s">
        <v>779</v>
      </c>
      <c r="E461" s="793" t="s">
        <v>662</v>
      </c>
      <c r="F461" s="793" t="s">
        <v>818</v>
      </c>
      <c r="G461" s="793" t="s">
        <v>813</v>
      </c>
      <c r="H461" s="793" t="s">
        <v>814</v>
      </c>
      <c r="I461" s="794">
        <v>0.87471321262650636</v>
      </c>
      <c r="J461" s="794">
        <v>513.77119887243691</v>
      </c>
      <c r="K461" s="771"/>
    </row>
    <row r="462" spans="1:11" ht="18.75" customHeight="1" outlineLevel="2">
      <c r="A462" s="791" t="s">
        <v>776</v>
      </c>
      <c r="B462" s="791" t="s">
        <v>1016</v>
      </c>
      <c r="C462" s="791" t="s">
        <v>1009</v>
      </c>
      <c r="D462" s="792" t="s">
        <v>779</v>
      </c>
      <c r="E462" s="793" t="s">
        <v>662</v>
      </c>
      <c r="F462" s="793" t="s">
        <v>819</v>
      </c>
      <c r="G462" s="793" t="s">
        <v>813</v>
      </c>
      <c r="H462" s="793" t="s">
        <v>814</v>
      </c>
      <c r="I462" s="794">
        <v>3.2910675770693856</v>
      </c>
      <c r="J462" s="794">
        <v>1663.7575149330487</v>
      </c>
      <c r="K462" s="771"/>
    </row>
    <row r="463" spans="1:11" ht="18.75" customHeight="1" outlineLevel="2">
      <c r="A463" s="791" t="s">
        <v>776</v>
      </c>
      <c r="B463" s="791" t="s">
        <v>1016</v>
      </c>
      <c r="C463" s="791" t="s">
        <v>1009</v>
      </c>
      <c r="D463" s="792" t="s">
        <v>779</v>
      </c>
      <c r="E463" s="793" t="s">
        <v>662</v>
      </c>
      <c r="F463" s="793" t="s">
        <v>820</v>
      </c>
      <c r="G463" s="793" t="s">
        <v>813</v>
      </c>
      <c r="H463" s="793" t="s">
        <v>814</v>
      </c>
      <c r="I463" s="794">
        <v>0.61653758741685427</v>
      </c>
      <c r="J463" s="794">
        <v>330.66190577208141</v>
      </c>
      <c r="K463" s="771"/>
    </row>
    <row r="464" spans="1:11" ht="18.75" customHeight="1" outlineLevel="2">
      <c r="A464" s="791" t="s">
        <v>776</v>
      </c>
      <c r="B464" s="791" t="s">
        <v>1016</v>
      </c>
      <c r="C464" s="791" t="s">
        <v>1009</v>
      </c>
      <c r="D464" s="792" t="s">
        <v>779</v>
      </c>
      <c r="E464" s="793" t="s">
        <v>662</v>
      </c>
      <c r="F464" s="793" t="s">
        <v>821</v>
      </c>
      <c r="G464" s="793" t="s">
        <v>813</v>
      </c>
      <c r="H464" s="793" t="s">
        <v>814</v>
      </c>
      <c r="I464" s="794">
        <v>2.9046743853551664</v>
      </c>
      <c r="J464" s="794">
        <v>1553.5513868913458</v>
      </c>
      <c r="K464" s="771"/>
    </row>
    <row r="465" spans="1:11" ht="18.75" customHeight="1" outlineLevel="2">
      <c r="A465" s="791" t="s">
        <v>776</v>
      </c>
      <c r="B465" s="791" t="s">
        <v>1016</v>
      </c>
      <c r="C465" s="791" t="s">
        <v>1009</v>
      </c>
      <c r="D465" s="792" t="s">
        <v>779</v>
      </c>
      <c r="E465" s="793" t="s">
        <v>662</v>
      </c>
      <c r="F465" s="793" t="s">
        <v>822</v>
      </c>
      <c r="G465" s="793" t="s">
        <v>813</v>
      </c>
      <c r="H465" s="793" t="s">
        <v>814</v>
      </c>
      <c r="I465" s="794">
        <v>1.1174103943553619</v>
      </c>
      <c r="J465" s="794">
        <v>163.60356476321323</v>
      </c>
      <c r="K465" s="771"/>
    </row>
    <row r="466" spans="1:11" ht="18.75" customHeight="1" outlineLevel="2">
      <c r="A466" s="791" t="s">
        <v>776</v>
      </c>
      <c r="B466" s="791" t="s">
        <v>1016</v>
      </c>
      <c r="C466" s="791" t="s">
        <v>1009</v>
      </c>
      <c r="D466" s="792" t="s">
        <v>779</v>
      </c>
      <c r="E466" s="793" t="s">
        <v>662</v>
      </c>
      <c r="F466" s="793" t="s">
        <v>823</v>
      </c>
      <c r="G466" s="793" t="s">
        <v>813</v>
      </c>
      <c r="H466" s="793" t="s">
        <v>814</v>
      </c>
      <c r="I466" s="794">
        <v>3.8635808908520293</v>
      </c>
      <c r="J466" s="794">
        <v>565.66358096191402</v>
      </c>
      <c r="K466" s="771"/>
    </row>
    <row r="467" spans="1:11" ht="18.75" customHeight="1" outlineLevel="2">
      <c r="A467" s="791" t="s">
        <v>776</v>
      </c>
      <c r="B467" s="791" t="s">
        <v>1016</v>
      </c>
      <c r="C467" s="791" t="s">
        <v>1009</v>
      </c>
      <c r="D467" s="792" t="s">
        <v>779</v>
      </c>
      <c r="E467" s="793" t="s">
        <v>662</v>
      </c>
      <c r="F467" s="793" t="s">
        <v>824</v>
      </c>
      <c r="G467" s="793" t="s">
        <v>813</v>
      </c>
      <c r="H467" s="793" t="s">
        <v>814</v>
      </c>
      <c r="I467" s="794">
        <v>1.6613608026010238E-3</v>
      </c>
      <c r="J467" s="794">
        <v>0.82898669507008516</v>
      </c>
      <c r="K467" s="771"/>
    </row>
    <row r="468" spans="1:11" ht="18.75" customHeight="1" outlineLevel="2">
      <c r="A468" s="791" t="s">
        <v>776</v>
      </c>
      <c r="B468" s="791" t="s">
        <v>1016</v>
      </c>
      <c r="C468" s="791" t="s">
        <v>1009</v>
      </c>
      <c r="D468" s="792" t="s">
        <v>779</v>
      </c>
      <c r="E468" s="793" t="s">
        <v>662</v>
      </c>
      <c r="F468" s="793" t="s">
        <v>825</v>
      </c>
      <c r="G468" s="793" t="s">
        <v>791</v>
      </c>
      <c r="H468" s="793" t="s">
        <v>826</v>
      </c>
      <c r="I468" s="794">
        <v>4.5221984997600762E-4</v>
      </c>
      <c r="J468" s="794">
        <v>0.27500508303752536</v>
      </c>
      <c r="K468" s="771"/>
    </row>
    <row r="469" spans="1:11" ht="18.75" customHeight="1" outlineLevel="2">
      <c r="A469" s="791" t="s">
        <v>776</v>
      </c>
      <c r="B469" s="791" t="s">
        <v>1016</v>
      </c>
      <c r="C469" s="791" t="s">
        <v>1009</v>
      </c>
      <c r="D469" s="792" t="s">
        <v>779</v>
      </c>
      <c r="E469" s="793" t="s">
        <v>662</v>
      </c>
      <c r="F469" s="793" t="s">
        <v>827</v>
      </c>
      <c r="G469" s="793" t="s">
        <v>794</v>
      </c>
      <c r="H469" s="793" t="s">
        <v>828</v>
      </c>
      <c r="I469" s="794">
        <v>8.8997080445241183E-2</v>
      </c>
      <c r="J469" s="794">
        <v>44.063347881963274</v>
      </c>
      <c r="K469" s="771"/>
    </row>
    <row r="470" spans="1:11" ht="18.75" customHeight="1" outlineLevel="2">
      <c r="A470" s="791" t="s">
        <v>776</v>
      </c>
      <c r="B470" s="791" t="s">
        <v>1016</v>
      </c>
      <c r="C470" s="791" t="s">
        <v>1009</v>
      </c>
      <c r="D470" s="792" t="s">
        <v>779</v>
      </c>
      <c r="E470" s="793" t="s">
        <v>662</v>
      </c>
      <c r="F470" s="793" t="s">
        <v>829</v>
      </c>
      <c r="G470" s="793" t="s">
        <v>794</v>
      </c>
      <c r="H470" s="793" t="s">
        <v>828</v>
      </c>
      <c r="I470" s="794">
        <v>0.56794354081669562</v>
      </c>
      <c r="J470" s="794">
        <v>293.95191244737322</v>
      </c>
      <c r="K470" s="771"/>
    </row>
    <row r="471" spans="1:11" ht="18.75" customHeight="1" outlineLevel="2">
      <c r="A471" s="791" t="s">
        <v>776</v>
      </c>
      <c r="B471" s="791" t="s">
        <v>1016</v>
      </c>
      <c r="C471" s="791" t="s">
        <v>1009</v>
      </c>
      <c r="D471" s="792" t="s">
        <v>779</v>
      </c>
      <c r="E471" s="793" t="s">
        <v>662</v>
      </c>
      <c r="F471" s="793" t="s">
        <v>830</v>
      </c>
      <c r="G471" s="793" t="s">
        <v>794</v>
      </c>
      <c r="H471" s="793" t="s">
        <v>828</v>
      </c>
      <c r="I471" s="794">
        <v>2.2780154550630991E-4</v>
      </c>
      <c r="J471" s="794">
        <v>0.10195157087064079</v>
      </c>
      <c r="K471" s="771"/>
    </row>
    <row r="472" spans="1:11" ht="18.75" customHeight="1" outlineLevel="2">
      <c r="A472" s="791" t="s">
        <v>776</v>
      </c>
      <c r="B472" s="791" t="s">
        <v>1016</v>
      </c>
      <c r="C472" s="791" t="s">
        <v>1009</v>
      </c>
      <c r="D472" s="792" t="s">
        <v>779</v>
      </c>
      <c r="E472" s="793" t="s">
        <v>662</v>
      </c>
      <c r="F472" s="793" t="s">
        <v>831</v>
      </c>
      <c r="G472" s="793" t="s">
        <v>794</v>
      </c>
      <c r="H472" s="793" t="s">
        <v>828</v>
      </c>
      <c r="I472" s="794">
        <v>3.9735766791234436E-3</v>
      </c>
      <c r="J472" s="794">
        <v>1.7783579760225141</v>
      </c>
      <c r="K472" s="771"/>
    </row>
    <row r="473" spans="1:11" ht="18.75" customHeight="1" outlineLevel="2">
      <c r="A473" s="791" t="s">
        <v>776</v>
      </c>
      <c r="B473" s="791" t="s">
        <v>1016</v>
      </c>
      <c r="C473" s="791" t="s">
        <v>1009</v>
      </c>
      <c r="D473" s="792" t="s">
        <v>779</v>
      </c>
      <c r="E473" s="793" t="s">
        <v>662</v>
      </c>
      <c r="F473" s="793" t="s">
        <v>832</v>
      </c>
      <c r="G473" s="793" t="s">
        <v>833</v>
      </c>
      <c r="H473" s="793" t="s">
        <v>834</v>
      </c>
      <c r="I473" s="794">
        <v>9.0704338167145373E-3</v>
      </c>
      <c r="J473" s="794">
        <v>5.2366114173179339</v>
      </c>
      <c r="K473" s="771"/>
    </row>
    <row r="474" spans="1:11" ht="18.75" customHeight="1" outlineLevel="2">
      <c r="A474" s="791" t="s">
        <v>776</v>
      </c>
      <c r="B474" s="791" t="s">
        <v>1016</v>
      </c>
      <c r="C474" s="791" t="s">
        <v>1009</v>
      </c>
      <c r="D474" s="792" t="s">
        <v>779</v>
      </c>
      <c r="E474" s="793" t="s">
        <v>662</v>
      </c>
      <c r="F474" s="793" t="s">
        <v>835</v>
      </c>
      <c r="G474" s="793" t="s">
        <v>799</v>
      </c>
      <c r="H474" s="793" t="s">
        <v>800</v>
      </c>
      <c r="I474" s="794">
        <v>0.11882761068656816</v>
      </c>
      <c r="J474" s="794">
        <v>84.034096854422884</v>
      </c>
      <c r="K474" s="771"/>
    </row>
    <row r="475" spans="1:11" ht="18.75" customHeight="1" outlineLevel="2">
      <c r="A475" s="791" t="s">
        <v>776</v>
      </c>
      <c r="B475" s="791" t="s">
        <v>1016</v>
      </c>
      <c r="C475" s="791" t="s">
        <v>1009</v>
      </c>
      <c r="D475" s="792" t="s">
        <v>779</v>
      </c>
      <c r="E475" s="793" t="s">
        <v>662</v>
      </c>
      <c r="F475" s="793" t="s">
        <v>836</v>
      </c>
      <c r="G475" s="793" t="s">
        <v>799</v>
      </c>
      <c r="H475" s="793" t="s">
        <v>800</v>
      </c>
      <c r="I475" s="794">
        <v>0.87564710784038724</v>
      </c>
      <c r="J475" s="794">
        <v>798.89408669602778</v>
      </c>
      <c r="K475" s="771"/>
    </row>
    <row r="476" spans="1:11" ht="18.75" customHeight="1" outlineLevel="2">
      <c r="A476" s="791" t="s">
        <v>776</v>
      </c>
      <c r="B476" s="791" t="s">
        <v>1016</v>
      </c>
      <c r="C476" s="791" t="s">
        <v>1009</v>
      </c>
      <c r="D476" s="792" t="s">
        <v>779</v>
      </c>
      <c r="E476" s="793" t="s">
        <v>662</v>
      </c>
      <c r="F476" s="793" t="s">
        <v>837</v>
      </c>
      <c r="G476" s="793" t="s">
        <v>799</v>
      </c>
      <c r="H476" s="793" t="s">
        <v>800</v>
      </c>
      <c r="I476" s="794">
        <v>1.3022923028502966</v>
      </c>
      <c r="J476" s="794">
        <v>1730.7620127225714</v>
      </c>
      <c r="K476" s="771"/>
    </row>
    <row r="477" spans="1:11" ht="18.75" customHeight="1" outlineLevel="2">
      <c r="A477" s="791" t="s">
        <v>776</v>
      </c>
      <c r="B477" s="791" t="s">
        <v>1016</v>
      </c>
      <c r="C477" s="791" t="s">
        <v>1009</v>
      </c>
      <c r="D477" s="792" t="s">
        <v>779</v>
      </c>
      <c r="E477" s="793" t="s">
        <v>662</v>
      </c>
      <c r="F477" s="793" t="s">
        <v>838</v>
      </c>
      <c r="G477" s="793" t="s">
        <v>799</v>
      </c>
      <c r="H477" s="793" t="s">
        <v>800</v>
      </c>
      <c r="I477" s="794">
        <v>0.11766054391456512</v>
      </c>
      <c r="J477" s="794">
        <v>107.15204737313535</v>
      </c>
      <c r="K477" s="771"/>
    </row>
    <row r="478" spans="1:11" ht="18.75" customHeight="1" outlineLevel="2">
      <c r="A478" s="791" t="s">
        <v>776</v>
      </c>
      <c r="B478" s="791" t="s">
        <v>1016</v>
      </c>
      <c r="C478" s="791" t="s">
        <v>1009</v>
      </c>
      <c r="D478" s="792" t="s">
        <v>779</v>
      </c>
      <c r="E478" s="793" t="s">
        <v>662</v>
      </c>
      <c r="F478" s="793" t="s">
        <v>839</v>
      </c>
      <c r="G478" s="793" t="s">
        <v>782</v>
      </c>
      <c r="H478" s="793" t="s">
        <v>804</v>
      </c>
      <c r="I478" s="794">
        <v>5.9132606338408639E-2</v>
      </c>
      <c r="J478" s="794">
        <v>96.34328918239207</v>
      </c>
      <c r="K478" s="771"/>
    </row>
    <row r="479" spans="1:11" ht="18.75" customHeight="1" outlineLevel="2">
      <c r="A479" s="791" t="s">
        <v>776</v>
      </c>
      <c r="B479" s="791" t="s">
        <v>1016</v>
      </c>
      <c r="C479" s="791" t="s">
        <v>1009</v>
      </c>
      <c r="D479" s="792" t="s">
        <v>779</v>
      </c>
      <c r="E479" s="793" t="s">
        <v>662</v>
      </c>
      <c r="F479" s="793" t="s">
        <v>840</v>
      </c>
      <c r="G479" s="793" t="s">
        <v>782</v>
      </c>
      <c r="H479" s="793" t="s">
        <v>804</v>
      </c>
      <c r="I479" s="794">
        <v>4.725201976933338E-4</v>
      </c>
      <c r="J479" s="794">
        <v>0.71911869891420743</v>
      </c>
      <c r="K479" s="771"/>
    </row>
    <row r="480" spans="1:11" ht="18.75" customHeight="1" outlineLevel="2">
      <c r="A480" s="791" t="s">
        <v>776</v>
      </c>
      <c r="B480" s="791" t="s">
        <v>1016</v>
      </c>
      <c r="C480" s="791" t="s">
        <v>1009</v>
      </c>
      <c r="D480" s="792" t="s">
        <v>779</v>
      </c>
      <c r="E480" s="793" t="s">
        <v>662</v>
      </c>
      <c r="F480" s="793" t="s">
        <v>841</v>
      </c>
      <c r="G480" s="793" t="s">
        <v>782</v>
      </c>
      <c r="H480" s="793" t="s">
        <v>804</v>
      </c>
      <c r="I480" s="794">
        <v>0.12776215238423977</v>
      </c>
      <c r="J480" s="794">
        <v>180.99257612920201</v>
      </c>
      <c r="K480" s="771"/>
    </row>
    <row r="481" spans="1:11" ht="18.75" customHeight="1" outlineLevel="2">
      <c r="A481" s="791" t="s">
        <v>776</v>
      </c>
      <c r="B481" s="791" t="s">
        <v>1016</v>
      </c>
      <c r="C481" s="791" t="s">
        <v>1009</v>
      </c>
      <c r="D481" s="792" t="s">
        <v>779</v>
      </c>
      <c r="E481" s="793" t="s">
        <v>662</v>
      </c>
      <c r="F481" s="793" t="s">
        <v>842</v>
      </c>
      <c r="G481" s="793" t="s">
        <v>782</v>
      </c>
      <c r="H481" s="793" t="s">
        <v>804</v>
      </c>
      <c r="I481" s="794">
        <v>0.10425832709012887</v>
      </c>
      <c r="J481" s="794">
        <v>170.40147149848522</v>
      </c>
      <c r="K481" s="771"/>
    </row>
    <row r="482" spans="1:11" ht="18.75" customHeight="1" outlineLevel="2">
      <c r="A482" s="791" t="s">
        <v>776</v>
      </c>
      <c r="B482" s="791" t="s">
        <v>1016</v>
      </c>
      <c r="C482" s="791" t="s">
        <v>1009</v>
      </c>
      <c r="D482" s="792" t="s">
        <v>779</v>
      </c>
      <c r="E482" s="793" t="s">
        <v>662</v>
      </c>
      <c r="F482" s="793" t="s">
        <v>843</v>
      </c>
      <c r="G482" s="793" t="s">
        <v>782</v>
      </c>
      <c r="H482" s="793" t="s">
        <v>804</v>
      </c>
      <c r="I482" s="794">
        <v>0.2331556619022318</v>
      </c>
      <c r="J482" s="794">
        <v>340.06888514580618</v>
      </c>
      <c r="K482" s="771"/>
    </row>
    <row r="483" spans="1:11" ht="18.75" customHeight="1" outlineLevel="2">
      <c r="A483" s="791" t="s">
        <v>776</v>
      </c>
      <c r="B483" s="791" t="s">
        <v>1016</v>
      </c>
      <c r="C483" s="791" t="s">
        <v>1009</v>
      </c>
      <c r="D483" s="792" t="s">
        <v>779</v>
      </c>
      <c r="E483" s="793" t="s">
        <v>662</v>
      </c>
      <c r="F483" s="793" t="s">
        <v>844</v>
      </c>
      <c r="G483" s="793" t="s">
        <v>782</v>
      </c>
      <c r="H483" s="793" t="s">
        <v>804</v>
      </c>
      <c r="I483" s="794">
        <v>0.10114836948888645</v>
      </c>
      <c r="J483" s="794">
        <v>143.19415757323881</v>
      </c>
      <c r="K483" s="771"/>
    </row>
    <row r="484" spans="1:11" ht="18.75" customHeight="1" outlineLevel="2">
      <c r="A484" s="791" t="s">
        <v>776</v>
      </c>
      <c r="B484" s="791" t="s">
        <v>1016</v>
      </c>
      <c r="C484" s="791" t="s">
        <v>1009</v>
      </c>
      <c r="D484" s="792" t="s">
        <v>779</v>
      </c>
      <c r="E484" s="793" t="s">
        <v>662</v>
      </c>
      <c r="F484" s="793" t="s">
        <v>845</v>
      </c>
      <c r="G484" s="793" t="s">
        <v>782</v>
      </c>
      <c r="H484" s="793" t="s">
        <v>804</v>
      </c>
      <c r="I484" s="794">
        <v>5.5087100955773767E-3</v>
      </c>
      <c r="J484" s="794">
        <v>7.4630161231060166</v>
      </c>
      <c r="K484" s="771"/>
    </row>
    <row r="485" spans="1:11" ht="18.75" customHeight="1" outlineLevel="2">
      <c r="A485" s="791" t="s">
        <v>776</v>
      </c>
      <c r="B485" s="791" t="s">
        <v>1016</v>
      </c>
      <c r="C485" s="791" t="s">
        <v>1009</v>
      </c>
      <c r="D485" s="792" t="s">
        <v>779</v>
      </c>
      <c r="E485" s="793" t="s">
        <v>662</v>
      </c>
      <c r="F485" s="793" t="s">
        <v>846</v>
      </c>
      <c r="G485" s="793" t="s">
        <v>782</v>
      </c>
      <c r="H485" s="793" t="s">
        <v>804</v>
      </c>
      <c r="I485" s="794">
        <v>0.19170131423234837</v>
      </c>
      <c r="J485" s="794">
        <v>299.6614132008682</v>
      </c>
      <c r="K485" s="771"/>
    </row>
    <row r="486" spans="1:11" ht="18.75" customHeight="1" outlineLevel="2">
      <c r="A486" s="791" t="s">
        <v>776</v>
      </c>
      <c r="B486" s="791" t="s">
        <v>1016</v>
      </c>
      <c r="C486" s="791" t="s">
        <v>1009</v>
      </c>
      <c r="D486" s="792" t="s">
        <v>779</v>
      </c>
      <c r="E486" s="793" t="s">
        <v>662</v>
      </c>
      <c r="F486" s="793" t="s">
        <v>847</v>
      </c>
      <c r="G486" s="793" t="s">
        <v>782</v>
      </c>
      <c r="H486" s="793" t="s">
        <v>804</v>
      </c>
      <c r="I486" s="794">
        <v>9.1373734303136514E-2</v>
      </c>
      <c r="J486" s="794">
        <v>111.1390330942284</v>
      </c>
      <c r="K486" s="771"/>
    </row>
    <row r="487" spans="1:11" ht="18.75" customHeight="1" outlineLevel="2">
      <c r="A487" s="791" t="s">
        <v>776</v>
      </c>
      <c r="B487" s="791" t="s">
        <v>1016</v>
      </c>
      <c r="C487" s="791" t="s">
        <v>1009</v>
      </c>
      <c r="D487" s="792" t="s">
        <v>779</v>
      </c>
      <c r="E487" s="793" t="s">
        <v>662</v>
      </c>
      <c r="F487" s="793" t="s">
        <v>848</v>
      </c>
      <c r="G487" s="793" t="s">
        <v>782</v>
      </c>
      <c r="H487" s="793" t="s">
        <v>804</v>
      </c>
      <c r="I487" s="794">
        <v>0.43186860129667148</v>
      </c>
      <c r="J487" s="794">
        <v>624.42894140832379</v>
      </c>
      <c r="K487" s="771"/>
    </row>
    <row r="488" spans="1:11" ht="18.75" customHeight="1" outlineLevel="2">
      <c r="A488" s="791" t="s">
        <v>776</v>
      </c>
      <c r="B488" s="791" t="s">
        <v>1016</v>
      </c>
      <c r="C488" s="791" t="s">
        <v>1009</v>
      </c>
      <c r="D488" s="792" t="s">
        <v>779</v>
      </c>
      <c r="E488" s="793" t="s">
        <v>662</v>
      </c>
      <c r="F488" s="793" t="s">
        <v>849</v>
      </c>
      <c r="G488" s="793" t="s">
        <v>782</v>
      </c>
      <c r="H488" s="793" t="s">
        <v>804</v>
      </c>
      <c r="I488" s="794">
        <v>0.21892307843090697</v>
      </c>
      <c r="J488" s="794">
        <v>299.86794750920689</v>
      </c>
      <c r="K488" s="771"/>
    </row>
    <row r="489" spans="1:11" ht="18.75" customHeight="1" outlineLevel="2">
      <c r="A489" s="791" t="s">
        <v>776</v>
      </c>
      <c r="B489" s="791" t="s">
        <v>1016</v>
      </c>
      <c r="C489" s="791" t="s">
        <v>1009</v>
      </c>
      <c r="D489" s="792" t="s">
        <v>779</v>
      </c>
      <c r="E489" s="793" t="s">
        <v>662</v>
      </c>
      <c r="F489" s="793" t="s">
        <v>850</v>
      </c>
      <c r="G489" s="793" t="s">
        <v>782</v>
      </c>
      <c r="H489" s="793" t="s">
        <v>804</v>
      </c>
      <c r="I489" s="794">
        <v>1.7304283686295049E-2</v>
      </c>
      <c r="J489" s="794">
        <v>24.153972135126985</v>
      </c>
      <c r="K489" s="771"/>
    </row>
    <row r="490" spans="1:11" ht="18.75" customHeight="1" outlineLevel="2">
      <c r="A490" s="791" t="s">
        <v>776</v>
      </c>
      <c r="B490" s="791" t="s">
        <v>1016</v>
      </c>
      <c r="C490" s="791" t="s">
        <v>1009</v>
      </c>
      <c r="D490" s="792" t="s">
        <v>779</v>
      </c>
      <c r="E490" s="793" t="s">
        <v>662</v>
      </c>
      <c r="F490" s="793" t="s">
        <v>851</v>
      </c>
      <c r="G490" s="793" t="s">
        <v>782</v>
      </c>
      <c r="H490" s="793" t="s">
        <v>804</v>
      </c>
      <c r="I490" s="794">
        <v>2.8414797322869521E-2</v>
      </c>
      <c r="J490" s="794">
        <v>40.560573382691153</v>
      </c>
      <c r="K490" s="771"/>
    </row>
    <row r="491" spans="1:11" ht="18.75" customHeight="1" outlineLevel="2">
      <c r="A491" s="791" t="s">
        <v>776</v>
      </c>
      <c r="B491" s="791" t="s">
        <v>1016</v>
      </c>
      <c r="C491" s="791" t="s">
        <v>1009</v>
      </c>
      <c r="D491" s="792" t="s">
        <v>779</v>
      </c>
      <c r="E491" s="793" t="s">
        <v>662</v>
      </c>
      <c r="F491" s="793" t="s">
        <v>852</v>
      </c>
      <c r="G491" s="793" t="s">
        <v>782</v>
      </c>
      <c r="H491" s="793" t="s">
        <v>804</v>
      </c>
      <c r="I491" s="794">
        <v>1.2439684430749524E-2</v>
      </c>
      <c r="J491" s="794">
        <v>36.244196783926839</v>
      </c>
      <c r="K491" s="771"/>
    </row>
    <row r="492" spans="1:11" ht="18.75" customHeight="1" outlineLevel="2">
      <c r="A492" s="791" t="s">
        <v>776</v>
      </c>
      <c r="B492" s="791" t="s">
        <v>1016</v>
      </c>
      <c r="C492" s="791" t="s">
        <v>1009</v>
      </c>
      <c r="D492" s="792" t="s">
        <v>779</v>
      </c>
      <c r="E492" s="793" t="s">
        <v>662</v>
      </c>
      <c r="F492" s="793" t="s">
        <v>853</v>
      </c>
      <c r="G492" s="793" t="s">
        <v>782</v>
      </c>
      <c r="H492" s="793" t="s">
        <v>804</v>
      </c>
      <c r="I492" s="794">
        <v>1.0012928679443218E-2</v>
      </c>
      <c r="J492" s="794">
        <v>85.964979003753911</v>
      </c>
      <c r="K492" s="771"/>
    </row>
    <row r="493" spans="1:11" ht="18.75" customHeight="1" outlineLevel="2">
      <c r="A493" s="791" t="s">
        <v>776</v>
      </c>
      <c r="B493" s="791" t="s">
        <v>1016</v>
      </c>
      <c r="C493" s="791" t="s">
        <v>1009</v>
      </c>
      <c r="D493" s="792" t="s">
        <v>779</v>
      </c>
      <c r="E493" s="793" t="s">
        <v>662</v>
      </c>
      <c r="F493" s="793" t="s">
        <v>854</v>
      </c>
      <c r="G493" s="793" t="s">
        <v>782</v>
      </c>
      <c r="H493" s="793" t="s">
        <v>804</v>
      </c>
      <c r="I493" s="794">
        <v>0.13625629823708221</v>
      </c>
      <c r="J493" s="794">
        <v>204.9772294367578</v>
      </c>
      <c r="K493" s="771"/>
    </row>
    <row r="494" spans="1:11" ht="18.75" customHeight="1" outlineLevel="2">
      <c r="A494" s="791" t="s">
        <v>776</v>
      </c>
      <c r="B494" s="791" t="s">
        <v>1016</v>
      </c>
      <c r="C494" s="791" t="s">
        <v>1009</v>
      </c>
      <c r="D494" s="792" t="s">
        <v>779</v>
      </c>
      <c r="E494" s="793" t="s">
        <v>662</v>
      </c>
      <c r="F494" s="793" t="s">
        <v>855</v>
      </c>
      <c r="G494" s="793" t="s">
        <v>782</v>
      </c>
      <c r="H494" s="793" t="s">
        <v>804</v>
      </c>
      <c r="I494" s="794">
        <v>9.7264943881158542E-2</v>
      </c>
      <c r="J494" s="794">
        <v>142.86101690282146</v>
      </c>
      <c r="K494" s="771"/>
    </row>
    <row r="495" spans="1:11" ht="18.75" customHeight="1" outlineLevel="2">
      <c r="A495" s="791" t="s">
        <v>776</v>
      </c>
      <c r="B495" s="791" t="s">
        <v>1016</v>
      </c>
      <c r="C495" s="791" t="s">
        <v>1009</v>
      </c>
      <c r="D495" s="792" t="s">
        <v>779</v>
      </c>
      <c r="E495" s="793" t="s">
        <v>662</v>
      </c>
      <c r="F495" s="793" t="s">
        <v>856</v>
      </c>
      <c r="G495" s="793" t="s">
        <v>782</v>
      </c>
      <c r="H495" s="793" t="s">
        <v>804</v>
      </c>
      <c r="I495" s="794">
        <v>3.8207232047974445E-2</v>
      </c>
      <c r="J495" s="794">
        <v>46.810454640611482</v>
      </c>
      <c r="K495" s="771"/>
    </row>
    <row r="496" spans="1:11" ht="18.75" customHeight="1" outlineLevel="2">
      <c r="A496" s="791" t="s">
        <v>776</v>
      </c>
      <c r="B496" s="791" t="s">
        <v>1016</v>
      </c>
      <c r="C496" s="791" t="s">
        <v>1009</v>
      </c>
      <c r="D496" s="792" t="s">
        <v>779</v>
      </c>
      <c r="E496" s="793" t="s">
        <v>662</v>
      </c>
      <c r="F496" s="793" t="s">
        <v>857</v>
      </c>
      <c r="G496" s="793" t="s">
        <v>782</v>
      </c>
      <c r="H496" s="793" t="s">
        <v>804</v>
      </c>
      <c r="I496" s="794">
        <v>3.1793008776742959E-2</v>
      </c>
      <c r="J496" s="794">
        <v>34.204494633195637</v>
      </c>
      <c r="K496" s="771"/>
    </row>
    <row r="497" spans="1:11" ht="18.75" customHeight="1" outlineLevel="2">
      <c r="A497" s="791" t="s">
        <v>776</v>
      </c>
      <c r="B497" s="791" t="s">
        <v>1016</v>
      </c>
      <c r="C497" s="791" t="s">
        <v>1009</v>
      </c>
      <c r="D497" s="792" t="s">
        <v>779</v>
      </c>
      <c r="E497" s="793" t="s">
        <v>662</v>
      </c>
      <c r="F497" s="793" t="s">
        <v>858</v>
      </c>
      <c r="G497" s="793" t="s">
        <v>785</v>
      </c>
      <c r="H497" s="793" t="s">
        <v>727</v>
      </c>
      <c r="I497" s="794">
        <v>0.27215921910473512</v>
      </c>
      <c r="J497" s="794">
        <v>544.96640981489929</v>
      </c>
      <c r="K497" s="771"/>
    </row>
    <row r="498" spans="1:11" ht="18.75" customHeight="1" outlineLevel="2">
      <c r="A498" s="791" t="s">
        <v>776</v>
      </c>
      <c r="B498" s="791" t="s">
        <v>1016</v>
      </c>
      <c r="C498" s="791" t="s">
        <v>1009</v>
      </c>
      <c r="D498" s="792" t="s">
        <v>779</v>
      </c>
      <c r="E498" s="793" t="s">
        <v>662</v>
      </c>
      <c r="F498" s="793" t="s">
        <v>859</v>
      </c>
      <c r="G498" s="793" t="s">
        <v>785</v>
      </c>
      <c r="H498" s="793" t="s">
        <v>727</v>
      </c>
      <c r="I498" s="794">
        <v>0.19555494200371773</v>
      </c>
      <c r="J498" s="794">
        <v>2062.4249864555759</v>
      </c>
      <c r="K498" s="771"/>
    </row>
    <row r="499" spans="1:11" ht="18.75" customHeight="1" outlineLevel="2">
      <c r="A499" s="791" t="s">
        <v>776</v>
      </c>
      <c r="B499" s="791" t="s">
        <v>1016</v>
      </c>
      <c r="C499" s="791" t="s">
        <v>1009</v>
      </c>
      <c r="D499" s="792" t="s">
        <v>779</v>
      </c>
      <c r="E499" s="793" t="s">
        <v>662</v>
      </c>
      <c r="F499" s="793" t="s">
        <v>860</v>
      </c>
      <c r="G499" s="793" t="s">
        <v>785</v>
      </c>
      <c r="H499" s="793" t="s">
        <v>727</v>
      </c>
      <c r="I499" s="794">
        <v>0.1622765611952699</v>
      </c>
      <c r="J499" s="794">
        <v>443.17784545400195</v>
      </c>
      <c r="K499" s="771"/>
    </row>
    <row r="500" spans="1:11" ht="18.75" customHeight="1" outlineLevel="2">
      <c r="A500" s="791" t="s">
        <v>776</v>
      </c>
      <c r="B500" s="791" t="s">
        <v>1016</v>
      </c>
      <c r="C500" s="791" t="s">
        <v>1009</v>
      </c>
      <c r="D500" s="792" t="s">
        <v>779</v>
      </c>
      <c r="E500" s="793" t="s">
        <v>662</v>
      </c>
      <c r="F500" s="793" t="s">
        <v>861</v>
      </c>
      <c r="G500" s="793" t="s">
        <v>785</v>
      </c>
      <c r="H500" s="793" t="s">
        <v>727</v>
      </c>
      <c r="I500" s="794">
        <v>0.62421027125637074</v>
      </c>
      <c r="J500" s="794">
        <v>832.40995520542435</v>
      </c>
      <c r="K500" s="771"/>
    </row>
    <row r="501" spans="1:11" ht="18.75" customHeight="1" outlineLevel="2">
      <c r="A501" s="791" t="s">
        <v>776</v>
      </c>
      <c r="B501" s="791" t="s">
        <v>1016</v>
      </c>
      <c r="C501" s="791" t="s">
        <v>1009</v>
      </c>
      <c r="D501" s="792" t="s">
        <v>779</v>
      </c>
      <c r="E501" s="793" t="s">
        <v>662</v>
      </c>
      <c r="F501" s="793" t="s">
        <v>862</v>
      </c>
      <c r="G501" s="793" t="s">
        <v>785</v>
      </c>
      <c r="H501" s="793" t="s">
        <v>727</v>
      </c>
      <c r="I501" s="794">
        <v>1.7608639312578452E-2</v>
      </c>
      <c r="J501" s="794">
        <v>38.194518337637149</v>
      </c>
      <c r="K501" s="771"/>
    </row>
    <row r="502" spans="1:11" ht="18.75" customHeight="1" outlineLevel="2">
      <c r="A502" s="791" t="s">
        <v>776</v>
      </c>
      <c r="B502" s="791" t="s">
        <v>1016</v>
      </c>
      <c r="C502" s="791" t="s">
        <v>1009</v>
      </c>
      <c r="D502" s="792" t="s">
        <v>779</v>
      </c>
      <c r="E502" s="793" t="s">
        <v>662</v>
      </c>
      <c r="F502" s="793" t="s">
        <v>863</v>
      </c>
      <c r="G502" s="793" t="s">
        <v>785</v>
      </c>
      <c r="H502" s="793" t="s">
        <v>727</v>
      </c>
      <c r="I502" s="794">
        <v>1.6986166536658381E-2</v>
      </c>
      <c r="J502" s="794">
        <v>25.191142555072965</v>
      </c>
      <c r="K502" s="771"/>
    </row>
    <row r="503" spans="1:11" ht="18.75" customHeight="1" outlineLevel="2">
      <c r="A503" s="791" t="s">
        <v>776</v>
      </c>
      <c r="B503" s="791" t="s">
        <v>1016</v>
      </c>
      <c r="C503" s="791" t="s">
        <v>1009</v>
      </c>
      <c r="D503" s="792" t="s">
        <v>779</v>
      </c>
      <c r="E503" s="793" t="s">
        <v>662</v>
      </c>
      <c r="F503" s="793" t="s">
        <v>864</v>
      </c>
      <c r="G503" s="793" t="s">
        <v>785</v>
      </c>
      <c r="H503" s="793" t="s">
        <v>727</v>
      </c>
      <c r="I503" s="794">
        <v>1.2821453231754102E-2</v>
      </c>
      <c r="J503" s="794">
        <v>182.14413370155867</v>
      </c>
      <c r="K503" s="771"/>
    </row>
    <row r="504" spans="1:11" ht="18.75" customHeight="1" outlineLevel="2">
      <c r="A504" s="791" t="s">
        <v>776</v>
      </c>
      <c r="B504" s="791" t="s">
        <v>1016</v>
      </c>
      <c r="C504" s="791" t="s">
        <v>1009</v>
      </c>
      <c r="D504" s="792" t="s">
        <v>779</v>
      </c>
      <c r="E504" s="793" t="s">
        <v>662</v>
      </c>
      <c r="F504" s="793" t="s">
        <v>865</v>
      </c>
      <c r="G504" s="793" t="s">
        <v>813</v>
      </c>
      <c r="H504" s="793" t="s">
        <v>814</v>
      </c>
      <c r="I504" s="794">
        <v>4.3742866559060909</v>
      </c>
      <c r="J504" s="794">
        <v>4673.4771981606127</v>
      </c>
      <c r="K504" s="771"/>
    </row>
    <row r="505" spans="1:11" ht="18.75" customHeight="1" outlineLevel="2">
      <c r="A505" s="791" t="s">
        <v>776</v>
      </c>
      <c r="B505" s="791" t="s">
        <v>1016</v>
      </c>
      <c r="C505" s="791" t="s">
        <v>1009</v>
      </c>
      <c r="D505" s="792" t="s">
        <v>779</v>
      </c>
      <c r="E505" s="793" t="s">
        <v>662</v>
      </c>
      <c r="F505" s="793" t="s">
        <v>866</v>
      </c>
      <c r="G505" s="793" t="s">
        <v>813</v>
      </c>
      <c r="H505" s="793" t="s">
        <v>814</v>
      </c>
      <c r="I505" s="794">
        <v>3.588068221233355</v>
      </c>
      <c r="J505" s="794">
        <v>4863.3402254220246</v>
      </c>
      <c r="K505" s="771"/>
    </row>
    <row r="506" spans="1:11" ht="18.75" customHeight="1" outlineLevel="2">
      <c r="A506" s="791" t="s">
        <v>776</v>
      </c>
      <c r="B506" s="791" t="s">
        <v>1016</v>
      </c>
      <c r="C506" s="791" t="s">
        <v>1009</v>
      </c>
      <c r="D506" s="792" t="s">
        <v>779</v>
      </c>
      <c r="E506" s="793" t="s">
        <v>662</v>
      </c>
      <c r="F506" s="793" t="s">
        <v>867</v>
      </c>
      <c r="G506" s="793" t="s">
        <v>813</v>
      </c>
      <c r="H506" s="793" t="s">
        <v>814</v>
      </c>
      <c r="I506" s="794">
        <v>0.37655901252071666</v>
      </c>
      <c r="J506" s="794">
        <v>402.16092399328988</v>
      </c>
      <c r="K506" s="771"/>
    </row>
    <row r="507" spans="1:11" ht="18.75" customHeight="1" outlineLevel="2">
      <c r="A507" s="791" t="s">
        <v>776</v>
      </c>
      <c r="B507" s="791" t="s">
        <v>1016</v>
      </c>
      <c r="C507" s="791" t="s">
        <v>1009</v>
      </c>
      <c r="D507" s="792" t="s">
        <v>779</v>
      </c>
      <c r="E507" s="793" t="s">
        <v>662</v>
      </c>
      <c r="F507" s="793" t="s">
        <v>868</v>
      </c>
      <c r="G507" s="793" t="s">
        <v>813</v>
      </c>
      <c r="H507" s="793" t="s">
        <v>814</v>
      </c>
      <c r="I507" s="794">
        <v>2.2865727824917501</v>
      </c>
      <c r="J507" s="794">
        <v>2884.7556382926191</v>
      </c>
      <c r="K507" s="771"/>
    </row>
    <row r="508" spans="1:11" ht="18.75" customHeight="1" outlineLevel="2">
      <c r="A508" s="791" t="s">
        <v>776</v>
      </c>
      <c r="B508" s="791" t="s">
        <v>1016</v>
      </c>
      <c r="C508" s="791" t="s">
        <v>1009</v>
      </c>
      <c r="D508" s="792" t="s">
        <v>779</v>
      </c>
      <c r="E508" s="793" t="s">
        <v>662</v>
      </c>
      <c r="F508" s="793" t="s">
        <v>869</v>
      </c>
      <c r="G508" s="793" t="s">
        <v>813</v>
      </c>
      <c r="H508" s="793" t="s">
        <v>814</v>
      </c>
      <c r="I508" s="794">
        <v>2.0513276960251677E-2</v>
      </c>
      <c r="J508" s="794">
        <v>25.978549057373641</v>
      </c>
      <c r="K508" s="771"/>
    </row>
    <row r="509" spans="1:11" ht="18.75" customHeight="1" outlineLevel="2">
      <c r="A509" s="791" t="s">
        <v>776</v>
      </c>
      <c r="B509" s="791" t="s">
        <v>1016</v>
      </c>
      <c r="C509" s="791" t="s">
        <v>1009</v>
      </c>
      <c r="D509" s="792" t="s">
        <v>779</v>
      </c>
      <c r="E509" s="793" t="s">
        <v>662</v>
      </c>
      <c r="F509" s="793" t="s">
        <v>870</v>
      </c>
      <c r="G509" s="793" t="s">
        <v>813</v>
      </c>
      <c r="H509" s="793" t="s">
        <v>814</v>
      </c>
      <c r="I509" s="794">
        <v>7.9659728647512376E-2</v>
      </c>
      <c r="J509" s="794">
        <v>112.6471458588135</v>
      </c>
      <c r="K509" s="771"/>
    </row>
    <row r="510" spans="1:11" ht="18.75" customHeight="1" outlineLevel="2">
      <c r="A510" s="791" t="s">
        <v>776</v>
      </c>
      <c r="B510" s="791" t="s">
        <v>1016</v>
      </c>
      <c r="C510" s="791" t="s">
        <v>1009</v>
      </c>
      <c r="D510" s="792" t="s">
        <v>779</v>
      </c>
      <c r="E510" s="793" t="s">
        <v>662</v>
      </c>
      <c r="F510" s="793" t="s">
        <v>871</v>
      </c>
      <c r="G510" s="793" t="s">
        <v>813</v>
      </c>
      <c r="H510" s="793" t="s">
        <v>814</v>
      </c>
      <c r="I510" s="794">
        <v>3.9068127382457303E-2</v>
      </c>
      <c r="J510" s="794">
        <v>49.561217997331084</v>
      </c>
      <c r="K510" s="771"/>
    </row>
    <row r="511" spans="1:11" ht="18.75" customHeight="1" outlineLevel="2">
      <c r="A511" s="791" t="s">
        <v>776</v>
      </c>
      <c r="B511" s="791" t="s">
        <v>1016</v>
      </c>
      <c r="C511" s="791" t="s">
        <v>1009</v>
      </c>
      <c r="D511" s="792" t="s">
        <v>779</v>
      </c>
      <c r="E511" s="793" t="s">
        <v>662</v>
      </c>
      <c r="F511" s="793" t="s">
        <v>872</v>
      </c>
      <c r="G511" s="793" t="s">
        <v>813</v>
      </c>
      <c r="H511" s="793" t="s">
        <v>814</v>
      </c>
      <c r="I511" s="794">
        <v>2.7224206531140407</v>
      </c>
      <c r="J511" s="794">
        <v>4622.4325752023715</v>
      </c>
      <c r="K511" s="771"/>
    </row>
    <row r="512" spans="1:11" ht="18.75" customHeight="1" outlineLevel="2">
      <c r="A512" s="791" t="s">
        <v>776</v>
      </c>
      <c r="B512" s="791" t="s">
        <v>1016</v>
      </c>
      <c r="C512" s="791" t="s">
        <v>1009</v>
      </c>
      <c r="D512" s="792" t="s">
        <v>779</v>
      </c>
      <c r="E512" s="793" t="s">
        <v>662</v>
      </c>
      <c r="F512" s="793" t="s">
        <v>873</v>
      </c>
      <c r="G512" s="793" t="s">
        <v>813</v>
      </c>
      <c r="H512" s="793" t="s">
        <v>814</v>
      </c>
      <c r="I512" s="794">
        <v>0.99481401613603759</v>
      </c>
      <c r="J512" s="794">
        <v>528.92010817897994</v>
      </c>
      <c r="K512" s="771"/>
    </row>
    <row r="513" spans="1:11" ht="18.75" customHeight="1" outlineLevel="2">
      <c r="A513" s="791" t="s">
        <v>776</v>
      </c>
      <c r="B513" s="791" t="s">
        <v>1016</v>
      </c>
      <c r="C513" s="791" t="s">
        <v>1009</v>
      </c>
      <c r="D513" s="792" t="s">
        <v>779</v>
      </c>
      <c r="E513" s="793" t="s">
        <v>662</v>
      </c>
      <c r="F513" s="793" t="s">
        <v>874</v>
      </c>
      <c r="G513" s="793" t="s">
        <v>813</v>
      </c>
      <c r="H513" s="793" t="s">
        <v>814</v>
      </c>
      <c r="I513" s="794">
        <v>3.4399569357219231</v>
      </c>
      <c r="J513" s="794">
        <v>1828.7348535405681</v>
      </c>
      <c r="K513" s="771"/>
    </row>
    <row r="514" spans="1:11" ht="18.75" customHeight="1" outlineLevel="2">
      <c r="A514" s="791" t="s">
        <v>776</v>
      </c>
      <c r="B514" s="791" t="s">
        <v>1016</v>
      </c>
      <c r="C514" s="791" t="s">
        <v>1009</v>
      </c>
      <c r="D514" s="792" t="s">
        <v>779</v>
      </c>
      <c r="E514" s="793" t="s">
        <v>662</v>
      </c>
      <c r="F514" s="793" t="s">
        <v>875</v>
      </c>
      <c r="G514" s="793" t="s">
        <v>813</v>
      </c>
      <c r="H514" s="793" t="s">
        <v>814</v>
      </c>
      <c r="I514" s="794">
        <v>0.6517736066745502</v>
      </c>
      <c r="J514" s="794">
        <v>949.19792202076269</v>
      </c>
      <c r="K514" s="771"/>
    </row>
    <row r="515" spans="1:11" ht="18.75" customHeight="1" outlineLevel="2">
      <c r="A515" s="791" t="s">
        <v>776</v>
      </c>
      <c r="B515" s="791" t="s">
        <v>1016</v>
      </c>
      <c r="C515" s="791" t="s">
        <v>1009</v>
      </c>
      <c r="D515" s="792" t="s">
        <v>779</v>
      </c>
      <c r="E515" s="793" t="s">
        <v>662</v>
      </c>
      <c r="F515" s="793" t="s">
        <v>876</v>
      </c>
      <c r="G515" s="793" t="s">
        <v>813</v>
      </c>
      <c r="H515" s="793" t="s">
        <v>814</v>
      </c>
      <c r="I515" s="794">
        <v>0.40975789142845431</v>
      </c>
      <c r="J515" s="794">
        <v>617.88520299434788</v>
      </c>
      <c r="K515" s="771"/>
    </row>
    <row r="516" spans="1:11" ht="18.75" customHeight="1" outlineLevel="2">
      <c r="A516" s="791" t="s">
        <v>776</v>
      </c>
      <c r="B516" s="791" t="s">
        <v>1016</v>
      </c>
      <c r="C516" s="791" t="s">
        <v>1009</v>
      </c>
      <c r="D516" s="792" t="s">
        <v>779</v>
      </c>
      <c r="E516" s="793" t="s">
        <v>662</v>
      </c>
      <c r="F516" s="793" t="s">
        <v>877</v>
      </c>
      <c r="G516" s="793" t="s">
        <v>813</v>
      </c>
      <c r="H516" s="793" t="s">
        <v>814</v>
      </c>
      <c r="I516" s="794">
        <v>0.5406107568983114</v>
      </c>
      <c r="J516" s="794">
        <v>699.38518990374723</v>
      </c>
      <c r="K516" s="771"/>
    </row>
    <row r="517" spans="1:11" ht="18.75" customHeight="1" outlineLevel="2">
      <c r="A517" s="791" t="s">
        <v>776</v>
      </c>
      <c r="B517" s="791" t="s">
        <v>1016</v>
      </c>
      <c r="C517" s="791" t="s">
        <v>1009</v>
      </c>
      <c r="D517" s="792" t="s">
        <v>779</v>
      </c>
      <c r="E517" s="793" t="s">
        <v>662</v>
      </c>
      <c r="F517" s="793" t="s">
        <v>878</v>
      </c>
      <c r="G517" s="793" t="s">
        <v>813</v>
      </c>
      <c r="H517" s="793" t="s">
        <v>814</v>
      </c>
      <c r="I517" s="794">
        <v>0.27585504178473941</v>
      </c>
      <c r="J517" s="794">
        <v>332.06396177096997</v>
      </c>
      <c r="K517" s="771"/>
    </row>
    <row r="518" spans="1:11" ht="18.75" customHeight="1" outlineLevel="2">
      <c r="A518" s="791" t="s">
        <v>776</v>
      </c>
      <c r="B518" s="791" t="s">
        <v>1016</v>
      </c>
      <c r="C518" s="791" t="s">
        <v>1009</v>
      </c>
      <c r="D518" s="792" t="s">
        <v>779</v>
      </c>
      <c r="E518" s="793" t="s">
        <v>662</v>
      </c>
      <c r="F518" s="793" t="s">
        <v>879</v>
      </c>
      <c r="G518" s="793" t="s">
        <v>813</v>
      </c>
      <c r="H518" s="793" t="s">
        <v>814</v>
      </c>
      <c r="I518" s="794">
        <v>8.716649024680704</v>
      </c>
      <c r="J518" s="794">
        <v>12723.227119204415</v>
      </c>
      <c r="K518" s="771"/>
    </row>
    <row r="519" spans="1:11" ht="18.75" customHeight="1" outlineLevel="2">
      <c r="A519" s="791" t="s">
        <v>776</v>
      </c>
      <c r="B519" s="791" t="s">
        <v>1016</v>
      </c>
      <c r="C519" s="791" t="s">
        <v>1009</v>
      </c>
      <c r="D519" s="792" t="s">
        <v>779</v>
      </c>
      <c r="E519" s="793" t="s">
        <v>662</v>
      </c>
      <c r="F519" s="793" t="s">
        <v>880</v>
      </c>
      <c r="G519" s="793" t="s">
        <v>813</v>
      </c>
      <c r="H519" s="793" t="s">
        <v>814</v>
      </c>
      <c r="I519" s="794">
        <v>5.5673766334422696</v>
      </c>
      <c r="J519" s="794">
        <v>8397.0870713131826</v>
      </c>
      <c r="K519" s="771"/>
    </row>
    <row r="520" spans="1:11" ht="18.75" customHeight="1" outlineLevel="2">
      <c r="A520" s="791" t="s">
        <v>776</v>
      </c>
      <c r="B520" s="791" t="s">
        <v>1016</v>
      </c>
      <c r="C520" s="791" t="s">
        <v>1009</v>
      </c>
      <c r="D520" s="792" t="s">
        <v>779</v>
      </c>
      <c r="E520" s="793" t="s">
        <v>662</v>
      </c>
      <c r="F520" s="793" t="s">
        <v>881</v>
      </c>
      <c r="G520" s="793" t="s">
        <v>813</v>
      </c>
      <c r="H520" s="793" t="s">
        <v>814</v>
      </c>
      <c r="I520" s="794">
        <v>0.62297837617842067</v>
      </c>
      <c r="J520" s="794">
        <v>1402.0940205094585</v>
      </c>
      <c r="K520" s="771"/>
    </row>
    <row r="521" spans="1:11" ht="18.75" customHeight="1" outlineLevel="2">
      <c r="A521" s="791" t="s">
        <v>776</v>
      </c>
      <c r="B521" s="791" t="s">
        <v>1016</v>
      </c>
      <c r="C521" s="791" t="s">
        <v>1009</v>
      </c>
      <c r="D521" s="792" t="s">
        <v>779</v>
      </c>
      <c r="E521" s="793" t="s">
        <v>662</v>
      </c>
      <c r="F521" s="793" t="s">
        <v>882</v>
      </c>
      <c r="G521" s="793" t="s">
        <v>813</v>
      </c>
      <c r="H521" s="793" t="s">
        <v>814</v>
      </c>
      <c r="I521" s="794">
        <v>17.147794502257653</v>
      </c>
      <c r="J521" s="794">
        <v>27106.33534991659</v>
      </c>
      <c r="K521" s="771"/>
    </row>
    <row r="522" spans="1:11" ht="18.75" customHeight="1" outlineLevel="2">
      <c r="A522" s="791" t="s">
        <v>776</v>
      </c>
      <c r="B522" s="791" t="s">
        <v>1016</v>
      </c>
      <c r="C522" s="791" t="s">
        <v>1009</v>
      </c>
      <c r="D522" s="792" t="s">
        <v>779</v>
      </c>
      <c r="E522" s="793" t="s">
        <v>662</v>
      </c>
      <c r="F522" s="793" t="s">
        <v>883</v>
      </c>
      <c r="G522" s="793" t="s">
        <v>813</v>
      </c>
      <c r="H522" s="793" t="s">
        <v>814</v>
      </c>
      <c r="I522" s="794">
        <v>0.39683178093680377</v>
      </c>
      <c r="J522" s="794">
        <v>452.26519959568543</v>
      </c>
      <c r="K522" s="771"/>
    </row>
    <row r="523" spans="1:11" ht="18.75" customHeight="1" outlineLevel="2">
      <c r="A523" s="791" t="s">
        <v>776</v>
      </c>
      <c r="B523" s="791" t="s">
        <v>1016</v>
      </c>
      <c r="C523" s="791" t="s">
        <v>1009</v>
      </c>
      <c r="D523" s="792" t="s">
        <v>779</v>
      </c>
      <c r="E523" s="793" t="s">
        <v>662</v>
      </c>
      <c r="F523" s="793" t="s">
        <v>884</v>
      </c>
      <c r="G523" s="793" t="s">
        <v>813</v>
      </c>
      <c r="H523" s="793" t="s">
        <v>814</v>
      </c>
      <c r="I523" s="794">
        <v>0.71959265027809527</v>
      </c>
      <c r="J523" s="794">
        <v>832.93217292247232</v>
      </c>
      <c r="K523" s="771"/>
    </row>
    <row r="524" spans="1:11" ht="18.75" customHeight="1" outlineLevel="2">
      <c r="A524" s="791" t="s">
        <v>776</v>
      </c>
      <c r="B524" s="791" t="s">
        <v>1016</v>
      </c>
      <c r="C524" s="791" t="s">
        <v>1009</v>
      </c>
      <c r="D524" s="792" t="s">
        <v>779</v>
      </c>
      <c r="E524" s="793" t="s">
        <v>662</v>
      </c>
      <c r="F524" s="793" t="s">
        <v>885</v>
      </c>
      <c r="G524" s="793" t="s">
        <v>791</v>
      </c>
      <c r="H524" s="793" t="s">
        <v>826</v>
      </c>
      <c r="I524" s="794">
        <v>4.5412828629321422E-4</v>
      </c>
      <c r="J524" s="794">
        <v>0.66897206473559612</v>
      </c>
      <c r="K524" s="771"/>
    </row>
    <row r="525" spans="1:11" ht="18.75" customHeight="1" outlineLevel="2">
      <c r="A525" s="791" t="s">
        <v>776</v>
      </c>
      <c r="B525" s="791" t="s">
        <v>1016</v>
      </c>
      <c r="C525" s="791" t="s">
        <v>1009</v>
      </c>
      <c r="D525" s="792" t="s">
        <v>779</v>
      </c>
      <c r="E525" s="793" t="s">
        <v>662</v>
      </c>
      <c r="F525" s="793" t="s">
        <v>886</v>
      </c>
      <c r="G525" s="793" t="s">
        <v>791</v>
      </c>
      <c r="H525" s="793" t="s">
        <v>826</v>
      </c>
      <c r="I525" s="794">
        <v>5.9426815580053275E-4</v>
      </c>
      <c r="J525" s="794">
        <v>2.588681274288223</v>
      </c>
      <c r="K525" s="771"/>
    </row>
    <row r="526" spans="1:11" ht="18.75" customHeight="1" outlineLevel="2">
      <c r="A526" s="791" t="s">
        <v>776</v>
      </c>
      <c r="B526" s="791" t="s">
        <v>1016</v>
      </c>
      <c r="C526" s="791" t="s">
        <v>1009</v>
      </c>
      <c r="D526" s="792" t="s">
        <v>779</v>
      </c>
      <c r="E526" s="793" t="s">
        <v>662</v>
      </c>
      <c r="F526" s="793" t="s">
        <v>887</v>
      </c>
      <c r="G526" s="793" t="s">
        <v>791</v>
      </c>
      <c r="H526" s="793" t="s">
        <v>826</v>
      </c>
      <c r="I526" s="794">
        <v>2.2156891478544474E-5</v>
      </c>
      <c r="J526" s="794">
        <v>2.0765719397582181E-2</v>
      </c>
      <c r="K526" s="771"/>
    </row>
    <row r="527" spans="1:11" ht="18.75" customHeight="1" outlineLevel="2">
      <c r="A527" s="791" t="s">
        <v>776</v>
      </c>
      <c r="B527" s="791" t="s">
        <v>1016</v>
      </c>
      <c r="C527" s="791" t="s">
        <v>1009</v>
      </c>
      <c r="D527" s="792" t="s">
        <v>779</v>
      </c>
      <c r="E527" s="793" t="s">
        <v>662</v>
      </c>
      <c r="F527" s="793" t="s">
        <v>888</v>
      </c>
      <c r="G527" s="793" t="s">
        <v>791</v>
      </c>
      <c r="H527" s="793" t="s">
        <v>826</v>
      </c>
      <c r="I527" s="794">
        <v>1.9874374966944875E-3</v>
      </c>
      <c r="J527" s="794">
        <v>1.8589410820891641</v>
      </c>
      <c r="K527" s="771"/>
    </row>
    <row r="528" spans="1:11" ht="18.75" customHeight="1" outlineLevel="2">
      <c r="A528" s="791" t="s">
        <v>776</v>
      </c>
      <c r="B528" s="791" t="s">
        <v>1016</v>
      </c>
      <c r="C528" s="791" t="s">
        <v>1009</v>
      </c>
      <c r="D528" s="792" t="s">
        <v>779</v>
      </c>
      <c r="E528" s="793" t="s">
        <v>662</v>
      </c>
      <c r="F528" s="793" t="s">
        <v>889</v>
      </c>
      <c r="G528" s="793" t="s">
        <v>791</v>
      </c>
      <c r="H528" s="793" t="s">
        <v>826</v>
      </c>
      <c r="I528" s="794">
        <v>3.8207567283635982E-4</v>
      </c>
      <c r="J528" s="794">
        <v>0.54999674799075993</v>
      </c>
      <c r="K528" s="771"/>
    </row>
    <row r="529" spans="1:11" ht="18.75" customHeight="1" outlineLevel="2">
      <c r="A529" s="791" t="s">
        <v>776</v>
      </c>
      <c r="B529" s="791" t="s">
        <v>1016</v>
      </c>
      <c r="C529" s="791" t="s">
        <v>1009</v>
      </c>
      <c r="D529" s="792" t="s">
        <v>779</v>
      </c>
      <c r="E529" s="793" t="s">
        <v>662</v>
      </c>
      <c r="F529" s="793" t="s">
        <v>890</v>
      </c>
      <c r="G529" s="793" t="s">
        <v>791</v>
      </c>
      <c r="H529" s="793" t="s">
        <v>826</v>
      </c>
      <c r="I529" s="794">
        <v>5.4594404727256627E-3</v>
      </c>
      <c r="J529" s="794">
        <v>6.0939334468447566</v>
      </c>
      <c r="K529" s="771"/>
    </row>
    <row r="530" spans="1:11" ht="18.75" customHeight="1" outlineLevel="2">
      <c r="A530" s="791" t="s">
        <v>776</v>
      </c>
      <c r="B530" s="791" t="s">
        <v>1016</v>
      </c>
      <c r="C530" s="791" t="s">
        <v>1009</v>
      </c>
      <c r="D530" s="792" t="s">
        <v>779</v>
      </c>
      <c r="E530" s="793" t="s">
        <v>662</v>
      </c>
      <c r="F530" s="793" t="s">
        <v>891</v>
      </c>
      <c r="G530" s="793" t="s">
        <v>791</v>
      </c>
      <c r="H530" s="793" t="s">
        <v>826</v>
      </c>
      <c r="I530" s="794">
        <v>2.794714842213309E-2</v>
      </c>
      <c r="J530" s="794">
        <v>13.661971098152694</v>
      </c>
      <c r="K530" s="771"/>
    </row>
    <row r="531" spans="1:11" ht="18.75" customHeight="1" outlineLevel="2">
      <c r="A531" s="791" t="s">
        <v>776</v>
      </c>
      <c r="B531" s="791" t="s">
        <v>1016</v>
      </c>
      <c r="C531" s="791" t="s">
        <v>1009</v>
      </c>
      <c r="D531" s="792" t="s">
        <v>779</v>
      </c>
      <c r="E531" s="793" t="s">
        <v>662</v>
      </c>
      <c r="F531" s="793" t="s">
        <v>892</v>
      </c>
      <c r="G531" s="793" t="s">
        <v>791</v>
      </c>
      <c r="H531" s="793" t="s">
        <v>826</v>
      </c>
      <c r="I531" s="794">
        <v>3.147489974026104E-3</v>
      </c>
      <c r="J531" s="794">
        <v>2.9439909202507057</v>
      </c>
      <c r="K531" s="771"/>
    </row>
    <row r="532" spans="1:11" ht="18.75" customHeight="1" outlineLevel="2">
      <c r="A532" s="791" t="s">
        <v>776</v>
      </c>
      <c r="B532" s="791" t="s">
        <v>1016</v>
      </c>
      <c r="C532" s="791" t="s">
        <v>1009</v>
      </c>
      <c r="D532" s="792" t="s">
        <v>779</v>
      </c>
      <c r="E532" s="793" t="s">
        <v>662</v>
      </c>
      <c r="F532" s="793" t="s">
        <v>893</v>
      </c>
      <c r="G532" s="793" t="s">
        <v>791</v>
      </c>
      <c r="H532" s="793" t="s">
        <v>826</v>
      </c>
      <c r="I532" s="794">
        <v>4.1323172209990593E-3</v>
      </c>
      <c r="J532" s="794">
        <v>4.2011818190915262</v>
      </c>
      <c r="K532" s="771"/>
    </row>
    <row r="533" spans="1:11" ht="18.75" customHeight="1" outlineLevel="2">
      <c r="A533" s="791" t="s">
        <v>776</v>
      </c>
      <c r="B533" s="791" t="s">
        <v>1016</v>
      </c>
      <c r="C533" s="791" t="s">
        <v>1009</v>
      </c>
      <c r="D533" s="792" t="s">
        <v>779</v>
      </c>
      <c r="E533" s="793" t="s">
        <v>662</v>
      </c>
      <c r="F533" s="793" t="s">
        <v>894</v>
      </c>
      <c r="G533" s="793" t="s">
        <v>791</v>
      </c>
      <c r="H533" s="793" t="s">
        <v>826</v>
      </c>
      <c r="I533" s="794">
        <v>4.9518865860031624E-4</v>
      </c>
      <c r="J533" s="794">
        <v>4.4898287553904517</v>
      </c>
      <c r="K533" s="771"/>
    </row>
    <row r="534" spans="1:11" ht="18.75" customHeight="1" outlineLevel="2">
      <c r="A534" s="791" t="s">
        <v>776</v>
      </c>
      <c r="B534" s="791" t="s">
        <v>1016</v>
      </c>
      <c r="C534" s="791" t="s">
        <v>1009</v>
      </c>
      <c r="D534" s="792" t="s">
        <v>779</v>
      </c>
      <c r="E534" s="793" t="s">
        <v>662</v>
      </c>
      <c r="F534" s="793" t="s">
        <v>895</v>
      </c>
      <c r="G534" s="793" t="s">
        <v>794</v>
      </c>
      <c r="H534" s="793" t="s">
        <v>828</v>
      </c>
      <c r="I534" s="794">
        <v>6.5481277434603689</v>
      </c>
      <c r="J534" s="794">
        <v>9066.5682687832159</v>
      </c>
      <c r="K534" s="771"/>
    </row>
    <row r="535" spans="1:11" ht="18.75" customHeight="1" outlineLevel="2">
      <c r="A535" s="791" t="s">
        <v>776</v>
      </c>
      <c r="B535" s="791" t="s">
        <v>1016</v>
      </c>
      <c r="C535" s="791" t="s">
        <v>1009</v>
      </c>
      <c r="D535" s="792" t="s">
        <v>779</v>
      </c>
      <c r="E535" s="793" t="s">
        <v>662</v>
      </c>
      <c r="F535" s="793" t="s">
        <v>896</v>
      </c>
      <c r="G535" s="793" t="s">
        <v>794</v>
      </c>
      <c r="H535" s="793" t="s">
        <v>828</v>
      </c>
      <c r="I535" s="794">
        <v>1.5380424277597333</v>
      </c>
      <c r="J535" s="794">
        <v>2268.3742300854665</v>
      </c>
      <c r="K535" s="771"/>
    </row>
    <row r="536" spans="1:11" ht="18.75" customHeight="1" outlineLevel="2">
      <c r="A536" s="791" t="s">
        <v>776</v>
      </c>
      <c r="B536" s="791" t="s">
        <v>1016</v>
      </c>
      <c r="C536" s="791" t="s">
        <v>1009</v>
      </c>
      <c r="D536" s="792" t="s">
        <v>779</v>
      </c>
      <c r="E536" s="793" t="s">
        <v>662</v>
      </c>
      <c r="F536" s="793" t="s">
        <v>897</v>
      </c>
      <c r="G536" s="793" t="s">
        <v>794</v>
      </c>
      <c r="H536" s="793" t="s">
        <v>828</v>
      </c>
      <c r="I536" s="794">
        <v>0.70953721723067298</v>
      </c>
      <c r="J536" s="794">
        <v>1199.4417067560482</v>
      </c>
      <c r="K536" s="771"/>
    </row>
    <row r="537" spans="1:11" ht="18.75" customHeight="1" outlineLevel="2">
      <c r="A537" s="791" t="s">
        <v>776</v>
      </c>
      <c r="B537" s="791" t="s">
        <v>1016</v>
      </c>
      <c r="C537" s="791" t="s">
        <v>1009</v>
      </c>
      <c r="D537" s="792" t="s">
        <v>779</v>
      </c>
      <c r="E537" s="793" t="s">
        <v>662</v>
      </c>
      <c r="F537" s="793" t="s">
        <v>898</v>
      </c>
      <c r="G537" s="793" t="s">
        <v>794</v>
      </c>
      <c r="H537" s="793" t="s">
        <v>828</v>
      </c>
      <c r="I537" s="794">
        <v>1.634939066034065</v>
      </c>
      <c r="J537" s="794">
        <v>2578.4747316746202</v>
      </c>
      <c r="K537" s="771"/>
    </row>
    <row r="538" spans="1:11" ht="18.75" customHeight="1" outlineLevel="2">
      <c r="A538" s="791" t="s">
        <v>776</v>
      </c>
      <c r="B538" s="791" t="s">
        <v>1016</v>
      </c>
      <c r="C538" s="791" t="s">
        <v>1009</v>
      </c>
      <c r="D538" s="792" t="s">
        <v>779</v>
      </c>
      <c r="E538" s="793" t="s">
        <v>662</v>
      </c>
      <c r="F538" s="793" t="s">
        <v>899</v>
      </c>
      <c r="G538" s="793" t="s">
        <v>794</v>
      </c>
      <c r="H538" s="793" t="s">
        <v>828</v>
      </c>
      <c r="I538" s="794">
        <v>2.8802007734020725</v>
      </c>
      <c r="J538" s="794">
        <v>4073.9220190768328</v>
      </c>
      <c r="K538" s="771"/>
    </row>
    <row r="539" spans="1:11" ht="18.75" customHeight="1" outlineLevel="2">
      <c r="A539" s="791" t="s">
        <v>776</v>
      </c>
      <c r="B539" s="791" t="s">
        <v>1016</v>
      </c>
      <c r="C539" s="791" t="s">
        <v>1009</v>
      </c>
      <c r="D539" s="792" t="s">
        <v>779</v>
      </c>
      <c r="E539" s="793" t="s">
        <v>662</v>
      </c>
      <c r="F539" s="793" t="s">
        <v>900</v>
      </c>
      <c r="G539" s="793" t="s">
        <v>794</v>
      </c>
      <c r="H539" s="793" t="s">
        <v>828</v>
      </c>
      <c r="I539" s="794">
        <v>0.13343203832321693</v>
      </c>
      <c r="J539" s="794">
        <v>191.14176969924148</v>
      </c>
      <c r="K539" s="771"/>
    </row>
    <row r="540" spans="1:11" ht="18.75" customHeight="1" outlineLevel="2">
      <c r="A540" s="791" t="s">
        <v>776</v>
      </c>
      <c r="B540" s="791" t="s">
        <v>1016</v>
      </c>
      <c r="C540" s="791" t="s">
        <v>1009</v>
      </c>
      <c r="D540" s="792" t="s">
        <v>779</v>
      </c>
      <c r="E540" s="793" t="s">
        <v>662</v>
      </c>
      <c r="F540" s="793" t="s">
        <v>901</v>
      </c>
      <c r="G540" s="793" t="s">
        <v>833</v>
      </c>
      <c r="H540" s="793" t="s">
        <v>834</v>
      </c>
      <c r="I540" s="794">
        <v>1.2108090538957072E-2</v>
      </c>
      <c r="J540" s="794">
        <v>12.619451564803304</v>
      </c>
      <c r="K540" s="771"/>
    </row>
    <row r="541" spans="1:11" ht="18.75" customHeight="1" outlineLevel="2">
      <c r="A541" s="791" t="s">
        <v>776</v>
      </c>
      <c r="B541" s="791" t="s">
        <v>1016</v>
      </c>
      <c r="C541" s="791" t="s">
        <v>1009</v>
      </c>
      <c r="D541" s="792" t="s">
        <v>779</v>
      </c>
      <c r="E541" s="793" t="s">
        <v>662</v>
      </c>
      <c r="F541" s="793" t="s">
        <v>902</v>
      </c>
      <c r="G541" s="793" t="s">
        <v>833</v>
      </c>
      <c r="H541" s="793" t="s">
        <v>834</v>
      </c>
      <c r="I541" s="794">
        <v>1.0539560232579294E-4</v>
      </c>
      <c r="J541" s="794">
        <v>0.13449366108053024</v>
      </c>
      <c r="K541" s="771"/>
    </row>
    <row r="542" spans="1:11" ht="18.75" customHeight="1" outlineLevel="2">
      <c r="A542" s="791" t="s">
        <v>776</v>
      </c>
      <c r="B542" s="791" t="s">
        <v>1016</v>
      </c>
      <c r="C542" s="791" t="s">
        <v>1009</v>
      </c>
      <c r="D542" s="792" t="s">
        <v>779</v>
      </c>
      <c r="E542" s="793" t="s">
        <v>662</v>
      </c>
      <c r="F542" s="793" t="s">
        <v>1018</v>
      </c>
      <c r="G542" s="793" t="s">
        <v>785</v>
      </c>
      <c r="H542" s="793" t="s">
        <v>727</v>
      </c>
      <c r="I542" s="794">
        <v>8.7642918818523693E-3</v>
      </c>
      <c r="J542" s="794">
        <v>10.818214320540029</v>
      </c>
      <c r="K542" s="771"/>
    </row>
    <row r="543" spans="1:11" ht="18.75" customHeight="1" outlineLevel="2">
      <c r="A543" s="791" t="s">
        <v>776</v>
      </c>
      <c r="B543" s="791" t="s">
        <v>1016</v>
      </c>
      <c r="C543" s="791" t="s">
        <v>1009</v>
      </c>
      <c r="D543" s="792" t="s">
        <v>779</v>
      </c>
      <c r="E543" s="793" t="s">
        <v>662</v>
      </c>
      <c r="F543" s="793" t="s">
        <v>903</v>
      </c>
      <c r="G543" s="793" t="s">
        <v>904</v>
      </c>
      <c r="H543" s="793" t="s">
        <v>905</v>
      </c>
      <c r="I543" s="794">
        <v>5.3362099591795253</v>
      </c>
      <c r="J543" s="794">
        <v>4540.1470989301424</v>
      </c>
      <c r="K543" s="771"/>
    </row>
    <row r="544" spans="1:11" ht="18.75" customHeight="1" outlineLevel="2">
      <c r="A544" s="791" t="s">
        <v>776</v>
      </c>
      <c r="B544" s="791" t="s">
        <v>1016</v>
      </c>
      <c r="C544" s="791" t="s">
        <v>1009</v>
      </c>
      <c r="D544" s="792" t="s">
        <v>779</v>
      </c>
      <c r="E544" s="793" t="s">
        <v>662</v>
      </c>
      <c r="F544" s="793" t="s">
        <v>906</v>
      </c>
      <c r="G544" s="793" t="s">
        <v>904</v>
      </c>
      <c r="H544" s="793" t="s">
        <v>905</v>
      </c>
      <c r="I544" s="794">
        <v>2.2460785888422641</v>
      </c>
      <c r="J544" s="794">
        <v>1916.152855716904</v>
      </c>
      <c r="K544" s="771"/>
    </row>
    <row r="545" spans="1:11" ht="18.75" customHeight="1" outlineLevel="2">
      <c r="A545" s="791" t="s">
        <v>776</v>
      </c>
      <c r="B545" s="791" t="s">
        <v>1016</v>
      </c>
      <c r="C545" s="791" t="s">
        <v>1009</v>
      </c>
      <c r="D545" s="792" t="s">
        <v>779</v>
      </c>
      <c r="E545" s="793" t="s">
        <v>662</v>
      </c>
      <c r="F545" s="793" t="s">
        <v>907</v>
      </c>
      <c r="G545" s="793" t="s">
        <v>908</v>
      </c>
      <c r="H545" s="793" t="s">
        <v>905</v>
      </c>
      <c r="I545" s="794">
        <v>1.606838379295096</v>
      </c>
      <c r="J545" s="794">
        <v>2699.5262063379964</v>
      </c>
      <c r="K545" s="771"/>
    </row>
    <row r="546" spans="1:11" ht="18.75" customHeight="1" outlineLevel="2">
      <c r="A546" s="791" t="s">
        <v>776</v>
      </c>
      <c r="B546" s="791" t="s">
        <v>1016</v>
      </c>
      <c r="C546" s="791" t="s">
        <v>1009</v>
      </c>
      <c r="D546" s="792" t="s">
        <v>779</v>
      </c>
      <c r="E546" s="793" t="s">
        <v>662</v>
      </c>
      <c r="F546" s="793" t="s">
        <v>909</v>
      </c>
      <c r="G546" s="793" t="s">
        <v>910</v>
      </c>
      <c r="H546" s="793" t="s">
        <v>911</v>
      </c>
      <c r="I546" s="794">
        <v>9.6942198864777493E-3</v>
      </c>
      <c r="J546" s="794">
        <v>14.431549716993832</v>
      </c>
      <c r="K546" s="771"/>
    </row>
    <row r="547" spans="1:11" ht="18.75" customHeight="1" outlineLevel="2">
      <c r="A547" s="791" t="s">
        <v>776</v>
      </c>
      <c r="B547" s="791" t="s">
        <v>1016</v>
      </c>
      <c r="C547" s="791" t="s">
        <v>1009</v>
      </c>
      <c r="D547" s="792" t="s">
        <v>779</v>
      </c>
      <c r="E547" s="793" t="s">
        <v>763</v>
      </c>
      <c r="F547" s="793" t="s">
        <v>912</v>
      </c>
      <c r="G547" s="793" t="s">
        <v>799</v>
      </c>
      <c r="H547" s="793" t="s">
        <v>913</v>
      </c>
      <c r="I547" s="794">
        <v>3.8453088531034021E-3</v>
      </c>
      <c r="J547" s="794">
        <v>7.3639532715053102</v>
      </c>
      <c r="K547" s="771"/>
    </row>
    <row r="548" spans="1:11" ht="18.75" customHeight="1" outlineLevel="2">
      <c r="A548" s="791" t="s">
        <v>776</v>
      </c>
      <c r="B548" s="791" t="s">
        <v>1016</v>
      </c>
      <c r="C548" s="791" t="s">
        <v>1009</v>
      </c>
      <c r="D548" s="792" t="s">
        <v>779</v>
      </c>
      <c r="E548" s="793" t="s">
        <v>763</v>
      </c>
      <c r="F548" s="793" t="s">
        <v>914</v>
      </c>
      <c r="G548" s="793" t="s">
        <v>782</v>
      </c>
      <c r="H548" s="793" t="s">
        <v>913</v>
      </c>
      <c r="I548" s="794">
        <v>3.0354267386504268E-3</v>
      </c>
      <c r="J548" s="794">
        <v>14.129903055024998</v>
      </c>
      <c r="K548" s="771"/>
    </row>
    <row r="549" spans="1:11" ht="18.75" customHeight="1" outlineLevel="2">
      <c r="A549" s="791" t="s">
        <v>776</v>
      </c>
      <c r="B549" s="791" t="s">
        <v>1016</v>
      </c>
      <c r="C549" s="791" t="s">
        <v>1009</v>
      </c>
      <c r="D549" s="792" t="s">
        <v>779</v>
      </c>
      <c r="E549" s="793" t="s">
        <v>763</v>
      </c>
      <c r="F549" s="793" t="s">
        <v>915</v>
      </c>
      <c r="G549" s="793" t="s">
        <v>782</v>
      </c>
      <c r="H549" s="793" t="s">
        <v>913</v>
      </c>
      <c r="I549" s="794">
        <v>1.6279970448786197E-3</v>
      </c>
      <c r="J549" s="794">
        <v>23.630151415834327</v>
      </c>
      <c r="K549" s="771"/>
    </row>
    <row r="550" spans="1:11" ht="18.75" customHeight="1" outlineLevel="2">
      <c r="A550" s="791" t="s">
        <v>776</v>
      </c>
      <c r="B550" s="791" t="s">
        <v>1016</v>
      </c>
      <c r="C550" s="791" t="s">
        <v>1009</v>
      </c>
      <c r="D550" s="792" t="s">
        <v>779</v>
      </c>
      <c r="E550" s="793" t="s">
        <v>763</v>
      </c>
      <c r="F550" s="793" t="s">
        <v>916</v>
      </c>
      <c r="G550" s="793" t="s">
        <v>782</v>
      </c>
      <c r="H550" s="793" t="s">
        <v>913</v>
      </c>
      <c r="I550" s="794">
        <v>2.4137604626301092E-3</v>
      </c>
      <c r="J550" s="794">
        <v>4.1730628103737315</v>
      </c>
      <c r="K550" s="771"/>
    </row>
    <row r="551" spans="1:11" ht="18.75" customHeight="1" outlineLevel="2">
      <c r="A551" s="791" t="s">
        <v>776</v>
      </c>
      <c r="B551" s="791" t="s">
        <v>1016</v>
      </c>
      <c r="C551" s="791" t="s">
        <v>1009</v>
      </c>
      <c r="D551" s="792" t="s">
        <v>779</v>
      </c>
      <c r="E551" s="793" t="s">
        <v>763</v>
      </c>
      <c r="F551" s="793" t="s">
        <v>917</v>
      </c>
      <c r="G551" s="793" t="s">
        <v>782</v>
      </c>
      <c r="H551" s="793" t="s">
        <v>913</v>
      </c>
      <c r="I551" s="794">
        <v>4.4190918161961593E-4</v>
      </c>
      <c r="J551" s="794">
        <v>2.419314575222189</v>
      </c>
      <c r="K551" s="771"/>
    </row>
    <row r="552" spans="1:11" ht="18.75" customHeight="1" outlineLevel="2">
      <c r="A552" s="791" t="s">
        <v>776</v>
      </c>
      <c r="B552" s="791" t="s">
        <v>1016</v>
      </c>
      <c r="C552" s="791" t="s">
        <v>1009</v>
      </c>
      <c r="D552" s="792" t="s">
        <v>779</v>
      </c>
      <c r="E552" s="793" t="s">
        <v>763</v>
      </c>
      <c r="F552" s="793" t="s">
        <v>918</v>
      </c>
      <c r="G552" s="793" t="s">
        <v>782</v>
      </c>
      <c r="H552" s="793" t="s">
        <v>913</v>
      </c>
      <c r="I552" s="794">
        <v>9.7809783855324767E-3</v>
      </c>
      <c r="J552" s="794">
        <v>43.698336319313668</v>
      </c>
      <c r="K552" s="771"/>
    </row>
    <row r="553" spans="1:11" ht="18.75" customHeight="1" outlineLevel="2">
      <c r="A553" s="791" t="s">
        <v>776</v>
      </c>
      <c r="B553" s="791" t="s">
        <v>1016</v>
      </c>
      <c r="C553" s="791" t="s">
        <v>1009</v>
      </c>
      <c r="D553" s="792" t="s">
        <v>779</v>
      </c>
      <c r="E553" s="793" t="s">
        <v>763</v>
      </c>
      <c r="F553" s="793" t="s">
        <v>919</v>
      </c>
      <c r="G553" s="793" t="s">
        <v>782</v>
      </c>
      <c r="H553" s="793" t="s">
        <v>913</v>
      </c>
      <c r="I553" s="794">
        <v>1.870925830921838E-2</v>
      </c>
      <c r="J553" s="794">
        <v>21.948748174703795</v>
      </c>
      <c r="K553" s="771"/>
    </row>
    <row r="554" spans="1:11" ht="18.75" customHeight="1" outlineLevel="2">
      <c r="A554" s="791" t="s">
        <v>776</v>
      </c>
      <c r="B554" s="791" t="s">
        <v>1016</v>
      </c>
      <c r="C554" s="791" t="s">
        <v>1009</v>
      </c>
      <c r="D554" s="792" t="s">
        <v>779</v>
      </c>
      <c r="E554" s="793" t="s">
        <v>763</v>
      </c>
      <c r="F554" s="793" t="s">
        <v>920</v>
      </c>
      <c r="G554" s="793" t="s">
        <v>782</v>
      </c>
      <c r="H554" s="793" t="s">
        <v>913</v>
      </c>
      <c r="I554" s="794">
        <v>2.0320712074498831E-3</v>
      </c>
      <c r="J554" s="794">
        <v>40.429001810868549</v>
      </c>
      <c r="K554" s="771"/>
    </row>
    <row r="555" spans="1:11" ht="18.75" customHeight="1" outlineLevel="2">
      <c r="A555" s="791" t="s">
        <v>776</v>
      </c>
      <c r="B555" s="791" t="s">
        <v>1016</v>
      </c>
      <c r="C555" s="791" t="s">
        <v>1009</v>
      </c>
      <c r="D555" s="792" t="s">
        <v>779</v>
      </c>
      <c r="E555" s="793" t="s">
        <v>763</v>
      </c>
      <c r="F555" s="793" t="s">
        <v>921</v>
      </c>
      <c r="G555" s="793" t="s">
        <v>782</v>
      </c>
      <c r="H555" s="793" t="s">
        <v>913</v>
      </c>
      <c r="I555" s="794">
        <v>9.4313630957261595E-3</v>
      </c>
      <c r="J555" s="794">
        <v>16.473499594752816</v>
      </c>
      <c r="K555" s="771"/>
    </row>
    <row r="556" spans="1:11" ht="18.75" customHeight="1" outlineLevel="2">
      <c r="A556" s="791" t="s">
        <v>776</v>
      </c>
      <c r="B556" s="791" t="s">
        <v>1016</v>
      </c>
      <c r="C556" s="791" t="s">
        <v>1009</v>
      </c>
      <c r="D556" s="792" t="s">
        <v>779</v>
      </c>
      <c r="E556" s="793" t="s">
        <v>763</v>
      </c>
      <c r="F556" s="793" t="s">
        <v>922</v>
      </c>
      <c r="G556" s="793" t="s">
        <v>782</v>
      </c>
      <c r="H556" s="793" t="s">
        <v>913</v>
      </c>
      <c r="I556" s="794">
        <v>1.4098804859989434E-3</v>
      </c>
      <c r="J556" s="794">
        <v>2.7000063014387146</v>
      </c>
      <c r="K556" s="771"/>
    </row>
    <row r="557" spans="1:11" ht="18.75" customHeight="1" outlineLevel="2">
      <c r="A557" s="791" t="s">
        <v>776</v>
      </c>
      <c r="B557" s="791" t="s">
        <v>1016</v>
      </c>
      <c r="C557" s="791" t="s">
        <v>1009</v>
      </c>
      <c r="D557" s="792" t="s">
        <v>779</v>
      </c>
      <c r="E557" s="793" t="s">
        <v>763</v>
      </c>
      <c r="F557" s="793" t="s">
        <v>923</v>
      </c>
      <c r="G557" s="793" t="s">
        <v>782</v>
      </c>
      <c r="H557" s="793" t="s">
        <v>913</v>
      </c>
      <c r="I557" s="794">
        <v>7.7268617953988915E-3</v>
      </c>
      <c r="J557" s="794">
        <v>28.075369328398313</v>
      </c>
      <c r="K557" s="771"/>
    </row>
    <row r="558" spans="1:11" ht="18.75" customHeight="1" outlineLevel="2">
      <c r="A558" s="791" t="s">
        <v>776</v>
      </c>
      <c r="B558" s="791" t="s">
        <v>1016</v>
      </c>
      <c r="C558" s="791" t="s">
        <v>1009</v>
      </c>
      <c r="D558" s="792" t="s">
        <v>779</v>
      </c>
      <c r="E558" s="793" t="s">
        <v>763</v>
      </c>
      <c r="F558" s="793" t="s">
        <v>924</v>
      </c>
      <c r="G558" s="793" t="s">
        <v>782</v>
      </c>
      <c r="H558" s="793" t="s">
        <v>913</v>
      </c>
      <c r="I558" s="794">
        <v>6.3656745041695073E-3</v>
      </c>
      <c r="J558" s="794">
        <v>67.795857824322866</v>
      </c>
      <c r="K558" s="771"/>
    </row>
    <row r="559" spans="1:11" ht="18.75" customHeight="1" outlineLevel="2">
      <c r="A559" s="791" t="s">
        <v>776</v>
      </c>
      <c r="B559" s="791" t="s">
        <v>1016</v>
      </c>
      <c r="C559" s="791" t="s">
        <v>1009</v>
      </c>
      <c r="D559" s="792" t="s">
        <v>779</v>
      </c>
      <c r="E559" s="793" t="s">
        <v>763</v>
      </c>
      <c r="F559" s="793" t="s">
        <v>925</v>
      </c>
      <c r="G559" s="793" t="s">
        <v>782</v>
      </c>
      <c r="H559" s="793" t="s">
        <v>913</v>
      </c>
      <c r="I559" s="794">
        <v>4.4791763233037717E-4</v>
      </c>
      <c r="J559" s="794">
        <v>7.1330088543539354</v>
      </c>
      <c r="K559" s="771"/>
    </row>
    <row r="560" spans="1:11" ht="18.75" customHeight="1" outlineLevel="2">
      <c r="A560" s="791" t="s">
        <v>776</v>
      </c>
      <c r="B560" s="791" t="s">
        <v>1016</v>
      </c>
      <c r="C560" s="791" t="s">
        <v>1009</v>
      </c>
      <c r="D560" s="792" t="s">
        <v>779</v>
      </c>
      <c r="E560" s="793" t="s">
        <v>763</v>
      </c>
      <c r="F560" s="793" t="s">
        <v>926</v>
      </c>
      <c r="G560" s="793" t="s">
        <v>782</v>
      </c>
      <c r="H560" s="793" t="s">
        <v>913</v>
      </c>
      <c r="I560" s="794">
        <v>3.3217439902173414E-2</v>
      </c>
      <c r="J560" s="794">
        <v>61.067065232474036</v>
      </c>
      <c r="K560" s="771"/>
    </row>
    <row r="561" spans="1:11" ht="18.75" customHeight="1" outlineLevel="2">
      <c r="A561" s="791" t="s">
        <v>776</v>
      </c>
      <c r="B561" s="791" t="s">
        <v>1016</v>
      </c>
      <c r="C561" s="791" t="s">
        <v>1009</v>
      </c>
      <c r="D561" s="792" t="s">
        <v>779</v>
      </c>
      <c r="E561" s="793" t="s">
        <v>763</v>
      </c>
      <c r="F561" s="793" t="s">
        <v>927</v>
      </c>
      <c r="G561" s="793" t="s">
        <v>782</v>
      </c>
      <c r="H561" s="793" t="s">
        <v>913</v>
      </c>
      <c r="I561" s="794">
        <v>1.8515367233587345E-2</v>
      </c>
      <c r="J561" s="794">
        <v>25.628159973581415</v>
      </c>
      <c r="K561" s="771"/>
    </row>
    <row r="562" spans="1:11" ht="18.75" customHeight="1" outlineLevel="2">
      <c r="A562" s="791" t="s">
        <v>776</v>
      </c>
      <c r="B562" s="791" t="s">
        <v>1016</v>
      </c>
      <c r="C562" s="791" t="s">
        <v>1009</v>
      </c>
      <c r="D562" s="792" t="s">
        <v>779</v>
      </c>
      <c r="E562" s="793" t="s">
        <v>763</v>
      </c>
      <c r="F562" s="793" t="s">
        <v>928</v>
      </c>
      <c r="G562" s="793" t="s">
        <v>785</v>
      </c>
      <c r="H562" s="793" t="s">
        <v>913</v>
      </c>
      <c r="I562" s="794">
        <v>9.5846169397790115E-2</v>
      </c>
      <c r="J562" s="794">
        <v>295.05176761419955</v>
      </c>
      <c r="K562" s="771"/>
    </row>
    <row r="563" spans="1:11" ht="18.75" customHeight="1" outlineLevel="2">
      <c r="A563" s="791" t="s">
        <v>776</v>
      </c>
      <c r="B563" s="791" t="s">
        <v>1016</v>
      </c>
      <c r="C563" s="791" t="s">
        <v>1009</v>
      </c>
      <c r="D563" s="792" t="s">
        <v>779</v>
      </c>
      <c r="E563" s="793" t="s">
        <v>763</v>
      </c>
      <c r="F563" s="793" t="s">
        <v>929</v>
      </c>
      <c r="G563" s="793" t="s">
        <v>785</v>
      </c>
      <c r="H563" s="793" t="s">
        <v>913</v>
      </c>
      <c r="I563" s="794">
        <v>1.9054858181816559</v>
      </c>
      <c r="J563" s="794">
        <v>26838.188361121098</v>
      </c>
      <c r="K563" s="771"/>
    </row>
    <row r="564" spans="1:11" ht="18.75" customHeight="1" outlineLevel="2">
      <c r="A564" s="791" t="s">
        <v>776</v>
      </c>
      <c r="B564" s="791" t="s">
        <v>1016</v>
      </c>
      <c r="C564" s="791" t="s">
        <v>1009</v>
      </c>
      <c r="D564" s="792" t="s">
        <v>779</v>
      </c>
      <c r="E564" s="793" t="s">
        <v>763</v>
      </c>
      <c r="F564" s="793" t="s">
        <v>930</v>
      </c>
      <c r="G564" s="793" t="s">
        <v>785</v>
      </c>
      <c r="H564" s="793" t="s">
        <v>913</v>
      </c>
      <c r="I564" s="794">
        <v>1.1344307686540352E-2</v>
      </c>
      <c r="J564" s="794">
        <v>199.9341069829874</v>
      </c>
      <c r="K564" s="771"/>
    </row>
    <row r="565" spans="1:11" ht="18.75" customHeight="1" outlineLevel="2">
      <c r="A565" s="791" t="s">
        <v>776</v>
      </c>
      <c r="B565" s="791" t="s">
        <v>1016</v>
      </c>
      <c r="C565" s="791" t="s">
        <v>1009</v>
      </c>
      <c r="D565" s="792" t="s">
        <v>779</v>
      </c>
      <c r="E565" s="793" t="s">
        <v>763</v>
      </c>
      <c r="F565" s="793" t="s">
        <v>931</v>
      </c>
      <c r="G565" s="793" t="s">
        <v>785</v>
      </c>
      <c r="H565" s="793" t="s">
        <v>913</v>
      </c>
      <c r="I565" s="794">
        <v>3.7948983810416723E-3</v>
      </c>
      <c r="J565" s="794">
        <v>63.066366773298448</v>
      </c>
      <c r="K565" s="771"/>
    </row>
    <row r="566" spans="1:11" ht="18.75" customHeight="1" outlineLevel="2">
      <c r="A566" s="791" t="s">
        <v>776</v>
      </c>
      <c r="B566" s="791" t="s">
        <v>1016</v>
      </c>
      <c r="C566" s="791" t="s">
        <v>1009</v>
      </c>
      <c r="D566" s="792" t="s">
        <v>779</v>
      </c>
      <c r="E566" s="793" t="s">
        <v>763</v>
      </c>
      <c r="F566" s="793" t="s">
        <v>932</v>
      </c>
      <c r="G566" s="793" t="s">
        <v>785</v>
      </c>
      <c r="H566" s="793" t="s">
        <v>913</v>
      </c>
      <c r="I566" s="794">
        <v>4.0520067871322807E-3</v>
      </c>
      <c r="J566" s="794">
        <v>15.575508498272827</v>
      </c>
      <c r="K566" s="771"/>
    </row>
    <row r="567" spans="1:11" ht="18.75" customHeight="1" outlineLevel="2">
      <c r="A567" s="791" t="s">
        <v>776</v>
      </c>
      <c r="B567" s="791" t="s">
        <v>1016</v>
      </c>
      <c r="C567" s="791" t="s">
        <v>1009</v>
      </c>
      <c r="D567" s="792" t="s">
        <v>779</v>
      </c>
      <c r="E567" s="793" t="s">
        <v>763</v>
      </c>
      <c r="F567" s="793" t="s">
        <v>933</v>
      </c>
      <c r="G567" s="793" t="s">
        <v>785</v>
      </c>
      <c r="H567" s="793" t="s">
        <v>913</v>
      </c>
      <c r="I567" s="794">
        <v>5.6874902765654874E-3</v>
      </c>
      <c r="J567" s="794">
        <v>123.86843431189209</v>
      </c>
      <c r="K567" s="771"/>
    </row>
    <row r="568" spans="1:11" ht="18.75" customHeight="1" outlineLevel="2">
      <c r="A568" s="791" t="s">
        <v>776</v>
      </c>
      <c r="B568" s="791" t="s">
        <v>1016</v>
      </c>
      <c r="C568" s="791" t="s">
        <v>1009</v>
      </c>
      <c r="D568" s="792" t="s">
        <v>779</v>
      </c>
      <c r="E568" s="793" t="s">
        <v>763</v>
      </c>
      <c r="F568" s="793" t="s">
        <v>934</v>
      </c>
      <c r="G568" s="793" t="s">
        <v>813</v>
      </c>
      <c r="H568" s="793" t="s">
        <v>913</v>
      </c>
      <c r="I568" s="794">
        <v>3.0495236499192838E-2</v>
      </c>
      <c r="J568" s="794">
        <v>462.13396951473158</v>
      </c>
      <c r="K568" s="771"/>
    </row>
    <row r="569" spans="1:11" ht="18.75" customHeight="1" outlineLevel="2">
      <c r="A569" s="791" t="s">
        <v>776</v>
      </c>
      <c r="B569" s="791" t="s">
        <v>1016</v>
      </c>
      <c r="C569" s="791" t="s">
        <v>1009</v>
      </c>
      <c r="D569" s="792" t="s">
        <v>779</v>
      </c>
      <c r="E569" s="793" t="s">
        <v>763</v>
      </c>
      <c r="F569" s="793" t="s">
        <v>935</v>
      </c>
      <c r="G569" s="793" t="s">
        <v>791</v>
      </c>
      <c r="H569" s="793" t="s">
        <v>913</v>
      </c>
      <c r="I569" s="794">
        <v>2.1062501781408463E-5</v>
      </c>
      <c r="J569" s="794">
        <v>2.6540481123021049E-2</v>
      </c>
      <c r="K569" s="771"/>
    </row>
    <row r="570" spans="1:11" ht="18.75" customHeight="1" outlineLevel="2">
      <c r="A570" s="791" t="s">
        <v>776</v>
      </c>
      <c r="B570" s="791" t="s">
        <v>1016</v>
      </c>
      <c r="C570" s="791" t="s">
        <v>1009</v>
      </c>
      <c r="D570" s="792" t="s">
        <v>779</v>
      </c>
      <c r="E570" s="793" t="s">
        <v>763</v>
      </c>
      <c r="F570" s="793" t="s">
        <v>936</v>
      </c>
      <c r="G570" s="793" t="s">
        <v>791</v>
      </c>
      <c r="H570" s="793" t="s">
        <v>913</v>
      </c>
      <c r="I570" s="794">
        <v>3.0517615143166532E-6</v>
      </c>
      <c r="J570" s="794">
        <v>5.1693399832334508E-2</v>
      </c>
      <c r="K570" s="771"/>
    </row>
    <row r="571" spans="1:11" ht="18.75" customHeight="1" outlineLevel="2">
      <c r="A571" s="791" t="s">
        <v>776</v>
      </c>
      <c r="B571" s="791" t="s">
        <v>1016</v>
      </c>
      <c r="C571" s="791" t="s">
        <v>1009</v>
      </c>
      <c r="D571" s="792" t="s">
        <v>779</v>
      </c>
      <c r="E571" s="793" t="s">
        <v>763</v>
      </c>
      <c r="F571" s="793" t="s">
        <v>937</v>
      </c>
      <c r="G571" s="793" t="s">
        <v>794</v>
      </c>
      <c r="H571" s="793" t="s">
        <v>913</v>
      </c>
      <c r="I571" s="794">
        <v>0.35486251922054191</v>
      </c>
      <c r="J571" s="794">
        <v>871.30195938949248</v>
      </c>
      <c r="K571" s="771"/>
    </row>
    <row r="572" spans="1:11" ht="18.75" customHeight="1" outlineLevel="2">
      <c r="A572" s="791" t="s">
        <v>776</v>
      </c>
      <c r="B572" s="791" t="s">
        <v>1016</v>
      </c>
      <c r="C572" s="791" t="s">
        <v>1009</v>
      </c>
      <c r="D572" s="792" t="s">
        <v>779</v>
      </c>
      <c r="E572" s="793" t="s">
        <v>763</v>
      </c>
      <c r="F572" s="793" t="s">
        <v>938</v>
      </c>
      <c r="G572" s="793" t="s">
        <v>794</v>
      </c>
      <c r="H572" s="793" t="s">
        <v>913</v>
      </c>
      <c r="I572" s="794">
        <v>4.1755376405514757E-2</v>
      </c>
      <c r="J572" s="794">
        <v>190.71707527703362</v>
      </c>
      <c r="K572" s="771"/>
    </row>
    <row r="573" spans="1:11" ht="18.75" customHeight="1" outlineLevel="2">
      <c r="A573" s="791" t="s">
        <v>776</v>
      </c>
      <c r="B573" s="791" t="s">
        <v>1016</v>
      </c>
      <c r="C573" s="791" t="s">
        <v>1009</v>
      </c>
      <c r="D573" s="792" t="s">
        <v>779</v>
      </c>
      <c r="E573" s="793" t="s">
        <v>763</v>
      </c>
      <c r="F573" s="793" t="s">
        <v>939</v>
      </c>
      <c r="G573" s="793" t="s">
        <v>794</v>
      </c>
      <c r="H573" s="793" t="s">
        <v>913</v>
      </c>
      <c r="I573" s="794">
        <v>2.1771615478297562E-2</v>
      </c>
      <c r="J573" s="794">
        <v>222.69531644560419</v>
      </c>
      <c r="K573" s="771"/>
    </row>
    <row r="574" spans="1:11" ht="18.75" customHeight="1" outlineLevel="2">
      <c r="A574" s="791" t="s">
        <v>776</v>
      </c>
      <c r="B574" s="791" t="s">
        <v>1016</v>
      </c>
      <c r="C574" s="791" t="s">
        <v>1009</v>
      </c>
      <c r="D574" s="792" t="s">
        <v>779</v>
      </c>
      <c r="E574" s="793" t="s">
        <v>763</v>
      </c>
      <c r="F574" s="793" t="s">
        <v>940</v>
      </c>
      <c r="G574" s="793" t="s">
        <v>794</v>
      </c>
      <c r="H574" s="793" t="s">
        <v>913</v>
      </c>
      <c r="I574" s="794">
        <v>3.6042770822972636E-2</v>
      </c>
      <c r="J574" s="794">
        <v>276.77777419639193</v>
      </c>
      <c r="K574" s="771"/>
    </row>
    <row r="575" spans="1:11" ht="18.75" customHeight="1" outlineLevel="2">
      <c r="A575" s="791" t="s">
        <v>776</v>
      </c>
      <c r="B575" s="791" t="s">
        <v>1016</v>
      </c>
      <c r="C575" s="791" t="s">
        <v>1009</v>
      </c>
      <c r="D575" s="792" t="s">
        <v>779</v>
      </c>
      <c r="E575" s="793" t="s">
        <v>763</v>
      </c>
      <c r="F575" s="793" t="s">
        <v>941</v>
      </c>
      <c r="G575" s="793" t="s">
        <v>794</v>
      </c>
      <c r="H575" s="793" t="s">
        <v>913</v>
      </c>
      <c r="I575" s="794">
        <v>1.2476630950252659E-3</v>
      </c>
      <c r="J575" s="794">
        <v>3.764330469367422</v>
      </c>
      <c r="K575" s="771"/>
    </row>
    <row r="576" spans="1:11" ht="18.75" customHeight="1" outlineLevel="2">
      <c r="A576" s="791" t="s">
        <v>776</v>
      </c>
      <c r="B576" s="791" t="s">
        <v>1016</v>
      </c>
      <c r="C576" s="791" t="s">
        <v>1009</v>
      </c>
      <c r="D576" s="792" t="s">
        <v>779</v>
      </c>
      <c r="E576" s="793" t="s">
        <v>763</v>
      </c>
      <c r="F576" s="793" t="s">
        <v>942</v>
      </c>
      <c r="G576" s="793" t="s">
        <v>794</v>
      </c>
      <c r="H576" s="793" t="s">
        <v>913</v>
      </c>
      <c r="I576" s="794">
        <v>2.9575594121538209E-4</v>
      </c>
      <c r="J576" s="794">
        <v>3.41768673863064</v>
      </c>
      <c r="K576" s="771"/>
    </row>
    <row r="577" spans="1:11" ht="18.75" customHeight="1" outlineLevel="2">
      <c r="A577" s="791" t="s">
        <v>776</v>
      </c>
      <c r="B577" s="791" t="s">
        <v>1016</v>
      </c>
      <c r="C577" s="791" t="s">
        <v>1009</v>
      </c>
      <c r="D577" s="792" t="s">
        <v>779</v>
      </c>
      <c r="E577" s="793" t="s">
        <v>763</v>
      </c>
      <c r="F577" s="793" t="s">
        <v>943</v>
      </c>
      <c r="G577" s="793" t="s">
        <v>944</v>
      </c>
      <c r="H577" s="793" t="s">
        <v>913</v>
      </c>
      <c r="I577" s="794">
        <v>1.0139880017792469E-4</v>
      </c>
      <c r="J577" s="794">
        <v>0.43807766645799989</v>
      </c>
      <c r="K577" s="771"/>
    </row>
    <row r="578" spans="1:11" ht="18.75" customHeight="1" outlineLevel="2">
      <c r="A578" s="791" t="s">
        <v>776</v>
      </c>
      <c r="B578" s="791" t="s">
        <v>1016</v>
      </c>
      <c r="C578" s="791" t="s">
        <v>1009</v>
      </c>
      <c r="D578" s="792" t="s">
        <v>779</v>
      </c>
      <c r="E578" s="793" t="s">
        <v>764</v>
      </c>
      <c r="F578" s="793" t="s">
        <v>945</v>
      </c>
      <c r="G578" s="793" t="s">
        <v>244</v>
      </c>
      <c r="H578" s="793" t="s">
        <v>905</v>
      </c>
      <c r="I578" s="794">
        <v>5.6993727136432519E-2</v>
      </c>
      <c r="J578" s="794">
        <v>2051.2485104882435</v>
      </c>
      <c r="K578" s="771"/>
    </row>
    <row r="579" spans="1:11" ht="18.75" customHeight="1" outlineLevel="2">
      <c r="A579" s="791" t="s">
        <v>776</v>
      </c>
      <c r="B579" s="791" t="s">
        <v>1016</v>
      </c>
      <c r="C579" s="791" t="s">
        <v>1009</v>
      </c>
      <c r="D579" s="792" t="s">
        <v>779</v>
      </c>
      <c r="E579" s="793" t="s">
        <v>764</v>
      </c>
      <c r="F579" s="793" t="s">
        <v>946</v>
      </c>
      <c r="G579" s="793" t="s">
        <v>244</v>
      </c>
      <c r="H579" s="793" t="s">
        <v>905</v>
      </c>
      <c r="I579" s="794">
        <v>4.735911406248195E-4</v>
      </c>
      <c r="J579" s="794">
        <v>8.9837586170575143</v>
      </c>
      <c r="K579" s="771"/>
    </row>
    <row r="580" spans="1:11" ht="18.75" customHeight="1" outlineLevel="2">
      <c r="A580" s="791" t="s">
        <v>776</v>
      </c>
      <c r="B580" s="791" t="s">
        <v>1016</v>
      </c>
      <c r="C580" s="791" t="s">
        <v>1009</v>
      </c>
      <c r="D580" s="792" t="s">
        <v>779</v>
      </c>
      <c r="E580" s="793" t="s">
        <v>947</v>
      </c>
      <c r="F580" s="793" t="s">
        <v>948</v>
      </c>
      <c r="G580" s="793" t="s">
        <v>799</v>
      </c>
      <c r="H580" s="793" t="s">
        <v>800</v>
      </c>
      <c r="I580" s="794">
        <v>4.661726690934313E-3</v>
      </c>
      <c r="J580" s="794">
        <v>115.24447296446013</v>
      </c>
      <c r="K580" s="771"/>
    </row>
    <row r="581" spans="1:11" ht="18.75" customHeight="1" outlineLevel="2">
      <c r="A581" s="791" t="s">
        <v>776</v>
      </c>
      <c r="B581" s="791" t="s">
        <v>1016</v>
      </c>
      <c r="C581" s="791" t="s">
        <v>1009</v>
      </c>
      <c r="D581" s="792" t="s">
        <v>779</v>
      </c>
      <c r="E581" s="793" t="s">
        <v>947</v>
      </c>
      <c r="F581" s="793" t="s">
        <v>949</v>
      </c>
      <c r="G581" s="793" t="s">
        <v>782</v>
      </c>
      <c r="H581" s="793" t="s">
        <v>804</v>
      </c>
      <c r="I581" s="794">
        <v>2.8976617563995888E-2</v>
      </c>
      <c r="J581" s="794">
        <v>1689.9284217507941</v>
      </c>
      <c r="K581" s="771"/>
    </row>
    <row r="582" spans="1:11" ht="18.75" customHeight="1" outlineLevel="2">
      <c r="A582" s="791" t="s">
        <v>776</v>
      </c>
      <c r="B582" s="791" t="s">
        <v>1016</v>
      </c>
      <c r="C582" s="791" t="s">
        <v>1009</v>
      </c>
      <c r="D582" s="792" t="s">
        <v>779</v>
      </c>
      <c r="E582" s="793" t="s">
        <v>947</v>
      </c>
      <c r="F582" s="793" t="s">
        <v>950</v>
      </c>
      <c r="G582" s="793" t="s">
        <v>782</v>
      </c>
      <c r="H582" s="793" t="s">
        <v>804</v>
      </c>
      <c r="I582" s="794">
        <v>2.4914946975730418E-4</v>
      </c>
      <c r="J582" s="794">
        <v>2.7520124440940528</v>
      </c>
      <c r="K582" s="771"/>
    </row>
    <row r="583" spans="1:11" ht="18.75" customHeight="1" outlineLevel="2">
      <c r="A583" s="791" t="s">
        <v>776</v>
      </c>
      <c r="B583" s="791" t="s">
        <v>1016</v>
      </c>
      <c r="C583" s="791" t="s">
        <v>1009</v>
      </c>
      <c r="D583" s="792" t="s">
        <v>779</v>
      </c>
      <c r="E583" s="793" t="s">
        <v>947</v>
      </c>
      <c r="F583" s="793" t="s">
        <v>951</v>
      </c>
      <c r="G583" s="793" t="s">
        <v>782</v>
      </c>
      <c r="H583" s="793" t="s">
        <v>804</v>
      </c>
      <c r="I583" s="794">
        <v>3.6133085645393055E-3</v>
      </c>
      <c r="J583" s="794">
        <v>45.333148617836343</v>
      </c>
      <c r="K583" s="771"/>
    </row>
    <row r="584" spans="1:11" ht="18.75" customHeight="1" outlineLevel="2">
      <c r="A584" s="791" t="s">
        <v>776</v>
      </c>
      <c r="B584" s="791" t="s">
        <v>1016</v>
      </c>
      <c r="C584" s="791" t="s">
        <v>1009</v>
      </c>
      <c r="D584" s="792" t="s">
        <v>779</v>
      </c>
      <c r="E584" s="793" t="s">
        <v>947</v>
      </c>
      <c r="F584" s="793" t="s">
        <v>952</v>
      </c>
      <c r="G584" s="793" t="s">
        <v>782</v>
      </c>
      <c r="H584" s="793" t="s">
        <v>804</v>
      </c>
      <c r="I584" s="794">
        <v>8.2513664746966392E-2</v>
      </c>
      <c r="J584" s="794">
        <v>4230.1463386644155</v>
      </c>
      <c r="K584" s="771"/>
    </row>
    <row r="585" spans="1:11" ht="18.75" customHeight="1" outlineLevel="2">
      <c r="A585" s="791" t="s">
        <v>776</v>
      </c>
      <c r="B585" s="791" t="s">
        <v>1016</v>
      </c>
      <c r="C585" s="791" t="s">
        <v>1009</v>
      </c>
      <c r="D585" s="792" t="s">
        <v>779</v>
      </c>
      <c r="E585" s="793" t="s">
        <v>947</v>
      </c>
      <c r="F585" s="793" t="s">
        <v>953</v>
      </c>
      <c r="G585" s="793" t="s">
        <v>782</v>
      </c>
      <c r="H585" s="793" t="s">
        <v>804</v>
      </c>
      <c r="I585" s="794">
        <v>6.2638349303966723E-2</v>
      </c>
      <c r="J585" s="794">
        <v>4602.6864945780062</v>
      </c>
      <c r="K585" s="771"/>
    </row>
    <row r="586" spans="1:11" ht="18.75" customHeight="1" outlineLevel="2">
      <c r="A586" s="791" t="s">
        <v>776</v>
      </c>
      <c r="B586" s="791" t="s">
        <v>1016</v>
      </c>
      <c r="C586" s="791" t="s">
        <v>1009</v>
      </c>
      <c r="D586" s="792" t="s">
        <v>779</v>
      </c>
      <c r="E586" s="793" t="s">
        <v>947</v>
      </c>
      <c r="F586" s="793" t="s">
        <v>954</v>
      </c>
      <c r="G586" s="793" t="s">
        <v>782</v>
      </c>
      <c r="H586" s="793" t="s">
        <v>804</v>
      </c>
      <c r="I586" s="794">
        <v>7.0768272726459804E-3</v>
      </c>
      <c r="J586" s="794">
        <v>254.15170600660184</v>
      </c>
      <c r="K586" s="771"/>
    </row>
    <row r="587" spans="1:11" ht="18.75" customHeight="1" outlineLevel="2">
      <c r="A587" s="791" t="s">
        <v>776</v>
      </c>
      <c r="B587" s="791" t="s">
        <v>1016</v>
      </c>
      <c r="C587" s="791" t="s">
        <v>1009</v>
      </c>
      <c r="D587" s="792" t="s">
        <v>779</v>
      </c>
      <c r="E587" s="793" t="s">
        <v>947</v>
      </c>
      <c r="F587" s="793" t="s">
        <v>955</v>
      </c>
      <c r="G587" s="793" t="s">
        <v>782</v>
      </c>
      <c r="H587" s="793" t="s">
        <v>804</v>
      </c>
      <c r="I587" s="794">
        <v>3.7640992460079054E-3</v>
      </c>
      <c r="J587" s="794">
        <v>173.066361105548</v>
      </c>
      <c r="K587" s="771"/>
    </row>
    <row r="588" spans="1:11" ht="18.75" customHeight="1" outlineLevel="2">
      <c r="A588" s="791" t="s">
        <v>776</v>
      </c>
      <c r="B588" s="791" t="s">
        <v>1016</v>
      </c>
      <c r="C588" s="791" t="s">
        <v>1009</v>
      </c>
      <c r="D588" s="792" t="s">
        <v>779</v>
      </c>
      <c r="E588" s="793" t="s">
        <v>947</v>
      </c>
      <c r="F588" s="793" t="s">
        <v>956</v>
      </c>
      <c r="G588" s="793" t="s">
        <v>782</v>
      </c>
      <c r="H588" s="793" t="s">
        <v>804</v>
      </c>
      <c r="I588" s="794">
        <v>2.0006041234826719E-2</v>
      </c>
      <c r="J588" s="794">
        <v>475.25691734868883</v>
      </c>
      <c r="K588" s="771"/>
    </row>
    <row r="589" spans="1:11" ht="18.75" customHeight="1" outlineLevel="2">
      <c r="A589" s="791" t="s">
        <v>776</v>
      </c>
      <c r="B589" s="791" t="s">
        <v>1016</v>
      </c>
      <c r="C589" s="791" t="s">
        <v>1009</v>
      </c>
      <c r="D589" s="792" t="s">
        <v>779</v>
      </c>
      <c r="E589" s="793" t="s">
        <v>947</v>
      </c>
      <c r="F589" s="793" t="s">
        <v>957</v>
      </c>
      <c r="G589" s="793" t="s">
        <v>782</v>
      </c>
      <c r="H589" s="793" t="s">
        <v>804</v>
      </c>
      <c r="I589" s="794">
        <v>5.7351612075971177E-2</v>
      </c>
      <c r="J589" s="794">
        <v>2033.7501794973844</v>
      </c>
      <c r="K589" s="771"/>
    </row>
    <row r="590" spans="1:11" ht="18.75" customHeight="1" outlineLevel="2">
      <c r="A590" s="791" t="s">
        <v>776</v>
      </c>
      <c r="B590" s="791" t="s">
        <v>1016</v>
      </c>
      <c r="C590" s="791" t="s">
        <v>1009</v>
      </c>
      <c r="D590" s="792" t="s">
        <v>779</v>
      </c>
      <c r="E590" s="793" t="s">
        <v>947</v>
      </c>
      <c r="F590" s="793" t="s">
        <v>958</v>
      </c>
      <c r="G590" s="793" t="s">
        <v>782</v>
      </c>
      <c r="H590" s="793" t="s">
        <v>804</v>
      </c>
      <c r="I590" s="794">
        <v>4.0545698903224327E-2</v>
      </c>
      <c r="J590" s="794">
        <v>2232.9315658953292</v>
      </c>
      <c r="K590" s="771"/>
    </row>
    <row r="591" spans="1:11" ht="18.75" customHeight="1" outlineLevel="2">
      <c r="A591" s="791" t="s">
        <v>776</v>
      </c>
      <c r="B591" s="791" t="s">
        <v>1016</v>
      </c>
      <c r="C591" s="791" t="s">
        <v>1009</v>
      </c>
      <c r="D591" s="792" t="s">
        <v>779</v>
      </c>
      <c r="E591" s="793" t="s">
        <v>947</v>
      </c>
      <c r="F591" s="793" t="s">
        <v>959</v>
      </c>
      <c r="G591" s="793" t="s">
        <v>782</v>
      </c>
      <c r="H591" s="793" t="s">
        <v>804</v>
      </c>
      <c r="I591" s="794">
        <v>0.22229030984674575</v>
      </c>
      <c r="J591" s="794">
        <v>17145.510724707721</v>
      </c>
      <c r="K591" s="771"/>
    </row>
    <row r="592" spans="1:11" ht="18.75" customHeight="1" outlineLevel="2">
      <c r="A592" s="791" t="s">
        <v>776</v>
      </c>
      <c r="B592" s="791" t="s">
        <v>1016</v>
      </c>
      <c r="C592" s="791" t="s">
        <v>1009</v>
      </c>
      <c r="D592" s="792" t="s">
        <v>779</v>
      </c>
      <c r="E592" s="793" t="s">
        <v>947</v>
      </c>
      <c r="F592" s="793" t="s">
        <v>960</v>
      </c>
      <c r="G592" s="793" t="s">
        <v>782</v>
      </c>
      <c r="H592" s="793" t="s">
        <v>804</v>
      </c>
      <c r="I592" s="794">
        <v>4.7016079768953511E-3</v>
      </c>
      <c r="J592" s="794">
        <v>142.56696971560683</v>
      </c>
      <c r="K592" s="771"/>
    </row>
    <row r="593" spans="1:11" ht="18.75" customHeight="1" outlineLevel="2">
      <c r="A593" s="791" t="s">
        <v>776</v>
      </c>
      <c r="B593" s="791" t="s">
        <v>1016</v>
      </c>
      <c r="C593" s="791" t="s">
        <v>1009</v>
      </c>
      <c r="D593" s="792" t="s">
        <v>779</v>
      </c>
      <c r="E593" s="793" t="s">
        <v>947</v>
      </c>
      <c r="F593" s="793" t="s">
        <v>961</v>
      </c>
      <c r="G593" s="793" t="s">
        <v>782</v>
      </c>
      <c r="H593" s="793" t="s">
        <v>804</v>
      </c>
      <c r="I593" s="794">
        <v>1.8515447414178469E-3</v>
      </c>
      <c r="J593" s="794">
        <v>87.294063117335881</v>
      </c>
      <c r="K593" s="771"/>
    </row>
    <row r="594" spans="1:11" ht="18.75" customHeight="1" outlineLevel="2">
      <c r="A594" s="791" t="s">
        <v>776</v>
      </c>
      <c r="B594" s="791" t="s">
        <v>1016</v>
      </c>
      <c r="C594" s="791" t="s">
        <v>1009</v>
      </c>
      <c r="D594" s="792" t="s">
        <v>779</v>
      </c>
      <c r="E594" s="793" t="s">
        <v>947</v>
      </c>
      <c r="F594" s="793" t="s">
        <v>962</v>
      </c>
      <c r="G594" s="793" t="s">
        <v>782</v>
      </c>
      <c r="H594" s="793" t="s">
        <v>804</v>
      </c>
      <c r="I594" s="794">
        <v>6.5594419902439569E-2</v>
      </c>
      <c r="J594" s="794">
        <v>3919.0241275108442</v>
      </c>
      <c r="K594" s="771"/>
    </row>
    <row r="595" spans="1:11" ht="18.75" customHeight="1" outlineLevel="2">
      <c r="A595" s="791" t="s">
        <v>776</v>
      </c>
      <c r="B595" s="791" t="s">
        <v>1016</v>
      </c>
      <c r="C595" s="791" t="s">
        <v>1009</v>
      </c>
      <c r="D595" s="792" t="s">
        <v>779</v>
      </c>
      <c r="E595" s="793" t="s">
        <v>947</v>
      </c>
      <c r="F595" s="793" t="s">
        <v>963</v>
      </c>
      <c r="G595" s="793" t="s">
        <v>782</v>
      </c>
      <c r="H595" s="793" t="s">
        <v>804</v>
      </c>
      <c r="I595" s="794">
        <v>5.6392456830520202E-2</v>
      </c>
      <c r="J595" s="794">
        <v>4265.9088120230199</v>
      </c>
      <c r="K595" s="771"/>
    </row>
    <row r="596" spans="1:11" ht="18.75" customHeight="1" outlineLevel="2">
      <c r="A596" s="791" t="s">
        <v>776</v>
      </c>
      <c r="B596" s="791" t="s">
        <v>1016</v>
      </c>
      <c r="C596" s="791" t="s">
        <v>1009</v>
      </c>
      <c r="D596" s="792" t="s">
        <v>779</v>
      </c>
      <c r="E596" s="793" t="s">
        <v>947</v>
      </c>
      <c r="F596" s="793" t="s">
        <v>964</v>
      </c>
      <c r="G596" s="793" t="s">
        <v>782</v>
      </c>
      <c r="H596" s="793" t="s">
        <v>804</v>
      </c>
      <c r="I596" s="794">
        <v>0.20589417233613189</v>
      </c>
      <c r="J596" s="794">
        <v>14674.121253048201</v>
      </c>
      <c r="K596" s="771"/>
    </row>
    <row r="597" spans="1:11" ht="18.75" customHeight="1" outlineLevel="2">
      <c r="A597" s="791" t="s">
        <v>776</v>
      </c>
      <c r="B597" s="791" t="s">
        <v>1016</v>
      </c>
      <c r="C597" s="791" t="s">
        <v>1009</v>
      </c>
      <c r="D597" s="792" t="s">
        <v>779</v>
      </c>
      <c r="E597" s="793" t="s">
        <v>947</v>
      </c>
      <c r="F597" s="793" t="s">
        <v>965</v>
      </c>
      <c r="G597" s="793" t="s">
        <v>782</v>
      </c>
      <c r="H597" s="793" t="s">
        <v>804</v>
      </c>
      <c r="I597" s="794">
        <v>1.4172745493731535E-2</v>
      </c>
      <c r="J597" s="794">
        <v>690.00305584645673</v>
      </c>
      <c r="K597" s="771"/>
    </row>
    <row r="598" spans="1:11" ht="18.75" customHeight="1" outlineLevel="2">
      <c r="A598" s="791" t="s">
        <v>776</v>
      </c>
      <c r="B598" s="791" t="s">
        <v>1016</v>
      </c>
      <c r="C598" s="791" t="s">
        <v>1009</v>
      </c>
      <c r="D598" s="792" t="s">
        <v>779</v>
      </c>
      <c r="E598" s="793" t="s">
        <v>947</v>
      </c>
      <c r="F598" s="793" t="s">
        <v>966</v>
      </c>
      <c r="G598" s="793" t="s">
        <v>782</v>
      </c>
      <c r="H598" s="793" t="s">
        <v>804</v>
      </c>
      <c r="I598" s="794">
        <v>0.11917460597449887</v>
      </c>
      <c r="J598" s="794">
        <v>5488.6013409170528</v>
      </c>
      <c r="K598" s="771"/>
    </row>
    <row r="599" spans="1:11" ht="18.75" customHeight="1" outlineLevel="2">
      <c r="A599" s="791" t="s">
        <v>776</v>
      </c>
      <c r="B599" s="791" t="s">
        <v>1016</v>
      </c>
      <c r="C599" s="791" t="s">
        <v>1009</v>
      </c>
      <c r="D599" s="792" t="s">
        <v>779</v>
      </c>
      <c r="E599" s="793" t="s">
        <v>947</v>
      </c>
      <c r="F599" s="793" t="s">
        <v>967</v>
      </c>
      <c r="G599" s="793" t="s">
        <v>782</v>
      </c>
      <c r="H599" s="793" t="s">
        <v>804</v>
      </c>
      <c r="I599" s="794">
        <v>0.29118008431851272</v>
      </c>
      <c r="J599" s="794">
        <v>18660.196912817708</v>
      </c>
      <c r="K599" s="771"/>
    </row>
    <row r="600" spans="1:11" ht="18.75" customHeight="1" outlineLevel="2">
      <c r="A600" s="791" t="s">
        <v>776</v>
      </c>
      <c r="B600" s="791" t="s">
        <v>1016</v>
      </c>
      <c r="C600" s="791" t="s">
        <v>1009</v>
      </c>
      <c r="D600" s="792" t="s">
        <v>779</v>
      </c>
      <c r="E600" s="793" t="s">
        <v>947</v>
      </c>
      <c r="F600" s="793" t="s">
        <v>968</v>
      </c>
      <c r="G600" s="793" t="s">
        <v>782</v>
      </c>
      <c r="H600" s="793" t="s">
        <v>804</v>
      </c>
      <c r="I600" s="794">
        <v>0.63775600386777209</v>
      </c>
      <c r="J600" s="794">
        <v>12518.443615399108</v>
      </c>
      <c r="K600" s="771"/>
    </row>
    <row r="601" spans="1:11" ht="18.75" customHeight="1" outlineLevel="2">
      <c r="A601" s="791" t="s">
        <v>776</v>
      </c>
      <c r="B601" s="791" t="s">
        <v>1016</v>
      </c>
      <c r="C601" s="791" t="s">
        <v>1009</v>
      </c>
      <c r="D601" s="792" t="s">
        <v>779</v>
      </c>
      <c r="E601" s="793" t="s">
        <v>947</v>
      </c>
      <c r="F601" s="793" t="s">
        <v>969</v>
      </c>
      <c r="G601" s="793" t="s">
        <v>782</v>
      </c>
      <c r="H601" s="793" t="s">
        <v>804</v>
      </c>
      <c r="I601" s="794">
        <v>0.23448771691614279</v>
      </c>
      <c r="J601" s="794">
        <v>17070.132790937085</v>
      </c>
      <c r="K601" s="771"/>
    </row>
    <row r="602" spans="1:11" ht="18.75" customHeight="1" outlineLevel="2">
      <c r="A602" s="791" t="s">
        <v>776</v>
      </c>
      <c r="B602" s="791" t="s">
        <v>1016</v>
      </c>
      <c r="C602" s="791" t="s">
        <v>1009</v>
      </c>
      <c r="D602" s="792" t="s">
        <v>779</v>
      </c>
      <c r="E602" s="793" t="s">
        <v>947</v>
      </c>
      <c r="F602" s="793" t="s">
        <v>970</v>
      </c>
      <c r="G602" s="793" t="s">
        <v>782</v>
      </c>
      <c r="H602" s="793" t="s">
        <v>804</v>
      </c>
      <c r="I602" s="794">
        <v>0.42695650358337683</v>
      </c>
      <c r="J602" s="794">
        <v>9826.3383428043107</v>
      </c>
      <c r="K602" s="771"/>
    </row>
    <row r="603" spans="1:11" ht="18.75" customHeight="1" outlineLevel="2">
      <c r="A603" s="791" t="s">
        <v>776</v>
      </c>
      <c r="B603" s="791" t="s">
        <v>1016</v>
      </c>
      <c r="C603" s="791" t="s">
        <v>1009</v>
      </c>
      <c r="D603" s="792" t="s">
        <v>779</v>
      </c>
      <c r="E603" s="793" t="s">
        <v>947</v>
      </c>
      <c r="F603" s="793" t="s">
        <v>971</v>
      </c>
      <c r="G603" s="793" t="s">
        <v>782</v>
      </c>
      <c r="H603" s="793" t="s">
        <v>804</v>
      </c>
      <c r="I603" s="794">
        <v>2.506317889134833E-2</v>
      </c>
      <c r="J603" s="794">
        <v>1831.6464405248857</v>
      </c>
      <c r="K603" s="771"/>
    </row>
    <row r="604" spans="1:11" ht="18.75" customHeight="1" outlineLevel="2">
      <c r="A604" s="791" t="s">
        <v>776</v>
      </c>
      <c r="B604" s="791" t="s">
        <v>1016</v>
      </c>
      <c r="C604" s="791" t="s">
        <v>1009</v>
      </c>
      <c r="D604" s="792" t="s">
        <v>779</v>
      </c>
      <c r="E604" s="793" t="s">
        <v>947</v>
      </c>
      <c r="F604" s="793" t="s">
        <v>972</v>
      </c>
      <c r="G604" s="793" t="s">
        <v>782</v>
      </c>
      <c r="H604" s="793" t="s">
        <v>804</v>
      </c>
      <c r="I604" s="794">
        <v>1.3017608839989054E-3</v>
      </c>
      <c r="J604" s="794">
        <v>30.05058454565555</v>
      </c>
      <c r="K604" s="771"/>
    </row>
    <row r="605" spans="1:11" ht="18.75" customHeight="1" outlineLevel="2">
      <c r="A605" s="791" t="s">
        <v>776</v>
      </c>
      <c r="B605" s="791" t="s">
        <v>1016</v>
      </c>
      <c r="C605" s="791" t="s">
        <v>1009</v>
      </c>
      <c r="D605" s="792" t="s">
        <v>779</v>
      </c>
      <c r="E605" s="793" t="s">
        <v>947</v>
      </c>
      <c r="F605" s="793" t="s">
        <v>973</v>
      </c>
      <c r="G605" s="793" t="s">
        <v>782</v>
      </c>
      <c r="H605" s="793" t="s">
        <v>804</v>
      </c>
      <c r="I605" s="794">
        <v>3.5539265391814692E-2</v>
      </c>
      <c r="J605" s="794">
        <v>1910.5869595798135</v>
      </c>
      <c r="K605" s="771"/>
    </row>
    <row r="606" spans="1:11" ht="18.75" customHeight="1" outlineLevel="2">
      <c r="A606" s="791" t="s">
        <v>776</v>
      </c>
      <c r="B606" s="791" t="s">
        <v>1016</v>
      </c>
      <c r="C606" s="791" t="s">
        <v>1009</v>
      </c>
      <c r="D606" s="792" t="s">
        <v>779</v>
      </c>
      <c r="E606" s="793" t="s">
        <v>947</v>
      </c>
      <c r="F606" s="793" t="s">
        <v>974</v>
      </c>
      <c r="G606" s="793" t="s">
        <v>785</v>
      </c>
      <c r="H606" s="793" t="s">
        <v>727</v>
      </c>
      <c r="I606" s="794">
        <v>1.9942347194525093E-2</v>
      </c>
      <c r="J606" s="794">
        <v>482.45847167993406</v>
      </c>
      <c r="K606" s="771"/>
    </row>
    <row r="607" spans="1:11" ht="18.75" customHeight="1" outlineLevel="2">
      <c r="A607" s="791" t="s">
        <v>776</v>
      </c>
      <c r="B607" s="791" t="s">
        <v>1016</v>
      </c>
      <c r="C607" s="791" t="s">
        <v>1009</v>
      </c>
      <c r="D607" s="792" t="s">
        <v>779</v>
      </c>
      <c r="E607" s="793" t="s">
        <v>947</v>
      </c>
      <c r="F607" s="793" t="s">
        <v>975</v>
      </c>
      <c r="G607" s="793" t="s">
        <v>785</v>
      </c>
      <c r="H607" s="793" t="s">
        <v>727</v>
      </c>
      <c r="I607" s="794">
        <v>9.9245737695688507E-2</v>
      </c>
      <c r="J607" s="794">
        <v>6999.3143536820235</v>
      </c>
      <c r="K607" s="771"/>
    </row>
    <row r="608" spans="1:11" ht="18.75" customHeight="1" outlineLevel="2">
      <c r="A608" s="791" t="s">
        <v>776</v>
      </c>
      <c r="B608" s="791" t="s">
        <v>1016</v>
      </c>
      <c r="C608" s="791" t="s">
        <v>1009</v>
      </c>
      <c r="D608" s="792" t="s">
        <v>779</v>
      </c>
      <c r="E608" s="793" t="s">
        <v>947</v>
      </c>
      <c r="F608" s="793" t="s">
        <v>976</v>
      </c>
      <c r="G608" s="793" t="s">
        <v>785</v>
      </c>
      <c r="H608" s="793" t="s">
        <v>727</v>
      </c>
      <c r="I608" s="794">
        <v>5.8301632520093294E-2</v>
      </c>
      <c r="J608" s="794">
        <v>3057.1560446602048</v>
      </c>
      <c r="K608" s="771"/>
    </row>
    <row r="609" spans="1:11" ht="18.75" customHeight="1" outlineLevel="2">
      <c r="A609" s="791" t="s">
        <v>776</v>
      </c>
      <c r="B609" s="791" t="s">
        <v>1016</v>
      </c>
      <c r="C609" s="791" t="s">
        <v>1009</v>
      </c>
      <c r="D609" s="792" t="s">
        <v>779</v>
      </c>
      <c r="E609" s="793" t="s">
        <v>947</v>
      </c>
      <c r="F609" s="793" t="s">
        <v>977</v>
      </c>
      <c r="G609" s="793" t="s">
        <v>785</v>
      </c>
      <c r="H609" s="793" t="s">
        <v>727</v>
      </c>
      <c r="I609" s="794">
        <v>6.9010266968299927E-2</v>
      </c>
      <c r="J609" s="794">
        <v>3100.0759431417509</v>
      </c>
      <c r="K609" s="771"/>
    </row>
    <row r="610" spans="1:11" ht="18.75" customHeight="1" outlineLevel="2">
      <c r="A610" s="791" t="s">
        <v>776</v>
      </c>
      <c r="B610" s="791" t="s">
        <v>1016</v>
      </c>
      <c r="C610" s="791" t="s">
        <v>1009</v>
      </c>
      <c r="D610" s="792" t="s">
        <v>779</v>
      </c>
      <c r="E610" s="793" t="s">
        <v>947</v>
      </c>
      <c r="F610" s="793" t="s">
        <v>978</v>
      </c>
      <c r="G610" s="793" t="s">
        <v>785</v>
      </c>
      <c r="H610" s="793" t="s">
        <v>727</v>
      </c>
      <c r="I610" s="794">
        <v>4.370794957236337E-3</v>
      </c>
      <c r="J610" s="794">
        <v>119.55805072830476</v>
      </c>
      <c r="K610" s="771"/>
    </row>
    <row r="611" spans="1:11" ht="18.75" customHeight="1" outlineLevel="2">
      <c r="A611" s="791" t="s">
        <v>776</v>
      </c>
      <c r="B611" s="791" t="s">
        <v>1016</v>
      </c>
      <c r="C611" s="791" t="s">
        <v>1009</v>
      </c>
      <c r="D611" s="792" t="s">
        <v>779</v>
      </c>
      <c r="E611" s="793" t="s">
        <v>947</v>
      </c>
      <c r="F611" s="793" t="s">
        <v>979</v>
      </c>
      <c r="G611" s="793" t="s">
        <v>785</v>
      </c>
      <c r="H611" s="793" t="s">
        <v>727</v>
      </c>
      <c r="I611" s="794">
        <v>0.41174326918052323</v>
      </c>
      <c r="J611" s="794">
        <v>13532.519389373574</v>
      </c>
      <c r="K611" s="771"/>
    </row>
    <row r="612" spans="1:11" ht="18.75" customHeight="1" outlineLevel="2">
      <c r="A612" s="791" t="s">
        <v>776</v>
      </c>
      <c r="B612" s="791" t="s">
        <v>1016</v>
      </c>
      <c r="C612" s="791" t="s">
        <v>1009</v>
      </c>
      <c r="D612" s="792" t="s">
        <v>779</v>
      </c>
      <c r="E612" s="793" t="s">
        <v>947</v>
      </c>
      <c r="F612" s="793" t="s">
        <v>980</v>
      </c>
      <c r="G612" s="793" t="s">
        <v>785</v>
      </c>
      <c r="H612" s="793" t="s">
        <v>727</v>
      </c>
      <c r="I612" s="794">
        <v>5.4416857991642746E-2</v>
      </c>
      <c r="J612" s="794">
        <v>4411.4149160442266</v>
      </c>
      <c r="K612" s="771"/>
    </row>
    <row r="613" spans="1:11" ht="18.75" customHeight="1" outlineLevel="2">
      <c r="A613" s="791" t="s">
        <v>776</v>
      </c>
      <c r="B613" s="791" t="s">
        <v>1016</v>
      </c>
      <c r="C613" s="791" t="s">
        <v>1009</v>
      </c>
      <c r="D613" s="792" t="s">
        <v>779</v>
      </c>
      <c r="E613" s="793" t="s">
        <v>947</v>
      </c>
      <c r="F613" s="793" t="s">
        <v>981</v>
      </c>
      <c r="G613" s="793" t="s">
        <v>813</v>
      </c>
      <c r="H613" s="793" t="s">
        <v>814</v>
      </c>
      <c r="I613" s="794">
        <v>2.1649224287773662E-5</v>
      </c>
      <c r="J613" s="794">
        <v>0.54261368674125909</v>
      </c>
      <c r="K613" s="771"/>
    </row>
    <row r="614" spans="1:11" ht="18.75" customHeight="1" outlineLevel="2">
      <c r="A614" s="791" t="s">
        <v>776</v>
      </c>
      <c r="B614" s="791" t="s">
        <v>1016</v>
      </c>
      <c r="C614" s="791" t="s">
        <v>1009</v>
      </c>
      <c r="D614" s="792" t="s">
        <v>779</v>
      </c>
      <c r="E614" s="793" t="s">
        <v>947</v>
      </c>
      <c r="F614" s="793" t="s">
        <v>982</v>
      </c>
      <c r="G614" s="793" t="s">
        <v>813</v>
      </c>
      <c r="H614" s="793" t="s">
        <v>814</v>
      </c>
      <c r="I614" s="794">
        <v>2.5444273578983869E-3</v>
      </c>
      <c r="J614" s="794">
        <v>142.52839981851039</v>
      </c>
      <c r="K614" s="771"/>
    </row>
    <row r="615" spans="1:11" ht="18.75" customHeight="1" outlineLevel="2">
      <c r="A615" s="791" t="s">
        <v>776</v>
      </c>
      <c r="B615" s="791" t="s">
        <v>1016</v>
      </c>
      <c r="C615" s="791" t="s">
        <v>1009</v>
      </c>
      <c r="D615" s="792" t="s">
        <v>779</v>
      </c>
      <c r="E615" s="793" t="s">
        <v>947</v>
      </c>
      <c r="F615" s="793" t="s">
        <v>983</v>
      </c>
      <c r="G615" s="793" t="s">
        <v>813</v>
      </c>
      <c r="H615" s="793" t="s">
        <v>814</v>
      </c>
      <c r="I615" s="794">
        <v>0.17121602219905269</v>
      </c>
      <c r="J615" s="794">
        <v>3803.5883200269</v>
      </c>
      <c r="K615" s="771"/>
    </row>
    <row r="616" spans="1:11" ht="18.75" customHeight="1" outlineLevel="2">
      <c r="A616" s="791" t="s">
        <v>776</v>
      </c>
      <c r="B616" s="791" t="s">
        <v>1016</v>
      </c>
      <c r="C616" s="791" t="s">
        <v>1009</v>
      </c>
      <c r="D616" s="792" t="s">
        <v>779</v>
      </c>
      <c r="E616" s="793" t="s">
        <v>947</v>
      </c>
      <c r="F616" s="793" t="s">
        <v>984</v>
      </c>
      <c r="G616" s="793" t="s">
        <v>813</v>
      </c>
      <c r="H616" s="793" t="s">
        <v>814</v>
      </c>
      <c r="I616" s="794">
        <v>4.502675568479126E-2</v>
      </c>
      <c r="J616" s="794">
        <v>785.18188801058398</v>
      </c>
      <c r="K616" s="771"/>
    </row>
    <row r="617" spans="1:11" ht="18.75" customHeight="1" outlineLevel="2">
      <c r="A617" s="791" t="s">
        <v>776</v>
      </c>
      <c r="B617" s="791" t="s">
        <v>1016</v>
      </c>
      <c r="C617" s="791" t="s">
        <v>1009</v>
      </c>
      <c r="D617" s="792" t="s">
        <v>779</v>
      </c>
      <c r="E617" s="793" t="s">
        <v>947</v>
      </c>
      <c r="F617" s="793" t="s">
        <v>985</v>
      </c>
      <c r="G617" s="793" t="s">
        <v>813</v>
      </c>
      <c r="H617" s="793" t="s">
        <v>814</v>
      </c>
      <c r="I617" s="794">
        <v>0.10642565505197879</v>
      </c>
      <c r="J617" s="794">
        <v>5185.0492351718422</v>
      </c>
      <c r="K617" s="771"/>
    </row>
    <row r="618" spans="1:11" ht="18.75" customHeight="1" outlineLevel="2">
      <c r="A618" s="791" t="s">
        <v>776</v>
      </c>
      <c r="B618" s="791" t="s">
        <v>1016</v>
      </c>
      <c r="C618" s="791" t="s">
        <v>1009</v>
      </c>
      <c r="D618" s="792" t="s">
        <v>779</v>
      </c>
      <c r="E618" s="793" t="s">
        <v>947</v>
      </c>
      <c r="F618" s="793" t="s">
        <v>986</v>
      </c>
      <c r="G618" s="793" t="s">
        <v>813</v>
      </c>
      <c r="H618" s="793" t="s">
        <v>814</v>
      </c>
      <c r="I618" s="794">
        <v>1.8251538195122947E-2</v>
      </c>
      <c r="J618" s="794">
        <v>610.92931539932113</v>
      </c>
      <c r="K618" s="771"/>
    </row>
    <row r="619" spans="1:11" ht="18.75" customHeight="1" outlineLevel="2">
      <c r="A619" s="791" t="s">
        <v>776</v>
      </c>
      <c r="B619" s="791" t="s">
        <v>1016</v>
      </c>
      <c r="C619" s="791" t="s">
        <v>1009</v>
      </c>
      <c r="D619" s="792" t="s">
        <v>779</v>
      </c>
      <c r="E619" s="793" t="s">
        <v>947</v>
      </c>
      <c r="F619" s="793" t="s">
        <v>987</v>
      </c>
      <c r="G619" s="793" t="s">
        <v>813</v>
      </c>
      <c r="H619" s="793" t="s">
        <v>814</v>
      </c>
      <c r="I619" s="794">
        <v>5.1313967676799464E-4</v>
      </c>
      <c r="J619" s="794">
        <v>15.512835613940654</v>
      </c>
      <c r="K619" s="771"/>
    </row>
    <row r="620" spans="1:11" ht="18.75" customHeight="1" outlineLevel="2">
      <c r="A620" s="791" t="s">
        <v>776</v>
      </c>
      <c r="B620" s="791" t="s">
        <v>1016</v>
      </c>
      <c r="C620" s="791" t="s">
        <v>1009</v>
      </c>
      <c r="D620" s="792" t="s">
        <v>779</v>
      </c>
      <c r="E620" s="793" t="s">
        <v>947</v>
      </c>
      <c r="F620" s="793" t="s">
        <v>988</v>
      </c>
      <c r="G620" s="793" t="s">
        <v>791</v>
      </c>
      <c r="H620" s="793" t="s">
        <v>826</v>
      </c>
      <c r="I620" s="794">
        <v>6.0601816141228389E-6</v>
      </c>
      <c r="J620" s="794">
        <v>5.1798807425012472E-2</v>
      </c>
      <c r="K620" s="771"/>
    </row>
    <row r="621" spans="1:11" ht="18.75" customHeight="1" outlineLevel="2">
      <c r="A621" s="791" t="s">
        <v>776</v>
      </c>
      <c r="B621" s="791" t="s">
        <v>1016</v>
      </c>
      <c r="C621" s="791" t="s">
        <v>1009</v>
      </c>
      <c r="D621" s="792" t="s">
        <v>779</v>
      </c>
      <c r="E621" s="793" t="s">
        <v>947</v>
      </c>
      <c r="F621" s="793" t="s">
        <v>989</v>
      </c>
      <c r="G621" s="793" t="s">
        <v>791</v>
      </c>
      <c r="H621" s="793" t="s">
        <v>826</v>
      </c>
      <c r="I621" s="794">
        <v>3.665818638587421E-2</v>
      </c>
      <c r="J621" s="794">
        <v>2150.7990276815399</v>
      </c>
      <c r="K621" s="771"/>
    </row>
    <row r="622" spans="1:11" ht="18.75" customHeight="1" outlineLevel="2">
      <c r="A622" s="791" t="s">
        <v>776</v>
      </c>
      <c r="B622" s="791" t="s">
        <v>1016</v>
      </c>
      <c r="C622" s="791" t="s">
        <v>1009</v>
      </c>
      <c r="D622" s="792" t="s">
        <v>779</v>
      </c>
      <c r="E622" s="793" t="s">
        <v>947</v>
      </c>
      <c r="F622" s="793" t="s">
        <v>990</v>
      </c>
      <c r="G622" s="793" t="s">
        <v>791</v>
      </c>
      <c r="H622" s="793" t="s">
        <v>826</v>
      </c>
      <c r="I622" s="794">
        <v>1.7496584688121704E-3</v>
      </c>
      <c r="J622" s="794">
        <v>192.83747789685151</v>
      </c>
      <c r="K622" s="771"/>
    </row>
    <row r="623" spans="1:11" ht="18.75" customHeight="1" outlineLevel="2">
      <c r="A623" s="791" t="s">
        <v>776</v>
      </c>
      <c r="B623" s="791" t="s">
        <v>1016</v>
      </c>
      <c r="C623" s="791" t="s">
        <v>1009</v>
      </c>
      <c r="D623" s="792" t="s">
        <v>779</v>
      </c>
      <c r="E623" s="793" t="s">
        <v>947</v>
      </c>
      <c r="F623" s="793" t="s">
        <v>991</v>
      </c>
      <c r="G623" s="793" t="s">
        <v>791</v>
      </c>
      <c r="H623" s="793" t="s">
        <v>826</v>
      </c>
      <c r="I623" s="794">
        <v>1.3897664817943876E-5</v>
      </c>
      <c r="J623" s="794">
        <v>1.0673692681060079</v>
      </c>
      <c r="K623" s="771"/>
    </row>
    <row r="624" spans="1:11" ht="18.75" customHeight="1" outlineLevel="2">
      <c r="A624" s="791" t="s">
        <v>776</v>
      </c>
      <c r="B624" s="791" t="s">
        <v>1016</v>
      </c>
      <c r="C624" s="791" t="s">
        <v>1009</v>
      </c>
      <c r="D624" s="792" t="s">
        <v>779</v>
      </c>
      <c r="E624" s="793" t="s">
        <v>947</v>
      </c>
      <c r="F624" s="793" t="s">
        <v>992</v>
      </c>
      <c r="G624" s="793" t="s">
        <v>791</v>
      </c>
      <c r="H624" s="793" t="s">
        <v>826</v>
      </c>
      <c r="I624" s="794">
        <v>2.7091506739882218E-6</v>
      </c>
      <c r="J624" s="794">
        <v>0.22422169587327459</v>
      </c>
      <c r="K624" s="771"/>
    </row>
    <row r="625" spans="1:11" ht="18.75" customHeight="1" outlineLevel="2">
      <c r="A625" s="791" t="s">
        <v>776</v>
      </c>
      <c r="B625" s="791" t="s">
        <v>1016</v>
      </c>
      <c r="C625" s="791" t="s">
        <v>1009</v>
      </c>
      <c r="D625" s="792" t="s">
        <v>779</v>
      </c>
      <c r="E625" s="793" t="s">
        <v>947</v>
      </c>
      <c r="F625" s="793" t="s">
        <v>993</v>
      </c>
      <c r="G625" s="793" t="s">
        <v>791</v>
      </c>
      <c r="H625" s="793" t="s">
        <v>826</v>
      </c>
      <c r="I625" s="794">
        <v>1.7785543885599086E-4</v>
      </c>
      <c r="J625" s="794">
        <v>16.353461627321806</v>
      </c>
      <c r="K625" s="771"/>
    </row>
    <row r="626" spans="1:11" ht="18.75" customHeight="1" outlineLevel="2">
      <c r="A626" s="791" t="s">
        <v>776</v>
      </c>
      <c r="B626" s="791" t="s">
        <v>1016</v>
      </c>
      <c r="C626" s="791" t="s">
        <v>1009</v>
      </c>
      <c r="D626" s="792" t="s">
        <v>779</v>
      </c>
      <c r="E626" s="793" t="s">
        <v>947</v>
      </c>
      <c r="F626" s="793" t="s">
        <v>994</v>
      </c>
      <c r="G626" s="793" t="s">
        <v>791</v>
      </c>
      <c r="H626" s="793" t="s">
        <v>826</v>
      </c>
      <c r="I626" s="794">
        <v>3.760319759027589E-7</v>
      </c>
      <c r="J626" s="794">
        <v>4.5244985479295508E-2</v>
      </c>
      <c r="K626" s="771"/>
    </row>
    <row r="627" spans="1:11" ht="18.75" customHeight="1" outlineLevel="2">
      <c r="A627" s="791" t="s">
        <v>776</v>
      </c>
      <c r="B627" s="791" t="s">
        <v>1016</v>
      </c>
      <c r="C627" s="791" t="s">
        <v>1009</v>
      </c>
      <c r="D627" s="792" t="s">
        <v>779</v>
      </c>
      <c r="E627" s="793" t="s">
        <v>947</v>
      </c>
      <c r="F627" s="793" t="s">
        <v>995</v>
      </c>
      <c r="G627" s="793" t="s">
        <v>791</v>
      </c>
      <c r="H627" s="793" t="s">
        <v>826</v>
      </c>
      <c r="I627" s="794">
        <v>1.600810627982473E-4</v>
      </c>
      <c r="J627" s="794">
        <v>15.120939165850141</v>
      </c>
      <c r="K627" s="771"/>
    </row>
    <row r="628" spans="1:11" ht="18.75" customHeight="1" outlineLevel="2">
      <c r="A628" s="791" t="s">
        <v>776</v>
      </c>
      <c r="B628" s="791" t="s">
        <v>1016</v>
      </c>
      <c r="C628" s="791" t="s">
        <v>1009</v>
      </c>
      <c r="D628" s="792" t="s">
        <v>779</v>
      </c>
      <c r="E628" s="793" t="s">
        <v>947</v>
      </c>
      <c r="F628" s="793" t="s">
        <v>996</v>
      </c>
      <c r="G628" s="793" t="s">
        <v>791</v>
      </c>
      <c r="H628" s="793" t="s">
        <v>826</v>
      </c>
      <c r="I628" s="794">
        <v>4.7330804836248364E-4</v>
      </c>
      <c r="J628" s="794">
        <v>42.079083280607421</v>
      </c>
      <c r="K628" s="771"/>
    </row>
    <row r="629" spans="1:11" ht="18.75" customHeight="1" outlineLevel="2">
      <c r="A629" s="791" t="s">
        <v>776</v>
      </c>
      <c r="B629" s="791" t="s">
        <v>1016</v>
      </c>
      <c r="C629" s="791" t="s">
        <v>1009</v>
      </c>
      <c r="D629" s="792" t="s">
        <v>779</v>
      </c>
      <c r="E629" s="793" t="s">
        <v>947</v>
      </c>
      <c r="F629" s="793" t="s">
        <v>997</v>
      </c>
      <c r="G629" s="793" t="s">
        <v>791</v>
      </c>
      <c r="H629" s="793" t="s">
        <v>826</v>
      </c>
      <c r="I629" s="794">
        <v>7.1782774242959099E-4</v>
      </c>
      <c r="J629" s="794">
        <v>31.027919812502361</v>
      </c>
      <c r="K629" s="771"/>
    </row>
    <row r="630" spans="1:11" ht="18.75" customHeight="1" outlineLevel="2">
      <c r="A630" s="791" t="s">
        <v>776</v>
      </c>
      <c r="B630" s="791" t="s">
        <v>1016</v>
      </c>
      <c r="C630" s="791" t="s">
        <v>1009</v>
      </c>
      <c r="D630" s="792" t="s">
        <v>779</v>
      </c>
      <c r="E630" s="793" t="s">
        <v>947</v>
      </c>
      <c r="F630" s="793" t="s">
        <v>998</v>
      </c>
      <c r="G630" s="793" t="s">
        <v>794</v>
      </c>
      <c r="H630" s="793" t="s">
        <v>828</v>
      </c>
      <c r="I630" s="794">
        <v>0.18119054772330367</v>
      </c>
      <c r="J630" s="794">
        <v>6625.5891903392785</v>
      </c>
      <c r="K630" s="771"/>
    </row>
    <row r="631" spans="1:11" ht="18.75" customHeight="1" outlineLevel="2">
      <c r="A631" s="791" t="s">
        <v>776</v>
      </c>
      <c r="B631" s="791" t="s">
        <v>1016</v>
      </c>
      <c r="C631" s="791" t="s">
        <v>1009</v>
      </c>
      <c r="D631" s="792" t="s">
        <v>779</v>
      </c>
      <c r="E631" s="793" t="s">
        <v>947</v>
      </c>
      <c r="F631" s="793" t="s">
        <v>999</v>
      </c>
      <c r="G631" s="793" t="s">
        <v>794</v>
      </c>
      <c r="H631" s="793" t="s">
        <v>828</v>
      </c>
      <c r="I631" s="794">
        <v>4.2730306722524689E-2</v>
      </c>
      <c r="J631" s="794">
        <v>1563.7600531982614</v>
      </c>
      <c r="K631" s="771"/>
    </row>
    <row r="632" spans="1:11" ht="18.75" customHeight="1" outlineLevel="2">
      <c r="A632" s="791" t="s">
        <v>776</v>
      </c>
      <c r="B632" s="791" t="s">
        <v>1016</v>
      </c>
      <c r="C632" s="791" t="s">
        <v>1009</v>
      </c>
      <c r="D632" s="792" t="s">
        <v>779</v>
      </c>
      <c r="E632" s="793" t="s">
        <v>947</v>
      </c>
      <c r="F632" s="793" t="s">
        <v>1000</v>
      </c>
      <c r="G632" s="793" t="s">
        <v>794</v>
      </c>
      <c r="H632" s="793" t="s">
        <v>828</v>
      </c>
      <c r="I632" s="794">
        <v>0.11992598975727055</v>
      </c>
      <c r="J632" s="794">
        <v>4338.4610812087831</v>
      </c>
      <c r="K632" s="771"/>
    </row>
    <row r="633" spans="1:11" ht="18.75" customHeight="1" outlineLevel="2">
      <c r="A633" s="791" t="s">
        <v>776</v>
      </c>
      <c r="B633" s="791" t="s">
        <v>1016</v>
      </c>
      <c r="C633" s="791" t="s">
        <v>1009</v>
      </c>
      <c r="D633" s="792" t="s">
        <v>779</v>
      </c>
      <c r="E633" s="793" t="s">
        <v>947</v>
      </c>
      <c r="F633" s="793" t="s">
        <v>1001</v>
      </c>
      <c r="G633" s="793" t="s">
        <v>794</v>
      </c>
      <c r="H633" s="793" t="s">
        <v>828</v>
      </c>
      <c r="I633" s="794">
        <v>0.10126752771362019</v>
      </c>
      <c r="J633" s="794">
        <v>2202.769254627171</v>
      </c>
      <c r="K633" s="771"/>
    </row>
    <row r="634" spans="1:11" ht="18.75" customHeight="1" outlineLevel="2">
      <c r="A634" s="791" t="s">
        <v>776</v>
      </c>
      <c r="B634" s="791" t="s">
        <v>1016</v>
      </c>
      <c r="C634" s="791" t="s">
        <v>1009</v>
      </c>
      <c r="D634" s="792" t="s">
        <v>779</v>
      </c>
      <c r="E634" s="793" t="s">
        <v>947</v>
      </c>
      <c r="F634" s="793" t="s">
        <v>1002</v>
      </c>
      <c r="G634" s="793" t="s">
        <v>794</v>
      </c>
      <c r="H634" s="793" t="s">
        <v>828</v>
      </c>
      <c r="I634" s="794">
        <v>5.0374909361982504E-3</v>
      </c>
      <c r="J634" s="794">
        <v>211.85114869792943</v>
      </c>
      <c r="K634" s="771"/>
    </row>
    <row r="635" spans="1:11" ht="18.75" customHeight="1" outlineLevel="2">
      <c r="A635" s="791" t="s">
        <v>776</v>
      </c>
      <c r="B635" s="791" t="s">
        <v>1016</v>
      </c>
      <c r="C635" s="791" t="s">
        <v>1009</v>
      </c>
      <c r="D635" s="792" t="s">
        <v>779</v>
      </c>
      <c r="E635" s="793" t="s">
        <v>947</v>
      </c>
      <c r="F635" s="793" t="s">
        <v>1003</v>
      </c>
      <c r="G635" s="793" t="s">
        <v>794</v>
      </c>
      <c r="H635" s="793" t="s">
        <v>828</v>
      </c>
      <c r="I635" s="794">
        <v>5.8278013939419525E-3</v>
      </c>
      <c r="J635" s="794">
        <v>187.50523168520076</v>
      </c>
      <c r="K635" s="771"/>
    </row>
    <row r="636" spans="1:11" ht="18.75" customHeight="1" outlineLevel="2">
      <c r="A636" s="791" t="s">
        <v>776</v>
      </c>
      <c r="B636" s="791" t="s">
        <v>1016</v>
      </c>
      <c r="C636" s="791" t="s">
        <v>1009</v>
      </c>
      <c r="D636" s="792" t="s">
        <v>779</v>
      </c>
      <c r="E636" s="793" t="s">
        <v>947</v>
      </c>
      <c r="F636" s="793" t="s">
        <v>1004</v>
      </c>
      <c r="G636" s="793" t="s">
        <v>833</v>
      </c>
      <c r="H636" s="793" t="s">
        <v>834</v>
      </c>
      <c r="I636" s="794">
        <v>4.3966189939270914E-3</v>
      </c>
      <c r="J636" s="794">
        <v>288.14507999763799</v>
      </c>
      <c r="K636" s="771"/>
    </row>
    <row r="637" spans="1:11" ht="18.75" customHeight="1" outlineLevel="2">
      <c r="A637" s="791" t="s">
        <v>776</v>
      </c>
      <c r="B637" s="791" t="s">
        <v>1016</v>
      </c>
      <c r="C637" s="791" t="s">
        <v>1009</v>
      </c>
      <c r="D637" s="792" t="s">
        <v>779</v>
      </c>
      <c r="E637" s="793" t="s">
        <v>947</v>
      </c>
      <c r="F637" s="793" t="s">
        <v>1019</v>
      </c>
      <c r="G637" s="793" t="s">
        <v>785</v>
      </c>
      <c r="H637" s="793" t="s">
        <v>727</v>
      </c>
      <c r="I637" s="794">
        <v>4.6144460379188229E-3</v>
      </c>
      <c r="J637" s="794">
        <v>146.58617839097403</v>
      </c>
      <c r="K637" s="771"/>
    </row>
    <row r="638" spans="1:11" ht="18.75" customHeight="1" outlineLevel="2">
      <c r="A638" s="791" t="s">
        <v>776</v>
      </c>
      <c r="B638" s="791" t="s">
        <v>1016</v>
      </c>
      <c r="C638" s="791" t="s">
        <v>1009</v>
      </c>
      <c r="D638" s="792" t="s">
        <v>779</v>
      </c>
      <c r="E638" s="793" t="s">
        <v>947</v>
      </c>
      <c r="F638" s="793" t="s">
        <v>1007</v>
      </c>
      <c r="G638" s="793" t="s">
        <v>244</v>
      </c>
      <c r="H638" s="793" t="s">
        <v>911</v>
      </c>
      <c r="I638" s="794">
        <v>1.0952582429895569E-2</v>
      </c>
      <c r="J638" s="794">
        <v>244.1787438697643</v>
      </c>
      <c r="K638" s="771"/>
    </row>
    <row r="639" spans="1:11" ht="18.75" customHeight="1" outlineLevel="2">
      <c r="A639" s="791" t="s">
        <v>776</v>
      </c>
      <c r="B639" s="791" t="s">
        <v>1016</v>
      </c>
      <c r="C639" s="791" t="s">
        <v>1009</v>
      </c>
      <c r="D639" s="792" t="s">
        <v>1010</v>
      </c>
      <c r="E639" s="793" t="s">
        <v>662</v>
      </c>
      <c r="F639" s="793" t="s">
        <v>1011</v>
      </c>
      <c r="G639" s="793" t="s">
        <v>1012</v>
      </c>
      <c r="H639" s="793" t="s">
        <v>1013</v>
      </c>
      <c r="I639" s="794">
        <v>7.6416446812835532E-5</v>
      </c>
      <c r="J639" s="794">
        <v>0.25812196598747422</v>
      </c>
      <c r="K639" s="771"/>
    </row>
    <row r="640" spans="1:11" ht="18.75" customHeight="1" outlineLevel="2">
      <c r="A640" s="791" t="s">
        <v>776</v>
      </c>
      <c r="B640" s="791" t="s">
        <v>1016</v>
      </c>
      <c r="C640" s="791" t="s">
        <v>1009</v>
      </c>
      <c r="D640" s="792" t="s">
        <v>1010</v>
      </c>
      <c r="E640" s="793" t="s">
        <v>763</v>
      </c>
      <c r="F640" s="793" t="s">
        <v>1014</v>
      </c>
      <c r="G640" s="793" t="s">
        <v>1012</v>
      </c>
      <c r="H640" s="793" t="s">
        <v>913</v>
      </c>
      <c r="I640" s="794">
        <v>8.5930569014407572E-6</v>
      </c>
      <c r="J640" s="794">
        <v>0.1440233810627862</v>
      </c>
      <c r="K640" s="771"/>
    </row>
    <row r="641" spans="1:11" ht="18.75" customHeight="1" outlineLevel="2">
      <c r="A641" s="791" t="s">
        <v>776</v>
      </c>
      <c r="B641" s="791" t="s">
        <v>1016</v>
      </c>
      <c r="C641" s="791" t="s">
        <v>1009</v>
      </c>
      <c r="D641" s="792" t="s">
        <v>1010</v>
      </c>
      <c r="E641" s="793" t="s">
        <v>947</v>
      </c>
      <c r="F641" s="793" t="s">
        <v>1015</v>
      </c>
      <c r="G641" s="793" t="s">
        <v>1012</v>
      </c>
      <c r="H641" s="793" t="s">
        <v>1013</v>
      </c>
      <c r="I641" s="794">
        <v>1.4958394590879517E-4</v>
      </c>
      <c r="J641" s="794">
        <v>7.9662347979523824</v>
      </c>
      <c r="K641" s="771"/>
    </row>
    <row r="642" spans="1:11" ht="18.75" customHeight="1" outlineLevel="2">
      <c r="A642" s="791" t="s">
        <v>776</v>
      </c>
      <c r="B642" s="791" t="s">
        <v>1020</v>
      </c>
      <c r="C642" s="791" t="s">
        <v>1009</v>
      </c>
      <c r="D642" s="792" t="s">
        <v>779</v>
      </c>
      <c r="E642" s="793" t="s">
        <v>780</v>
      </c>
      <c r="F642" s="793" t="s">
        <v>784</v>
      </c>
      <c r="G642" s="793" t="s">
        <v>785</v>
      </c>
      <c r="H642" s="793" t="s">
        <v>783</v>
      </c>
      <c r="I642" s="794">
        <v>8.415666465320319</v>
      </c>
      <c r="J642" s="794">
        <v>1366.6533559220959</v>
      </c>
      <c r="K642" s="771"/>
    </row>
    <row r="643" spans="1:11" ht="18.75" customHeight="1" outlineLevel="2">
      <c r="A643" s="791" t="s">
        <v>776</v>
      </c>
      <c r="B643" s="791" t="s">
        <v>1020</v>
      </c>
      <c r="C643" s="791" t="s">
        <v>1009</v>
      </c>
      <c r="D643" s="792" t="s">
        <v>779</v>
      </c>
      <c r="E643" s="793" t="s">
        <v>780</v>
      </c>
      <c r="F643" s="793" t="s">
        <v>786</v>
      </c>
      <c r="G643" s="793" t="s">
        <v>785</v>
      </c>
      <c r="H643" s="793" t="s">
        <v>783</v>
      </c>
      <c r="I643" s="794">
        <v>6.8343518224160283E-3</v>
      </c>
      <c r="J643" s="794">
        <v>1.1577977635992966</v>
      </c>
      <c r="K643" s="771"/>
    </row>
    <row r="644" spans="1:11" ht="18.75" customHeight="1" outlineLevel="2">
      <c r="A644" s="791" t="s">
        <v>776</v>
      </c>
      <c r="B644" s="791" t="s">
        <v>1020</v>
      </c>
      <c r="C644" s="791" t="s">
        <v>1009</v>
      </c>
      <c r="D644" s="792" t="s">
        <v>779</v>
      </c>
      <c r="E644" s="793" t="s">
        <v>780</v>
      </c>
      <c r="F644" s="793" t="s">
        <v>787</v>
      </c>
      <c r="G644" s="793" t="s">
        <v>785</v>
      </c>
      <c r="H644" s="793" t="s">
        <v>783</v>
      </c>
      <c r="I644" s="794">
        <v>3.4344423885246983E-3</v>
      </c>
      <c r="J644" s="794">
        <v>0.6309210301488688</v>
      </c>
      <c r="K644" s="771"/>
    </row>
    <row r="645" spans="1:11" ht="18.75" customHeight="1" outlineLevel="2">
      <c r="A645" s="791" t="s">
        <v>776</v>
      </c>
      <c r="B645" s="791" t="s">
        <v>1020</v>
      </c>
      <c r="C645" s="791" t="s">
        <v>1009</v>
      </c>
      <c r="D645" s="792" t="s">
        <v>779</v>
      </c>
      <c r="E645" s="793" t="s">
        <v>780</v>
      </c>
      <c r="F645" s="793" t="s">
        <v>788</v>
      </c>
      <c r="G645" s="793" t="s">
        <v>785</v>
      </c>
      <c r="H645" s="793" t="s">
        <v>783</v>
      </c>
      <c r="I645" s="794">
        <v>2.6936985743735032E-2</v>
      </c>
      <c r="J645" s="794">
        <v>4.2908194662887107</v>
      </c>
      <c r="K645" s="771"/>
    </row>
    <row r="646" spans="1:11" ht="18.75" customHeight="1" outlineLevel="2">
      <c r="A646" s="791" t="s">
        <v>776</v>
      </c>
      <c r="B646" s="791" t="s">
        <v>1020</v>
      </c>
      <c r="C646" s="791" t="s">
        <v>1009</v>
      </c>
      <c r="D646" s="792" t="s">
        <v>779</v>
      </c>
      <c r="E646" s="793" t="s">
        <v>780</v>
      </c>
      <c r="F646" s="793" t="s">
        <v>789</v>
      </c>
      <c r="G646" s="793" t="s">
        <v>785</v>
      </c>
      <c r="H646" s="793" t="s">
        <v>783</v>
      </c>
      <c r="I646" s="794">
        <v>3.1436285260917227E-2</v>
      </c>
      <c r="J646" s="794">
        <v>7.7330595208526205</v>
      </c>
      <c r="K646" s="771"/>
    </row>
    <row r="647" spans="1:11" ht="18.75" customHeight="1" outlineLevel="2">
      <c r="A647" s="791" t="s">
        <v>776</v>
      </c>
      <c r="B647" s="791" t="s">
        <v>1020</v>
      </c>
      <c r="C647" s="791" t="s">
        <v>1009</v>
      </c>
      <c r="D647" s="792" t="s">
        <v>779</v>
      </c>
      <c r="E647" s="793" t="s">
        <v>780</v>
      </c>
      <c r="F647" s="793" t="s">
        <v>793</v>
      </c>
      <c r="G647" s="793" t="s">
        <v>794</v>
      </c>
      <c r="H647" s="793" t="s">
        <v>783</v>
      </c>
      <c r="I647" s="794">
        <v>6.3717900396821001</v>
      </c>
      <c r="J647" s="794">
        <v>165.36489331754933</v>
      </c>
      <c r="K647" s="771"/>
    </row>
    <row r="648" spans="1:11" ht="18.75" customHeight="1" outlineLevel="2">
      <c r="A648" s="791" t="s">
        <v>776</v>
      </c>
      <c r="B648" s="791" t="s">
        <v>1020</v>
      </c>
      <c r="C648" s="791" t="s">
        <v>1009</v>
      </c>
      <c r="D648" s="792" t="s">
        <v>779</v>
      </c>
      <c r="E648" s="793" t="s">
        <v>780</v>
      </c>
      <c r="F648" s="793" t="s">
        <v>795</v>
      </c>
      <c r="G648" s="793" t="s">
        <v>794</v>
      </c>
      <c r="H648" s="793" t="s">
        <v>783</v>
      </c>
      <c r="I648" s="794">
        <v>0.19268207658176165</v>
      </c>
      <c r="J648" s="794">
        <v>7.8948035206596527</v>
      </c>
      <c r="K648" s="771"/>
    </row>
    <row r="649" spans="1:11" ht="18.75" customHeight="1" outlineLevel="2">
      <c r="A649" s="791" t="s">
        <v>776</v>
      </c>
      <c r="B649" s="791" t="s">
        <v>1020</v>
      </c>
      <c r="C649" s="791" t="s">
        <v>1009</v>
      </c>
      <c r="D649" s="792" t="s">
        <v>779</v>
      </c>
      <c r="E649" s="793" t="s">
        <v>780</v>
      </c>
      <c r="F649" s="793" t="s">
        <v>796</v>
      </c>
      <c r="G649" s="793" t="s">
        <v>794</v>
      </c>
      <c r="H649" s="793" t="s">
        <v>783</v>
      </c>
      <c r="I649" s="794">
        <v>0.10015141178151515</v>
      </c>
      <c r="J649" s="794">
        <v>11.541304726870429</v>
      </c>
      <c r="K649" s="771"/>
    </row>
    <row r="650" spans="1:11" ht="18.75" customHeight="1" outlineLevel="2">
      <c r="A650" s="791" t="s">
        <v>776</v>
      </c>
      <c r="B650" s="791" t="s">
        <v>1020</v>
      </c>
      <c r="C650" s="791" t="s">
        <v>1009</v>
      </c>
      <c r="D650" s="792" t="s">
        <v>779</v>
      </c>
      <c r="E650" s="793" t="s">
        <v>780</v>
      </c>
      <c r="F650" s="793" t="s">
        <v>797</v>
      </c>
      <c r="G650" s="793" t="s">
        <v>794</v>
      </c>
      <c r="H650" s="793" t="s">
        <v>783</v>
      </c>
      <c r="I650" s="794">
        <v>1.95851381749511</v>
      </c>
      <c r="J650" s="794">
        <v>409.84912294792457</v>
      </c>
      <c r="K650" s="771"/>
    </row>
    <row r="651" spans="1:11" ht="18.75" customHeight="1" outlineLevel="2">
      <c r="A651" s="791" t="s">
        <v>776</v>
      </c>
      <c r="B651" s="791" t="s">
        <v>1020</v>
      </c>
      <c r="C651" s="791" t="s">
        <v>1009</v>
      </c>
      <c r="D651" s="792" t="s">
        <v>779</v>
      </c>
      <c r="E651" s="793" t="s">
        <v>780</v>
      </c>
      <c r="F651" s="793" t="s">
        <v>1017</v>
      </c>
      <c r="G651" s="793" t="s">
        <v>785</v>
      </c>
      <c r="H651" s="793" t="s">
        <v>783</v>
      </c>
      <c r="I651" s="794">
        <v>3.2298052061064723E-2</v>
      </c>
      <c r="J651" s="794">
        <v>7.3396805580313709</v>
      </c>
      <c r="K651" s="771"/>
    </row>
    <row r="652" spans="1:11" ht="18.75" customHeight="1" outlineLevel="2">
      <c r="A652" s="791" t="s">
        <v>776</v>
      </c>
      <c r="B652" s="791" t="s">
        <v>1020</v>
      </c>
      <c r="C652" s="791" t="s">
        <v>1009</v>
      </c>
      <c r="D652" s="792" t="s">
        <v>779</v>
      </c>
      <c r="E652" s="793" t="s">
        <v>662</v>
      </c>
      <c r="F652" s="793" t="s">
        <v>810</v>
      </c>
      <c r="G652" s="793" t="s">
        <v>785</v>
      </c>
      <c r="H652" s="793" t="s">
        <v>727</v>
      </c>
      <c r="I652" s="794">
        <v>8.3348564519347985E-3</v>
      </c>
      <c r="J652" s="794">
        <v>3.730240809837178</v>
      </c>
      <c r="K652" s="771"/>
    </row>
    <row r="653" spans="1:11" ht="18.75" customHeight="1" outlineLevel="2">
      <c r="A653" s="791" t="s">
        <v>776</v>
      </c>
      <c r="B653" s="791" t="s">
        <v>1020</v>
      </c>
      <c r="C653" s="791" t="s">
        <v>1009</v>
      </c>
      <c r="D653" s="792" t="s">
        <v>779</v>
      </c>
      <c r="E653" s="793" t="s">
        <v>662</v>
      </c>
      <c r="F653" s="793" t="s">
        <v>811</v>
      </c>
      <c r="G653" s="793" t="s">
        <v>785</v>
      </c>
      <c r="H653" s="793" t="s">
        <v>727</v>
      </c>
      <c r="I653" s="794">
        <v>6.3779497127512469E-4</v>
      </c>
      <c r="J653" s="794">
        <v>0.28544315315864771</v>
      </c>
      <c r="K653" s="771"/>
    </row>
    <row r="654" spans="1:11" ht="18.75" customHeight="1" outlineLevel="2">
      <c r="A654" s="791" t="s">
        <v>776</v>
      </c>
      <c r="B654" s="791" t="s">
        <v>1020</v>
      </c>
      <c r="C654" s="791" t="s">
        <v>1009</v>
      </c>
      <c r="D654" s="792" t="s">
        <v>779</v>
      </c>
      <c r="E654" s="793" t="s">
        <v>662</v>
      </c>
      <c r="F654" s="793" t="s">
        <v>812</v>
      </c>
      <c r="G654" s="793" t="s">
        <v>813</v>
      </c>
      <c r="H654" s="793" t="s">
        <v>814</v>
      </c>
      <c r="I654" s="794">
        <v>4.7008931698069398E-2</v>
      </c>
      <c r="J654" s="794">
        <v>25.745208896091892</v>
      </c>
      <c r="K654" s="771"/>
    </row>
    <row r="655" spans="1:11" ht="18.75" customHeight="1" outlineLevel="2">
      <c r="A655" s="791" t="s">
        <v>776</v>
      </c>
      <c r="B655" s="791" t="s">
        <v>1020</v>
      </c>
      <c r="C655" s="791" t="s">
        <v>1009</v>
      </c>
      <c r="D655" s="792" t="s">
        <v>779</v>
      </c>
      <c r="E655" s="793" t="s">
        <v>662</v>
      </c>
      <c r="F655" s="793" t="s">
        <v>815</v>
      </c>
      <c r="G655" s="793" t="s">
        <v>813</v>
      </c>
      <c r="H655" s="793" t="s">
        <v>814</v>
      </c>
      <c r="I655" s="794">
        <v>4.623443980215021E-2</v>
      </c>
      <c r="J655" s="794">
        <v>24.848500696824043</v>
      </c>
      <c r="K655" s="771"/>
    </row>
    <row r="656" spans="1:11" ht="18.75" customHeight="1" outlineLevel="2">
      <c r="A656" s="791" t="s">
        <v>776</v>
      </c>
      <c r="B656" s="791" t="s">
        <v>1020</v>
      </c>
      <c r="C656" s="791" t="s">
        <v>1009</v>
      </c>
      <c r="D656" s="792" t="s">
        <v>779</v>
      </c>
      <c r="E656" s="793" t="s">
        <v>662</v>
      </c>
      <c r="F656" s="793" t="s">
        <v>816</v>
      </c>
      <c r="G656" s="793" t="s">
        <v>813</v>
      </c>
      <c r="H656" s="793" t="s">
        <v>814</v>
      </c>
      <c r="I656" s="794">
        <v>0.6616280082640309</v>
      </c>
      <c r="J656" s="794">
        <v>343.74690648604093</v>
      </c>
      <c r="K656" s="771"/>
    </row>
    <row r="657" spans="1:11" ht="18.75" customHeight="1" outlineLevel="2">
      <c r="A657" s="791" t="s">
        <v>776</v>
      </c>
      <c r="B657" s="791" t="s">
        <v>1020</v>
      </c>
      <c r="C657" s="791" t="s">
        <v>1009</v>
      </c>
      <c r="D657" s="792" t="s">
        <v>779</v>
      </c>
      <c r="E657" s="793" t="s">
        <v>662</v>
      </c>
      <c r="F657" s="793" t="s">
        <v>817</v>
      </c>
      <c r="G657" s="793" t="s">
        <v>813</v>
      </c>
      <c r="H657" s="793" t="s">
        <v>814</v>
      </c>
      <c r="I657" s="794">
        <v>0.43717316644172804</v>
      </c>
      <c r="J657" s="794">
        <v>239.31028713109725</v>
      </c>
      <c r="K657" s="771"/>
    </row>
    <row r="658" spans="1:11" ht="18.75" customHeight="1" outlineLevel="2">
      <c r="A658" s="791" t="s">
        <v>776</v>
      </c>
      <c r="B658" s="791" t="s">
        <v>1020</v>
      </c>
      <c r="C658" s="791" t="s">
        <v>1009</v>
      </c>
      <c r="D658" s="792" t="s">
        <v>779</v>
      </c>
      <c r="E658" s="793" t="s">
        <v>662</v>
      </c>
      <c r="F658" s="793" t="s">
        <v>818</v>
      </c>
      <c r="G658" s="793" t="s">
        <v>813</v>
      </c>
      <c r="H658" s="793" t="s">
        <v>814</v>
      </c>
      <c r="I658" s="794">
        <v>0.81277294006215473</v>
      </c>
      <c r="J658" s="794">
        <v>477.39005586441192</v>
      </c>
      <c r="K658" s="771"/>
    </row>
    <row r="659" spans="1:11" ht="18.75" customHeight="1" outlineLevel="2">
      <c r="A659" s="791" t="s">
        <v>776</v>
      </c>
      <c r="B659" s="791" t="s">
        <v>1020</v>
      </c>
      <c r="C659" s="791" t="s">
        <v>1009</v>
      </c>
      <c r="D659" s="792" t="s">
        <v>779</v>
      </c>
      <c r="E659" s="793" t="s">
        <v>662</v>
      </c>
      <c r="F659" s="793" t="s">
        <v>819</v>
      </c>
      <c r="G659" s="793" t="s">
        <v>813</v>
      </c>
      <c r="H659" s="793" t="s">
        <v>814</v>
      </c>
      <c r="I659" s="794">
        <v>0.41366870684556434</v>
      </c>
      <c r="J659" s="794">
        <v>209.12503132337292</v>
      </c>
      <c r="K659" s="771"/>
    </row>
    <row r="660" spans="1:11" ht="18.75" customHeight="1" outlineLevel="2">
      <c r="A660" s="791" t="s">
        <v>776</v>
      </c>
      <c r="B660" s="791" t="s">
        <v>1020</v>
      </c>
      <c r="C660" s="791" t="s">
        <v>1009</v>
      </c>
      <c r="D660" s="792" t="s">
        <v>779</v>
      </c>
      <c r="E660" s="793" t="s">
        <v>662</v>
      </c>
      <c r="F660" s="793" t="s">
        <v>820</v>
      </c>
      <c r="G660" s="793" t="s">
        <v>813</v>
      </c>
      <c r="H660" s="793" t="s">
        <v>814</v>
      </c>
      <c r="I660" s="794">
        <v>0.57287951354962252</v>
      </c>
      <c r="J660" s="794">
        <v>307.24722616242025</v>
      </c>
      <c r="K660" s="771"/>
    </row>
    <row r="661" spans="1:11" ht="18.75" customHeight="1" outlineLevel="2">
      <c r="A661" s="791" t="s">
        <v>776</v>
      </c>
      <c r="B661" s="791" t="s">
        <v>1020</v>
      </c>
      <c r="C661" s="791" t="s">
        <v>1009</v>
      </c>
      <c r="D661" s="792" t="s">
        <v>779</v>
      </c>
      <c r="E661" s="793" t="s">
        <v>662</v>
      </c>
      <c r="F661" s="793" t="s">
        <v>821</v>
      </c>
      <c r="G661" s="793" t="s">
        <v>813</v>
      </c>
      <c r="H661" s="793" t="s">
        <v>814</v>
      </c>
      <c r="I661" s="794">
        <v>0.36510131514788369</v>
      </c>
      <c r="J661" s="794">
        <v>195.27274578222486</v>
      </c>
      <c r="K661" s="771"/>
    </row>
    <row r="662" spans="1:11" ht="18.75" customHeight="1" outlineLevel="2">
      <c r="A662" s="791" t="s">
        <v>776</v>
      </c>
      <c r="B662" s="791" t="s">
        <v>1020</v>
      </c>
      <c r="C662" s="791" t="s">
        <v>1009</v>
      </c>
      <c r="D662" s="792" t="s">
        <v>779</v>
      </c>
      <c r="E662" s="793" t="s">
        <v>662</v>
      </c>
      <c r="F662" s="793" t="s">
        <v>822</v>
      </c>
      <c r="G662" s="793" t="s">
        <v>813</v>
      </c>
      <c r="H662" s="793" t="s">
        <v>814</v>
      </c>
      <c r="I662" s="794">
        <v>1.0382846068262683</v>
      </c>
      <c r="J662" s="794">
        <v>152.0185274692017</v>
      </c>
      <c r="K662" s="771"/>
    </row>
    <row r="663" spans="1:11" ht="18.75" customHeight="1" outlineLevel="2">
      <c r="A663" s="791" t="s">
        <v>776</v>
      </c>
      <c r="B663" s="791" t="s">
        <v>1020</v>
      </c>
      <c r="C663" s="791" t="s">
        <v>1009</v>
      </c>
      <c r="D663" s="792" t="s">
        <v>779</v>
      </c>
      <c r="E663" s="793" t="s">
        <v>662</v>
      </c>
      <c r="F663" s="793" t="s">
        <v>823</v>
      </c>
      <c r="G663" s="793" t="s">
        <v>813</v>
      </c>
      <c r="H663" s="793" t="s">
        <v>814</v>
      </c>
      <c r="I663" s="794">
        <v>0.485630764962238</v>
      </c>
      <c r="J663" s="794">
        <v>71.10076061745049</v>
      </c>
      <c r="K663" s="771"/>
    </row>
    <row r="664" spans="1:11" ht="18.75" customHeight="1" outlineLevel="2">
      <c r="A664" s="791" t="s">
        <v>776</v>
      </c>
      <c r="B664" s="791" t="s">
        <v>1020</v>
      </c>
      <c r="C664" s="791" t="s">
        <v>1009</v>
      </c>
      <c r="D664" s="792" t="s">
        <v>779</v>
      </c>
      <c r="E664" s="793" t="s">
        <v>662</v>
      </c>
      <c r="F664" s="793" t="s">
        <v>824</v>
      </c>
      <c r="G664" s="793" t="s">
        <v>813</v>
      </c>
      <c r="H664" s="793" t="s">
        <v>814</v>
      </c>
      <c r="I664" s="794">
        <v>2.0882388203532882E-4</v>
      </c>
      <c r="J664" s="794">
        <v>0.10419902400009197</v>
      </c>
      <c r="K664" s="771"/>
    </row>
    <row r="665" spans="1:11" ht="18.75" customHeight="1" outlineLevel="2">
      <c r="A665" s="791" t="s">
        <v>776</v>
      </c>
      <c r="B665" s="791" t="s">
        <v>1020</v>
      </c>
      <c r="C665" s="791" t="s">
        <v>1009</v>
      </c>
      <c r="D665" s="792" t="s">
        <v>779</v>
      </c>
      <c r="E665" s="793" t="s">
        <v>662</v>
      </c>
      <c r="F665" s="793" t="s">
        <v>827</v>
      </c>
      <c r="G665" s="793" t="s">
        <v>794</v>
      </c>
      <c r="H665" s="793" t="s">
        <v>828</v>
      </c>
      <c r="I665" s="794">
        <v>5.6152984514977633E-2</v>
      </c>
      <c r="J665" s="794">
        <v>27.801857515551042</v>
      </c>
      <c r="K665" s="771"/>
    </row>
    <row r="666" spans="1:11" ht="18.75" customHeight="1" outlineLevel="2">
      <c r="A666" s="791" t="s">
        <v>776</v>
      </c>
      <c r="B666" s="791" t="s">
        <v>1020</v>
      </c>
      <c r="C666" s="791" t="s">
        <v>1009</v>
      </c>
      <c r="D666" s="792" t="s">
        <v>779</v>
      </c>
      <c r="E666" s="793" t="s">
        <v>662</v>
      </c>
      <c r="F666" s="793" t="s">
        <v>829</v>
      </c>
      <c r="G666" s="793" t="s">
        <v>794</v>
      </c>
      <c r="H666" s="793" t="s">
        <v>828</v>
      </c>
      <c r="I666" s="794">
        <v>0.35834525771099246</v>
      </c>
      <c r="J666" s="794">
        <v>185.4696772587487</v>
      </c>
      <c r="K666" s="771"/>
    </row>
    <row r="667" spans="1:11" ht="18.75" customHeight="1" outlineLevel="2">
      <c r="A667" s="791" t="s">
        <v>776</v>
      </c>
      <c r="B667" s="791" t="s">
        <v>1020</v>
      </c>
      <c r="C667" s="791" t="s">
        <v>1009</v>
      </c>
      <c r="D667" s="792" t="s">
        <v>779</v>
      </c>
      <c r="E667" s="793" t="s">
        <v>662</v>
      </c>
      <c r="F667" s="793" t="s">
        <v>830</v>
      </c>
      <c r="G667" s="793" t="s">
        <v>794</v>
      </c>
      <c r="H667" s="793" t="s">
        <v>828</v>
      </c>
      <c r="I667" s="794">
        <v>1.4373185342064044E-4</v>
      </c>
      <c r="J667" s="794">
        <v>6.4326609561427259E-2</v>
      </c>
      <c r="K667" s="771"/>
    </row>
    <row r="668" spans="1:11" ht="18.75" customHeight="1" outlineLevel="2">
      <c r="A668" s="791" t="s">
        <v>776</v>
      </c>
      <c r="B668" s="791" t="s">
        <v>1020</v>
      </c>
      <c r="C668" s="791" t="s">
        <v>1009</v>
      </c>
      <c r="D668" s="792" t="s">
        <v>779</v>
      </c>
      <c r="E668" s="793" t="s">
        <v>662</v>
      </c>
      <c r="F668" s="793" t="s">
        <v>831</v>
      </c>
      <c r="G668" s="793" t="s">
        <v>794</v>
      </c>
      <c r="H668" s="793" t="s">
        <v>828</v>
      </c>
      <c r="I668" s="794">
        <v>2.5071386843184096E-3</v>
      </c>
      <c r="J668" s="794">
        <v>1.1220606216985505</v>
      </c>
      <c r="K668" s="771"/>
    </row>
    <row r="669" spans="1:11" ht="18.75" customHeight="1" outlineLevel="2">
      <c r="A669" s="791" t="s">
        <v>776</v>
      </c>
      <c r="B669" s="791" t="s">
        <v>1020</v>
      </c>
      <c r="C669" s="791" t="s">
        <v>1009</v>
      </c>
      <c r="D669" s="792" t="s">
        <v>779</v>
      </c>
      <c r="E669" s="793" t="s">
        <v>662</v>
      </c>
      <c r="F669" s="793" t="s">
        <v>837</v>
      </c>
      <c r="G669" s="793" t="s">
        <v>799</v>
      </c>
      <c r="H669" s="793" t="s">
        <v>800</v>
      </c>
      <c r="I669" s="794">
        <v>0.34252603908197471</v>
      </c>
      <c r="J669" s="794">
        <v>455.46394954793743</v>
      </c>
      <c r="K669" s="771"/>
    </row>
    <row r="670" spans="1:11" ht="18.75" customHeight="1" outlineLevel="2">
      <c r="A670" s="791" t="s">
        <v>776</v>
      </c>
      <c r="B670" s="791" t="s">
        <v>1020</v>
      </c>
      <c r="C670" s="791" t="s">
        <v>1009</v>
      </c>
      <c r="D670" s="792" t="s">
        <v>779</v>
      </c>
      <c r="E670" s="793" t="s">
        <v>662</v>
      </c>
      <c r="F670" s="793" t="s">
        <v>858</v>
      </c>
      <c r="G670" s="793" t="s">
        <v>785</v>
      </c>
      <c r="H670" s="793" t="s">
        <v>727</v>
      </c>
      <c r="I670" s="794">
        <v>0.20630579359087392</v>
      </c>
      <c r="J670" s="794">
        <v>413.47847606462284</v>
      </c>
      <c r="K670" s="771"/>
    </row>
    <row r="671" spans="1:11" ht="18.75" customHeight="1" outlineLevel="2">
      <c r="A671" s="791" t="s">
        <v>776</v>
      </c>
      <c r="B671" s="791" t="s">
        <v>1020</v>
      </c>
      <c r="C671" s="791" t="s">
        <v>1009</v>
      </c>
      <c r="D671" s="792" t="s">
        <v>779</v>
      </c>
      <c r="E671" s="793" t="s">
        <v>662</v>
      </c>
      <c r="F671" s="793" t="s">
        <v>859</v>
      </c>
      <c r="G671" s="793" t="s">
        <v>785</v>
      </c>
      <c r="H671" s="793" t="s">
        <v>727</v>
      </c>
      <c r="I671" s="794">
        <v>0.14822517214504927</v>
      </c>
      <c r="J671" s="794">
        <v>1564.8094706435127</v>
      </c>
      <c r="K671" s="771"/>
    </row>
    <row r="672" spans="1:11" ht="18.75" customHeight="1" outlineLevel="2">
      <c r="A672" s="791" t="s">
        <v>776</v>
      </c>
      <c r="B672" s="791" t="s">
        <v>1020</v>
      </c>
      <c r="C672" s="791" t="s">
        <v>1009</v>
      </c>
      <c r="D672" s="792" t="s">
        <v>779</v>
      </c>
      <c r="E672" s="793" t="s">
        <v>662</v>
      </c>
      <c r="F672" s="793" t="s">
        <v>860</v>
      </c>
      <c r="G672" s="793" t="s">
        <v>785</v>
      </c>
      <c r="H672" s="793" t="s">
        <v>727</v>
      </c>
      <c r="I672" s="794">
        <v>0.12299459931750885</v>
      </c>
      <c r="J672" s="794">
        <v>336.24927438571473</v>
      </c>
      <c r="K672" s="771"/>
    </row>
    <row r="673" spans="1:11" ht="18.75" customHeight="1" outlineLevel="2">
      <c r="A673" s="791" t="s">
        <v>776</v>
      </c>
      <c r="B673" s="791" t="s">
        <v>1020</v>
      </c>
      <c r="C673" s="791" t="s">
        <v>1009</v>
      </c>
      <c r="D673" s="792" t="s">
        <v>779</v>
      </c>
      <c r="E673" s="793" t="s">
        <v>662</v>
      </c>
      <c r="F673" s="793" t="s">
        <v>861</v>
      </c>
      <c r="G673" s="793" t="s">
        <v>785</v>
      </c>
      <c r="H673" s="793" t="s">
        <v>727</v>
      </c>
      <c r="I673" s="794">
        <v>0.47310748053154844</v>
      </c>
      <c r="J673" s="794">
        <v>631.56870740646491</v>
      </c>
      <c r="K673" s="771"/>
    </row>
    <row r="674" spans="1:11" ht="18.75" customHeight="1" outlineLevel="2">
      <c r="A674" s="791" t="s">
        <v>776</v>
      </c>
      <c r="B674" s="791" t="s">
        <v>1020</v>
      </c>
      <c r="C674" s="791" t="s">
        <v>1009</v>
      </c>
      <c r="D674" s="792" t="s">
        <v>779</v>
      </c>
      <c r="E674" s="793" t="s">
        <v>662</v>
      </c>
      <c r="F674" s="793" t="s">
        <v>862</v>
      </c>
      <c r="G674" s="793" t="s">
        <v>785</v>
      </c>
      <c r="H674" s="793" t="s">
        <v>727</v>
      </c>
      <c r="I674" s="794">
        <v>1.3347292901720143E-2</v>
      </c>
      <c r="J674" s="794">
        <v>28.979058756872277</v>
      </c>
      <c r="K674" s="771"/>
    </row>
    <row r="675" spans="1:11" ht="18.75" customHeight="1" outlineLevel="2">
      <c r="A675" s="791" t="s">
        <v>776</v>
      </c>
      <c r="B675" s="791" t="s">
        <v>1020</v>
      </c>
      <c r="C675" s="791" t="s">
        <v>1009</v>
      </c>
      <c r="D675" s="792" t="s">
        <v>779</v>
      </c>
      <c r="E675" s="793" t="s">
        <v>662</v>
      </c>
      <c r="F675" s="793" t="s">
        <v>863</v>
      </c>
      <c r="G675" s="793" t="s">
        <v>785</v>
      </c>
      <c r="H675" s="793" t="s">
        <v>727</v>
      </c>
      <c r="I675" s="794">
        <v>1.4043672234942895E-2</v>
      </c>
      <c r="J675" s="794">
        <v>20.849128995177566</v>
      </c>
      <c r="K675" s="771"/>
    </row>
    <row r="676" spans="1:11" ht="18.75" customHeight="1" outlineLevel="2">
      <c r="A676" s="791" t="s">
        <v>776</v>
      </c>
      <c r="B676" s="791" t="s">
        <v>1020</v>
      </c>
      <c r="C676" s="791" t="s">
        <v>1009</v>
      </c>
      <c r="D676" s="792" t="s">
        <v>779</v>
      </c>
      <c r="E676" s="793" t="s">
        <v>662</v>
      </c>
      <c r="F676" s="793" t="s">
        <v>864</v>
      </c>
      <c r="G676" s="793" t="s">
        <v>785</v>
      </c>
      <c r="H676" s="793" t="s">
        <v>727</v>
      </c>
      <c r="I676" s="794">
        <v>9.7177602815913602E-3</v>
      </c>
      <c r="J676" s="794">
        <v>138.19695670289741</v>
      </c>
      <c r="K676" s="771"/>
    </row>
    <row r="677" spans="1:11" ht="18.75" customHeight="1" outlineLevel="2">
      <c r="A677" s="791" t="s">
        <v>776</v>
      </c>
      <c r="B677" s="791" t="s">
        <v>1020</v>
      </c>
      <c r="C677" s="791" t="s">
        <v>1009</v>
      </c>
      <c r="D677" s="792" t="s">
        <v>779</v>
      </c>
      <c r="E677" s="793" t="s">
        <v>662</v>
      </c>
      <c r="F677" s="793" t="s">
        <v>865</v>
      </c>
      <c r="G677" s="793" t="s">
        <v>813</v>
      </c>
      <c r="H677" s="793" t="s">
        <v>814</v>
      </c>
      <c r="I677" s="794">
        <v>4.0623036699521045</v>
      </c>
      <c r="J677" s="794">
        <v>4342.5403003817255</v>
      </c>
      <c r="K677" s="771"/>
    </row>
    <row r="678" spans="1:11" ht="18.75" customHeight="1" outlineLevel="2">
      <c r="A678" s="791" t="s">
        <v>776</v>
      </c>
      <c r="B678" s="791" t="s">
        <v>1020</v>
      </c>
      <c r="C678" s="791" t="s">
        <v>1009</v>
      </c>
      <c r="D678" s="792" t="s">
        <v>779</v>
      </c>
      <c r="E678" s="793" t="s">
        <v>662</v>
      </c>
      <c r="F678" s="793" t="s">
        <v>866</v>
      </c>
      <c r="G678" s="793" t="s">
        <v>813</v>
      </c>
      <c r="H678" s="793" t="s">
        <v>814</v>
      </c>
      <c r="I678" s="794">
        <v>0.45075249339129952</v>
      </c>
      <c r="J678" s="794">
        <v>611.29465070597132</v>
      </c>
      <c r="K678" s="771"/>
    </row>
    <row r="679" spans="1:11" ht="18.75" customHeight="1" outlineLevel="2">
      <c r="A679" s="791" t="s">
        <v>776</v>
      </c>
      <c r="B679" s="791" t="s">
        <v>1020</v>
      </c>
      <c r="C679" s="791" t="s">
        <v>1009</v>
      </c>
      <c r="D679" s="792" t="s">
        <v>779</v>
      </c>
      <c r="E679" s="793" t="s">
        <v>662</v>
      </c>
      <c r="F679" s="793" t="s">
        <v>867</v>
      </c>
      <c r="G679" s="793" t="s">
        <v>813</v>
      </c>
      <c r="H679" s="793" t="s">
        <v>814</v>
      </c>
      <c r="I679" s="794">
        <v>0.34970204186636311</v>
      </c>
      <c r="J679" s="794">
        <v>373.6829459755009</v>
      </c>
      <c r="K679" s="771"/>
    </row>
    <row r="680" spans="1:11" ht="18.75" customHeight="1" outlineLevel="2">
      <c r="A680" s="791" t="s">
        <v>776</v>
      </c>
      <c r="B680" s="791" t="s">
        <v>1020</v>
      </c>
      <c r="C680" s="791" t="s">
        <v>1009</v>
      </c>
      <c r="D680" s="792" t="s">
        <v>779</v>
      </c>
      <c r="E680" s="793" t="s">
        <v>662</v>
      </c>
      <c r="F680" s="793" t="s">
        <v>868</v>
      </c>
      <c r="G680" s="793" t="s">
        <v>813</v>
      </c>
      <c r="H680" s="793" t="s">
        <v>814</v>
      </c>
      <c r="I680" s="794">
        <v>0.28725179511836613</v>
      </c>
      <c r="J680" s="794">
        <v>362.59778305793361</v>
      </c>
      <c r="K680" s="771"/>
    </row>
    <row r="681" spans="1:11" ht="18.75" customHeight="1" outlineLevel="2">
      <c r="A681" s="791" t="s">
        <v>776</v>
      </c>
      <c r="B681" s="791" t="s">
        <v>1020</v>
      </c>
      <c r="C681" s="791" t="s">
        <v>1009</v>
      </c>
      <c r="D681" s="792" t="s">
        <v>779</v>
      </c>
      <c r="E681" s="793" t="s">
        <v>662</v>
      </c>
      <c r="F681" s="793" t="s">
        <v>869</v>
      </c>
      <c r="G681" s="793" t="s">
        <v>813</v>
      </c>
      <c r="H681" s="793" t="s">
        <v>814</v>
      </c>
      <c r="I681" s="794">
        <v>1.9050234448086685E-2</v>
      </c>
      <c r="J681" s="794">
        <v>24.138952316957955</v>
      </c>
      <c r="K681" s="771"/>
    </row>
    <row r="682" spans="1:11" ht="18.75" customHeight="1" outlineLevel="2">
      <c r="A682" s="791" t="s">
        <v>776</v>
      </c>
      <c r="B682" s="791" t="s">
        <v>1020</v>
      </c>
      <c r="C682" s="791" t="s">
        <v>1009</v>
      </c>
      <c r="D682" s="792" t="s">
        <v>779</v>
      </c>
      <c r="E682" s="793" t="s">
        <v>662</v>
      </c>
      <c r="F682" s="793" t="s">
        <v>870</v>
      </c>
      <c r="G682" s="793" t="s">
        <v>813</v>
      </c>
      <c r="H682" s="793" t="s">
        <v>814</v>
      </c>
      <c r="I682" s="794">
        <v>1.0007290229797475E-2</v>
      </c>
      <c r="J682" s="794">
        <v>14.159119851389333</v>
      </c>
      <c r="K682" s="771"/>
    </row>
    <row r="683" spans="1:11" ht="18.75" customHeight="1" outlineLevel="2">
      <c r="A683" s="791" t="s">
        <v>776</v>
      </c>
      <c r="B683" s="791" t="s">
        <v>1020</v>
      </c>
      <c r="C683" s="791" t="s">
        <v>1009</v>
      </c>
      <c r="D683" s="792" t="s">
        <v>779</v>
      </c>
      <c r="E683" s="793" t="s">
        <v>662</v>
      </c>
      <c r="F683" s="793" t="s">
        <v>871</v>
      </c>
      <c r="G683" s="793" t="s">
        <v>813</v>
      </c>
      <c r="H683" s="793" t="s">
        <v>814</v>
      </c>
      <c r="I683" s="794">
        <v>3.6281702990101874E-2</v>
      </c>
      <c r="J683" s="794">
        <v>46.051669604058347</v>
      </c>
      <c r="K683" s="771"/>
    </row>
    <row r="684" spans="1:11" ht="18.75" customHeight="1" outlineLevel="2">
      <c r="A684" s="791" t="s">
        <v>776</v>
      </c>
      <c r="B684" s="791" t="s">
        <v>1020</v>
      </c>
      <c r="C684" s="791" t="s">
        <v>1009</v>
      </c>
      <c r="D684" s="792" t="s">
        <v>779</v>
      </c>
      <c r="E684" s="793" t="s">
        <v>662</v>
      </c>
      <c r="F684" s="793" t="s">
        <v>872</v>
      </c>
      <c r="G684" s="793" t="s">
        <v>813</v>
      </c>
      <c r="H684" s="793" t="s">
        <v>814</v>
      </c>
      <c r="I684" s="794">
        <v>0.34200707004931208</v>
      </c>
      <c r="J684" s="794">
        <v>581.01397805557849</v>
      </c>
      <c r="K684" s="771"/>
    </row>
    <row r="685" spans="1:11" ht="18.75" customHeight="1" outlineLevel="2">
      <c r="A685" s="791" t="s">
        <v>776</v>
      </c>
      <c r="B685" s="791" t="s">
        <v>1020</v>
      </c>
      <c r="C685" s="791" t="s">
        <v>1009</v>
      </c>
      <c r="D685" s="792" t="s">
        <v>779</v>
      </c>
      <c r="E685" s="793" t="s">
        <v>662</v>
      </c>
      <c r="F685" s="793" t="s">
        <v>873</v>
      </c>
      <c r="G685" s="793" t="s">
        <v>813</v>
      </c>
      <c r="H685" s="793" t="s">
        <v>814</v>
      </c>
      <c r="I685" s="794">
        <v>0.92269406244238739</v>
      </c>
      <c r="J685" s="794">
        <v>491.46636092993697</v>
      </c>
      <c r="K685" s="771"/>
    </row>
    <row r="686" spans="1:11" ht="18.75" customHeight="1" outlineLevel="2">
      <c r="A686" s="791" t="s">
        <v>776</v>
      </c>
      <c r="B686" s="791" t="s">
        <v>1020</v>
      </c>
      <c r="C686" s="791" t="s">
        <v>1009</v>
      </c>
      <c r="D686" s="792" t="s">
        <v>779</v>
      </c>
      <c r="E686" s="793" t="s">
        <v>662</v>
      </c>
      <c r="F686" s="793" t="s">
        <v>874</v>
      </c>
      <c r="G686" s="793" t="s">
        <v>813</v>
      </c>
      <c r="H686" s="793" t="s">
        <v>814</v>
      </c>
      <c r="I686" s="794">
        <v>0.43160011372763324</v>
      </c>
      <c r="J686" s="794">
        <v>229.86169512525186</v>
      </c>
      <c r="K686" s="771"/>
    </row>
    <row r="687" spans="1:11" ht="18.75" customHeight="1" outlineLevel="2">
      <c r="A687" s="791" t="s">
        <v>776</v>
      </c>
      <c r="B687" s="791" t="s">
        <v>1020</v>
      </c>
      <c r="C687" s="791" t="s">
        <v>1009</v>
      </c>
      <c r="D687" s="792" t="s">
        <v>779</v>
      </c>
      <c r="E687" s="793" t="s">
        <v>662</v>
      </c>
      <c r="F687" s="793" t="s">
        <v>875</v>
      </c>
      <c r="G687" s="793" t="s">
        <v>813</v>
      </c>
      <c r="H687" s="793" t="s">
        <v>814</v>
      </c>
      <c r="I687" s="794">
        <v>0.60528803254602093</v>
      </c>
      <c r="J687" s="794">
        <v>881.98320684730618</v>
      </c>
      <c r="K687" s="771"/>
    </row>
    <row r="688" spans="1:11" ht="18.75" customHeight="1" outlineLevel="2">
      <c r="A688" s="791" t="s">
        <v>776</v>
      </c>
      <c r="B688" s="791" t="s">
        <v>1020</v>
      </c>
      <c r="C688" s="791" t="s">
        <v>1009</v>
      </c>
      <c r="D688" s="792" t="s">
        <v>779</v>
      </c>
      <c r="E688" s="793" t="s">
        <v>662</v>
      </c>
      <c r="F688" s="793" t="s">
        <v>876</v>
      </c>
      <c r="G688" s="793" t="s">
        <v>813</v>
      </c>
      <c r="H688" s="793" t="s">
        <v>814</v>
      </c>
      <c r="I688" s="794">
        <v>5.1476050222605416E-2</v>
      </c>
      <c r="J688" s="794">
        <v>77.664738910082988</v>
      </c>
      <c r="K688" s="771"/>
    </row>
    <row r="689" spans="1:11" ht="18.75" customHeight="1" outlineLevel="2">
      <c r="A689" s="791" t="s">
        <v>776</v>
      </c>
      <c r="B689" s="791" t="s">
        <v>1020</v>
      </c>
      <c r="C689" s="791" t="s">
        <v>1009</v>
      </c>
      <c r="D689" s="792" t="s">
        <v>779</v>
      </c>
      <c r="E689" s="793" t="s">
        <v>662</v>
      </c>
      <c r="F689" s="793" t="s">
        <v>877</v>
      </c>
      <c r="G689" s="793" t="s">
        <v>813</v>
      </c>
      <c r="H689" s="793" t="s">
        <v>814</v>
      </c>
      <c r="I689" s="794">
        <v>6.791457933978691E-2</v>
      </c>
      <c r="J689" s="794">
        <v>87.908808280977325</v>
      </c>
      <c r="K689" s="771"/>
    </row>
    <row r="690" spans="1:11" ht="18.75" customHeight="1" outlineLevel="2">
      <c r="A690" s="791" t="s">
        <v>776</v>
      </c>
      <c r="B690" s="791" t="s">
        <v>1020</v>
      </c>
      <c r="C690" s="791" t="s">
        <v>1009</v>
      </c>
      <c r="D690" s="792" t="s">
        <v>779</v>
      </c>
      <c r="E690" s="793" t="s">
        <v>662</v>
      </c>
      <c r="F690" s="793" t="s">
        <v>878</v>
      </c>
      <c r="G690" s="793" t="s">
        <v>813</v>
      </c>
      <c r="H690" s="793" t="s">
        <v>814</v>
      </c>
      <c r="I690" s="794">
        <v>3.465441787606157E-2</v>
      </c>
      <c r="J690" s="794">
        <v>41.738588400731466</v>
      </c>
      <c r="K690" s="771"/>
    </row>
    <row r="691" spans="1:11" ht="18.75" customHeight="1" outlineLevel="2">
      <c r="A691" s="791" t="s">
        <v>776</v>
      </c>
      <c r="B691" s="791" t="s">
        <v>1020</v>
      </c>
      <c r="C691" s="791" t="s">
        <v>1009</v>
      </c>
      <c r="D691" s="792" t="s">
        <v>779</v>
      </c>
      <c r="E691" s="793" t="s">
        <v>662</v>
      </c>
      <c r="F691" s="793" t="s">
        <v>879</v>
      </c>
      <c r="G691" s="793" t="s">
        <v>813</v>
      </c>
      <c r="H691" s="793" t="s">
        <v>814</v>
      </c>
      <c r="I691" s="794">
        <v>8.0949606085040067</v>
      </c>
      <c r="J691" s="794">
        <v>11822.267157484939</v>
      </c>
      <c r="K691" s="771"/>
    </row>
    <row r="692" spans="1:11" ht="18.75" customHeight="1" outlineLevel="2">
      <c r="A692" s="791" t="s">
        <v>776</v>
      </c>
      <c r="B692" s="791" t="s">
        <v>1020</v>
      </c>
      <c r="C692" s="791" t="s">
        <v>1009</v>
      </c>
      <c r="D692" s="792" t="s">
        <v>779</v>
      </c>
      <c r="E692" s="793" t="s">
        <v>662</v>
      </c>
      <c r="F692" s="793" t="s">
        <v>880</v>
      </c>
      <c r="G692" s="793" t="s">
        <v>813</v>
      </c>
      <c r="H692" s="793" t="s">
        <v>814</v>
      </c>
      <c r="I692" s="794">
        <v>0.69940402516791333</v>
      </c>
      <c r="J692" s="794">
        <v>1055.4669769116222</v>
      </c>
      <c r="K692" s="771"/>
    </row>
    <row r="693" spans="1:11" ht="18.75" customHeight="1" outlineLevel="2">
      <c r="A693" s="791" t="s">
        <v>776</v>
      </c>
      <c r="B693" s="791" t="s">
        <v>1020</v>
      </c>
      <c r="C693" s="791" t="s">
        <v>1009</v>
      </c>
      <c r="D693" s="792" t="s">
        <v>779</v>
      </c>
      <c r="E693" s="793" t="s">
        <v>662</v>
      </c>
      <c r="F693" s="793" t="s">
        <v>881</v>
      </c>
      <c r="G693" s="793" t="s">
        <v>813</v>
      </c>
      <c r="H693" s="793" t="s">
        <v>814</v>
      </c>
      <c r="I693" s="794">
        <v>7.8262060462321509E-2</v>
      </c>
      <c r="J693" s="794">
        <v>176.23540709153428</v>
      </c>
      <c r="K693" s="771"/>
    </row>
    <row r="694" spans="1:11" ht="18.75" customHeight="1" outlineLevel="2">
      <c r="A694" s="791" t="s">
        <v>776</v>
      </c>
      <c r="B694" s="791" t="s">
        <v>1020</v>
      </c>
      <c r="C694" s="791" t="s">
        <v>1009</v>
      </c>
      <c r="D694" s="792" t="s">
        <v>779</v>
      </c>
      <c r="E694" s="793" t="s">
        <v>662</v>
      </c>
      <c r="F694" s="793" t="s">
        <v>882</v>
      </c>
      <c r="G694" s="793" t="s">
        <v>813</v>
      </c>
      <c r="H694" s="793" t="s">
        <v>814</v>
      </c>
      <c r="I694" s="794">
        <v>2.1541988541794668</v>
      </c>
      <c r="J694" s="794">
        <v>3407.1154872048451</v>
      </c>
      <c r="K694" s="771"/>
    </row>
    <row r="695" spans="1:11" ht="18.75" customHeight="1" outlineLevel="2">
      <c r="A695" s="791" t="s">
        <v>776</v>
      </c>
      <c r="B695" s="791" t="s">
        <v>1020</v>
      </c>
      <c r="C695" s="791" t="s">
        <v>1009</v>
      </c>
      <c r="D695" s="792" t="s">
        <v>779</v>
      </c>
      <c r="E695" s="793" t="s">
        <v>662</v>
      </c>
      <c r="F695" s="793" t="s">
        <v>883</v>
      </c>
      <c r="G695" s="793" t="s">
        <v>813</v>
      </c>
      <c r="H695" s="793" t="s">
        <v>814</v>
      </c>
      <c r="I695" s="794">
        <v>0.36852910079338513</v>
      </c>
      <c r="J695" s="794">
        <v>420.23939556872216</v>
      </c>
      <c r="K695" s="771"/>
    </row>
    <row r="696" spans="1:11" ht="18.75" customHeight="1" outlineLevel="2">
      <c r="A696" s="791" t="s">
        <v>776</v>
      </c>
      <c r="B696" s="791" t="s">
        <v>1020</v>
      </c>
      <c r="C696" s="791" t="s">
        <v>1009</v>
      </c>
      <c r="D696" s="792" t="s">
        <v>779</v>
      </c>
      <c r="E696" s="793" t="s">
        <v>662</v>
      </c>
      <c r="F696" s="793" t="s">
        <v>884</v>
      </c>
      <c r="G696" s="793" t="s">
        <v>813</v>
      </c>
      <c r="H696" s="793" t="s">
        <v>814</v>
      </c>
      <c r="I696" s="794">
        <v>9.039921183635137E-2</v>
      </c>
      <c r="J696" s="794">
        <v>104.69496063246987</v>
      </c>
      <c r="K696" s="771"/>
    </row>
    <row r="697" spans="1:11" ht="18.75" customHeight="1" outlineLevel="2">
      <c r="A697" s="791" t="s">
        <v>776</v>
      </c>
      <c r="B697" s="791" t="s">
        <v>1020</v>
      </c>
      <c r="C697" s="791" t="s">
        <v>1009</v>
      </c>
      <c r="D697" s="792" t="s">
        <v>779</v>
      </c>
      <c r="E697" s="793" t="s">
        <v>662</v>
      </c>
      <c r="F697" s="793" t="s">
        <v>895</v>
      </c>
      <c r="G697" s="793" t="s">
        <v>794</v>
      </c>
      <c r="H697" s="793" t="s">
        <v>828</v>
      </c>
      <c r="I697" s="794">
        <v>4.127235802094714</v>
      </c>
      <c r="J697" s="794">
        <v>5720.5708846256603</v>
      </c>
      <c r="K697" s="771"/>
    </row>
    <row r="698" spans="1:11" ht="18.75" customHeight="1" outlineLevel="2">
      <c r="A698" s="791" t="s">
        <v>776</v>
      </c>
      <c r="B698" s="791" t="s">
        <v>1020</v>
      </c>
      <c r="C698" s="791" t="s">
        <v>1009</v>
      </c>
      <c r="D698" s="792" t="s">
        <v>779</v>
      </c>
      <c r="E698" s="793" t="s">
        <v>662</v>
      </c>
      <c r="F698" s="793" t="s">
        <v>896</v>
      </c>
      <c r="G698" s="793" t="s">
        <v>794</v>
      </c>
      <c r="H698" s="793" t="s">
        <v>828</v>
      </c>
      <c r="I698" s="794">
        <v>0.96942779046159766</v>
      </c>
      <c r="J698" s="794">
        <v>1431.2357138609946</v>
      </c>
      <c r="K698" s="771"/>
    </row>
    <row r="699" spans="1:11" ht="18.75" customHeight="1" outlineLevel="2">
      <c r="A699" s="791" t="s">
        <v>776</v>
      </c>
      <c r="B699" s="791" t="s">
        <v>1020</v>
      </c>
      <c r="C699" s="791" t="s">
        <v>1009</v>
      </c>
      <c r="D699" s="792" t="s">
        <v>779</v>
      </c>
      <c r="E699" s="793" t="s">
        <v>662</v>
      </c>
      <c r="F699" s="793" t="s">
        <v>897</v>
      </c>
      <c r="G699" s="793" t="s">
        <v>794</v>
      </c>
      <c r="H699" s="793" t="s">
        <v>828</v>
      </c>
      <c r="I699" s="794">
        <v>0.447219601214846</v>
      </c>
      <c r="J699" s="794">
        <v>756.79054420681541</v>
      </c>
      <c r="K699" s="771"/>
    </row>
    <row r="700" spans="1:11" ht="18.75" customHeight="1" outlineLevel="2">
      <c r="A700" s="791" t="s">
        <v>776</v>
      </c>
      <c r="B700" s="791" t="s">
        <v>1020</v>
      </c>
      <c r="C700" s="791" t="s">
        <v>1009</v>
      </c>
      <c r="D700" s="792" t="s">
        <v>779</v>
      </c>
      <c r="E700" s="793" t="s">
        <v>662</v>
      </c>
      <c r="F700" s="793" t="s">
        <v>898</v>
      </c>
      <c r="G700" s="793" t="s">
        <v>794</v>
      </c>
      <c r="H700" s="793" t="s">
        <v>828</v>
      </c>
      <c r="I700" s="794">
        <v>1.0304952408058472</v>
      </c>
      <c r="J700" s="794">
        <v>1626.8938708462547</v>
      </c>
      <c r="K700" s="771"/>
    </row>
    <row r="701" spans="1:11" ht="18.75" customHeight="1" outlineLevel="2">
      <c r="A701" s="791" t="s">
        <v>776</v>
      </c>
      <c r="B701" s="791" t="s">
        <v>1020</v>
      </c>
      <c r="C701" s="791" t="s">
        <v>1009</v>
      </c>
      <c r="D701" s="792" t="s">
        <v>779</v>
      </c>
      <c r="E701" s="793" t="s">
        <v>662</v>
      </c>
      <c r="F701" s="793" t="s">
        <v>899</v>
      </c>
      <c r="G701" s="793" t="s">
        <v>794</v>
      </c>
      <c r="H701" s="793" t="s">
        <v>828</v>
      </c>
      <c r="I701" s="794">
        <v>1.8153695857061793</v>
      </c>
      <c r="J701" s="794">
        <v>2570.4506652475598</v>
      </c>
      <c r="K701" s="771"/>
    </row>
    <row r="702" spans="1:11" ht="18.75" customHeight="1" outlineLevel="2">
      <c r="A702" s="791" t="s">
        <v>776</v>
      </c>
      <c r="B702" s="791" t="s">
        <v>1020</v>
      </c>
      <c r="C702" s="791" t="s">
        <v>1009</v>
      </c>
      <c r="D702" s="792" t="s">
        <v>779</v>
      </c>
      <c r="E702" s="793" t="s">
        <v>662</v>
      </c>
      <c r="F702" s="793" t="s">
        <v>900</v>
      </c>
      <c r="G702" s="793" t="s">
        <v>794</v>
      </c>
      <c r="H702" s="793" t="s">
        <v>828</v>
      </c>
      <c r="I702" s="794">
        <v>8.4101257331210516E-2</v>
      </c>
      <c r="J702" s="794">
        <v>120.60128230460913</v>
      </c>
      <c r="K702" s="771"/>
    </row>
    <row r="703" spans="1:11" ht="18.75" customHeight="1" outlineLevel="2">
      <c r="A703" s="791" t="s">
        <v>776</v>
      </c>
      <c r="B703" s="791" t="s">
        <v>1020</v>
      </c>
      <c r="C703" s="791" t="s">
        <v>1009</v>
      </c>
      <c r="D703" s="792" t="s">
        <v>779</v>
      </c>
      <c r="E703" s="793" t="s">
        <v>662</v>
      </c>
      <c r="F703" s="793" t="s">
        <v>1018</v>
      </c>
      <c r="G703" s="793" t="s">
        <v>785</v>
      </c>
      <c r="H703" s="793" t="s">
        <v>727</v>
      </c>
      <c r="I703" s="794">
        <v>8.7566814555132214E-3</v>
      </c>
      <c r="J703" s="794">
        <v>10.818214320540028</v>
      </c>
      <c r="K703" s="771"/>
    </row>
    <row r="704" spans="1:11" ht="18.75" customHeight="1" outlineLevel="2">
      <c r="A704" s="791" t="s">
        <v>776</v>
      </c>
      <c r="B704" s="791" t="s">
        <v>1020</v>
      </c>
      <c r="C704" s="791" t="s">
        <v>1009</v>
      </c>
      <c r="D704" s="792" t="s">
        <v>779</v>
      </c>
      <c r="E704" s="793" t="s">
        <v>662</v>
      </c>
      <c r="F704" s="793" t="s">
        <v>903</v>
      </c>
      <c r="G704" s="793" t="s">
        <v>904</v>
      </c>
      <c r="H704" s="793" t="s">
        <v>905</v>
      </c>
      <c r="I704" s="794">
        <v>1.7053868602308326</v>
      </c>
      <c r="J704" s="794">
        <v>1450.9747593065945</v>
      </c>
      <c r="K704" s="771"/>
    </row>
    <row r="705" spans="1:11" ht="18.75" customHeight="1" outlineLevel="2">
      <c r="A705" s="791" t="s">
        <v>776</v>
      </c>
      <c r="B705" s="791" t="s">
        <v>1020</v>
      </c>
      <c r="C705" s="791" t="s">
        <v>1009</v>
      </c>
      <c r="D705" s="792" t="s">
        <v>779</v>
      </c>
      <c r="E705" s="793" t="s">
        <v>662</v>
      </c>
      <c r="F705" s="793" t="s">
        <v>906</v>
      </c>
      <c r="G705" s="793" t="s">
        <v>904</v>
      </c>
      <c r="H705" s="793" t="s">
        <v>905</v>
      </c>
      <c r="I705" s="794">
        <v>0.71781888603068567</v>
      </c>
      <c r="J705" s="794">
        <v>612.37872820875577</v>
      </c>
      <c r="K705" s="771"/>
    </row>
    <row r="706" spans="1:11" ht="18.75" customHeight="1" outlineLevel="2">
      <c r="A706" s="791" t="s">
        <v>776</v>
      </c>
      <c r="B706" s="791" t="s">
        <v>1020</v>
      </c>
      <c r="C706" s="791" t="s">
        <v>1009</v>
      </c>
      <c r="D706" s="792" t="s">
        <v>779</v>
      </c>
      <c r="E706" s="793" t="s">
        <v>662</v>
      </c>
      <c r="F706" s="793" t="s">
        <v>907</v>
      </c>
      <c r="G706" s="793" t="s">
        <v>908</v>
      </c>
      <c r="H706" s="793" t="s">
        <v>905</v>
      </c>
      <c r="I706" s="794">
        <v>0.39952818436416204</v>
      </c>
      <c r="J706" s="794">
        <v>671.23351589814263</v>
      </c>
      <c r="K706" s="771"/>
    </row>
    <row r="707" spans="1:11" ht="18.75" customHeight="1" outlineLevel="2">
      <c r="A707" s="791" t="s">
        <v>776</v>
      </c>
      <c r="B707" s="791" t="s">
        <v>1020</v>
      </c>
      <c r="C707" s="791" t="s">
        <v>1009</v>
      </c>
      <c r="D707" s="792" t="s">
        <v>779</v>
      </c>
      <c r="E707" s="793" t="s">
        <v>662</v>
      </c>
      <c r="F707" s="793" t="s">
        <v>909</v>
      </c>
      <c r="G707" s="793" t="s">
        <v>910</v>
      </c>
      <c r="H707" s="793" t="s">
        <v>911</v>
      </c>
      <c r="I707" s="794">
        <v>4.933395936684069E-3</v>
      </c>
      <c r="J707" s="794">
        <v>7.3518979191002813</v>
      </c>
      <c r="K707" s="771"/>
    </row>
    <row r="708" spans="1:11" ht="18.75" customHeight="1" outlineLevel="2">
      <c r="A708" s="791" t="s">
        <v>776</v>
      </c>
      <c r="B708" s="791" t="s">
        <v>1020</v>
      </c>
      <c r="C708" s="791" t="s">
        <v>1009</v>
      </c>
      <c r="D708" s="792" t="s">
        <v>779</v>
      </c>
      <c r="E708" s="793" t="s">
        <v>763</v>
      </c>
      <c r="F708" s="793" t="s">
        <v>928</v>
      </c>
      <c r="G708" s="793" t="s">
        <v>785</v>
      </c>
      <c r="H708" s="793" t="s">
        <v>913</v>
      </c>
      <c r="I708" s="794">
        <v>7.2720635008178838E-2</v>
      </c>
      <c r="J708" s="794">
        <v>223.86254059254185</v>
      </c>
      <c r="K708" s="771"/>
    </row>
    <row r="709" spans="1:11" ht="18.75" customHeight="1" outlineLevel="2">
      <c r="A709" s="791" t="s">
        <v>776</v>
      </c>
      <c r="B709" s="791" t="s">
        <v>1020</v>
      </c>
      <c r="C709" s="791" t="s">
        <v>1009</v>
      </c>
      <c r="D709" s="792" t="s">
        <v>779</v>
      </c>
      <c r="E709" s="793" t="s">
        <v>763</v>
      </c>
      <c r="F709" s="793" t="s">
        <v>929</v>
      </c>
      <c r="G709" s="793" t="s">
        <v>785</v>
      </c>
      <c r="H709" s="793" t="s">
        <v>913</v>
      </c>
      <c r="I709" s="794">
        <v>1.4457352238549719</v>
      </c>
      <c r="J709" s="794">
        <v>20362.747001088239</v>
      </c>
      <c r="K709" s="771"/>
    </row>
    <row r="710" spans="1:11" ht="18.75" customHeight="1" outlineLevel="2">
      <c r="A710" s="791" t="s">
        <v>776</v>
      </c>
      <c r="B710" s="791" t="s">
        <v>1020</v>
      </c>
      <c r="C710" s="791" t="s">
        <v>1009</v>
      </c>
      <c r="D710" s="792" t="s">
        <v>779</v>
      </c>
      <c r="E710" s="793" t="s">
        <v>763</v>
      </c>
      <c r="F710" s="793" t="s">
        <v>930</v>
      </c>
      <c r="G710" s="793" t="s">
        <v>785</v>
      </c>
      <c r="H710" s="793" t="s">
        <v>913</v>
      </c>
      <c r="I710" s="794">
        <v>8.6071907072920451E-3</v>
      </c>
      <c r="J710" s="794">
        <v>151.69463961127877</v>
      </c>
      <c r="K710" s="771"/>
    </row>
    <row r="711" spans="1:11" ht="18.75" customHeight="1" outlineLevel="2">
      <c r="A711" s="791" t="s">
        <v>776</v>
      </c>
      <c r="B711" s="791" t="s">
        <v>1020</v>
      </c>
      <c r="C711" s="791" t="s">
        <v>1009</v>
      </c>
      <c r="D711" s="792" t="s">
        <v>779</v>
      </c>
      <c r="E711" s="793" t="s">
        <v>763</v>
      </c>
      <c r="F711" s="793" t="s">
        <v>931</v>
      </c>
      <c r="G711" s="793" t="s">
        <v>785</v>
      </c>
      <c r="H711" s="793" t="s">
        <v>913</v>
      </c>
      <c r="I711" s="794">
        <v>2.8792756189226503E-3</v>
      </c>
      <c r="J711" s="794">
        <v>47.84989734577632</v>
      </c>
      <c r="K711" s="771"/>
    </row>
    <row r="712" spans="1:11" ht="18.75" customHeight="1" outlineLevel="2">
      <c r="A712" s="791" t="s">
        <v>776</v>
      </c>
      <c r="B712" s="791" t="s">
        <v>1020</v>
      </c>
      <c r="C712" s="791" t="s">
        <v>1009</v>
      </c>
      <c r="D712" s="792" t="s">
        <v>779</v>
      </c>
      <c r="E712" s="793" t="s">
        <v>763</v>
      </c>
      <c r="F712" s="793" t="s">
        <v>932</v>
      </c>
      <c r="G712" s="793" t="s">
        <v>785</v>
      </c>
      <c r="H712" s="793" t="s">
        <v>913</v>
      </c>
      <c r="I712" s="794">
        <v>3.0743493673605284E-3</v>
      </c>
      <c r="J712" s="794">
        <v>11.817496666100894</v>
      </c>
      <c r="K712" s="771"/>
    </row>
    <row r="713" spans="1:11" ht="18.75" customHeight="1" outlineLevel="2">
      <c r="A713" s="791" t="s">
        <v>776</v>
      </c>
      <c r="B713" s="791" t="s">
        <v>1020</v>
      </c>
      <c r="C713" s="791" t="s">
        <v>1009</v>
      </c>
      <c r="D713" s="792" t="s">
        <v>779</v>
      </c>
      <c r="E713" s="793" t="s">
        <v>763</v>
      </c>
      <c r="F713" s="793" t="s">
        <v>933</v>
      </c>
      <c r="G713" s="793" t="s">
        <v>785</v>
      </c>
      <c r="H713" s="793" t="s">
        <v>913</v>
      </c>
      <c r="I713" s="794">
        <v>4.3152300276840605E-3</v>
      </c>
      <c r="J713" s="794">
        <v>93.981854872527265</v>
      </c>
      <c r="K713" s="771"/>
    </row>
    <row r="714" spans="1:11" ht="18.75" customHeight="1" outlineLevel="2">
      <c r="A714" s="791" t="s">
        <v>776</v>
      </c>
      <c r="B714" s="791" t="s">
        <v>1020</v>
      </c>
      <c r="C714" s="791" t="s">
        <v>1009</v>
      </c>
      <c r="D714" s="792" t="s">
        <v>779</v>
      </c>
      <c r="E714" s="793" t="s">
        <v>763</v>
      </c>
      <c r="F714" s="793" t="s">
        <v>934</v>
      </c>
      <c r="G714" s="793" t="s">
        <v>813</v>
      </c>
      <c r="H714" s="793" t="s">
        <v>913</v>
      </c>
      <c r="I714" s="794">
        <v>3.8330813929808773E-3</v>
      </c>
      <c r="J714" s="794">
        <v>58.087665231860548</v>
      </c>
      <c r="K714" s="771"/>
    </row>
    <row r="715" spans="1:11" ht="18.75" customHeight="1" outlineLevel="2">
      <c r="A715" s="791" t="s">
        <v>776</v>
      </c>
      <c r="B715" s="791" t="s">
        <v>1020</v>
      </c>
      <c r="C715" s="791" t="s">
        <v>1009</v>
      </c>
      <c r="D715" s="792" t="s">
        <v>779</v>
      </c>
      <c r="E715" s="793" t="s">
        <v>763</v>
      </c>
      <c r="F715" s="793" t="s">
        <v>937</v>
      </c>
      <c r="G715" s="793" t="s">
        <v>794</v>
      </c>
      <c r="H715" s="793" t="s">
        <v>913</v>
      </c>
      <c r="I715" s="794">
        <v>0.22390135760118213</v>
      </c>
      <c r="J715" s="794">
        <v>549.75005949181832</v>
      </c>
      <c r="K715" s="771"/>
    </row>
    <row r="716" spans="1:11" ht="18.75" customHeight="1" outlineLevel="2">
      <c r="A716" s="791" t="s">
        <v>776</v>
      </c>
      <c r="B716" s="791" t="s">
        <v>1020</v>
      </c>
      <c r="C716" s="791" t="s">
        <v>1009</v>
      </c>
      <c r="D716" s="792" t="s">
        <v>779</v>
      </c>
      <c r="E716" s="793" t="s">
        <v>763</v>
      </c>
      <c r="F716" s="793" t="s">
        <v>938</v>
      </c>
      <c r="G716" s="793" t="s">
        <v>794</v>
      </c>
      <c r="H716" s="793" t="s">
        <v>913</v>
      </c>
      <c r="I716" s="794">
        <v>2.6345650557013798E-2</v>
      </c>
      <c r="J716" s="794">
        <v>120.33336927388561</v>
      </c>
      <c r="K716" s="771"/>
    </row>
    <row r="717" spans="1:11" ht="18.75" customHeight="1" outlineLevel="2">
      <c r="A717" s="791" t="s">
        <v>776</v>
      </c>
      <c r="B717" s="791" t="s">
        <v>1020</v>
      </c>
      <c r="C717" s="791" t="s">
        <v>1009</v>
      </c>
      <c r="D717" s="792" t="s">
        <v>779</v>
      </c>
      <c r="E717" s="793" t="s">
        <v>763</v>
      </c>
      <c r="F717" s="793" t="s">
        <v>939</v>
      </c>
      <c r="G717" s="793" t="s">
        <v>794</v>
      </c>
      <c r="H717" s="793" t="s">
        <v>913</v>
      </c>
      <c r="I717" s="794">
        <v>1.3736855650638442E-2</v>
      </c>
      <c r="J717" s="794">
        <v>140.51016038043201</v>
      </c>
      <c r="K717" s="771"/>
    </row>
    <row r="718" spans="1:11" ht="18.75" customHeight="1" outlineLevel="2">
      <c r="A718" s="791" t="s">
        <v>776</v>
      </c>
      <c r="B718" s="791" t="s">
        <v>1020</v>
      </c>
      <c r="C718" s="791" t="s">
        <v>1009</v>
      </c>
      <c r="D718" s="792" t="s">
        <v>779</v>
      </c>
      <c r="E718" s="793" t="s">
        <v>763</v>
      </c>
      <c r="F718" s="793" t="s">
        <v>940</v>
      </c>
      <c r="G718" s="793" t="s">
        <v>794</v>
      </c>
      <c r="H718" s="793" t="s">
        <v>913</v>
      </c>
      <c r="I718" s="794">
        <v>2.2741277272547208E-2</v>
      </c>
      <c r="J718" s="794">
        <v>174.63356689146781</v>
      </c>
      <c r="K718" s="771"/>
    </row>
    <row r="719" spans="1:11" ht="18.75" customHeight="1" outlineLevel="2">
      <c r="A719" s="791" t="s">
        <v>776</v>
      </c>
      <c r="B719" s="791" t="s">
        <v>1020</v>
      </c>
      <c r="C719" s="791" t="s">
        <v>1009</v>
      </c>
      <c r="D719" s="792" t="s">
        <v>779</v>
      </c>
      <c r="E719" s="793" t="s">
        <v>763</v>
      </c>
      <c r="F719" s="793" t="s">
        <v>941</v>
      </c>
      <c r="G719" s="793" t="s">
        <v>794</v>
      </c>
      <c r="H719" s="793" t="s">
        <v>913</v>
      </c>
      <c r="I719" s="794">
        <v>7.8721567667237348E-4</v>
      </c>
      <c r="J719" s="794">
        <v>2.3751126785930929</v>
      </c>
      <c r="K719" s="771"/>
    </row>
    <row r="720" spans="1:11" ht="18.75" customHeight="1" outlineLevel="2">
      <c r="A720" s="791" t="s">
        <v>776</v>
      </c>
      <c r="B720" s="791" t="s">
        <v>1020</v>
      </c>
      <c r="C720" s="791" t="s">
        <v>1009</v>
      </c>
      <c r="D720" s="792" t="s">
        <v>779</v>
      </c>
      <c r="E720" s="793" t="s">
        <v>763</v>
      </c>
      <c r="F720" s="793" t="s">
        <v>942</v>
      </c>
      <c r="G720" s="793" t="s">
        <v>794</v>
      </c>
      <c r="H720" s="793" t="s">
        <v>913</v>
      </c>
      <c r="I720" s="794">
        <v>1.8660786710614696E-4</v>
      </c>
      <c r="J720" s="794">
        <v>2.1563971162462683</v>
      </c>
      <c r="K720" s="771"/>
    </row>
    <row r="721" spans="1:11" ht="18.75" customHeight="1" outlineLevel="2">
      <c r="A721" s="791" t="s">
        <v>776</v>
      </c>
      <c r="B721" s="791" t="s">
        <v>1020</v>
      </c>
      <c r="C721" s="791" t="s">
        <v>1009</v>
      </c>
      <c r="D721" s="792" t="s">
        <v>779</v>
      </c>
      <c r="E721" s="793" t="s">
        <v>763</v>
      </c>
      <c r="F721" s="793" t="s">
        <v>943</v>
      </c>
      <c r="G721" s="793" t="s">
        <v>944</v>
      </c>
      <c r="H721" s="793" t="s">
        <v>913</v>
      </c>
      <c r="I721" s="794">
        <v>5.1655843853110339E-5</v>
      </c>
      <c r="J721" s="794">
        <v>0.2231707998139377</v>
      </c>
      <c r="K721" s="771"/>
    </row>
    <row r="722" spans="1:11" ht="18.75" customHeight="1" outlineLevel="2">
      <c r="A722" s="791" t="s">
        <v>776</v>
      </c>
      <c r="B722" s="791" t="s">
        <v>1020</v>
      </c>
      <c r="C722" s="791" t="s">
        <v>1009</v>
      </c>
      <c r="D722" s="792" t="s">
        <v>779</v>
      </c>
      <c r="E722" s="793" t="s">
        <v>764</v>
      </c>
      <c r="F722" s="793" t="s">
        <v>945</v>
      </c>
      <c r="G722" s="793" t="s">
        <v>244</v>
      </c>
      <c r="H722" s="793" t="s">
        <v>905</v>
      </c>
      <c r="I722" s="794">
        <v>1.4171411477082441E-2</v>
      </c>
      <c r="J722" s="794">
        <v>510.04016097961664</v>
      </c>
      <c r="K722" s="771"/>
    </row>
    <row r="723" spans="1:11" ht="18.75" customHeight="1" outlineLevel="2">
      <c r="A723" s="791" t="s">
        <v>776</v>
      </c>
      <c r="B723" s="791" t="s">
        <v>1020</v>
      </c>
      <c r="C723" s="791" t="s">
        <v>1009</v>
      </c>
      <c r="D723" s="792" t="s">
        <v>779</v>
      </c>
      <c r="E723" s="793" t="s">
        <v>764</v>
      </c>
      <c r="F723" s="793" t="s">
        <v>946</v>
      </c>
      <c r="G723" s="793" t="s">
        <v>244</v>
      </c>
      <c r="H723" s="793" t="s">
        <v>905</v>
      </c>
      <c r="I723" s="794">
        <v>1.5135389527572409E-4</v>
      </c>
      <c r="J723" s="794">
        <v>2.8710966923012271</v>
      </c>
      <c r="K723" s="771"/>
    </row>
    <row r="724" spans="1:11" ht="18.75" customHeight="1" outlineLevel="2">
      <c r="A724" s="791" t="s">
        <v>776</v>
      </c>
      <c r="B724" s="791" t="s">
        <v>1020</v>
      </c>
      <c r="C724" s="791" t="s">
        <v>1009</v>
      </c>
      <c r="D724" s="792" t="s">
        <v>779</v>
      </c>
      <c r="E724" s="793" t="s">
        <v>947</v>
      </c>
      <c r="F724" s="793" t="s">
        <v>974</v>
      </c>
      <c r="G724" s="793" t="s">
        <v>785</v>
      </c>
      <c r="H724" s="793" t="s">
        <v>727</v>
      </c>
      <c r="I724" s="794">
        <v>1.513071791409454E-2</v>
      </c>
      <c r="J724" s="794">
        <v>366.05225928286319</v>
      </c>
      <c r="K724" s="771"/>
    </row>
    <row r="725" spans="1:11" ht="18.75" customHeight="1" outlineLevel="2">
      <c r="A725" s="791" t="s">
        <v>776</v>
      </c>
      <c r="B725" s="791" t="s">
        <v>1020</v>
      </c>
      <c r="C725" s="791" t="s">
        <v>1009</v>
      </c>
      <c r="D725" s="792" t="s">
        <v>779</v>
      </c>
      <c r="E725" s="793" t="s">
        <v>947</v>
      </c>
      <c r="F725" s="793" t="s">
        <v>975</v>
      </c>
      <c r="G725" s="793" t="s">
        <v>785</v>
      </c>
      <c r="H725" s="793" t="s">
        <v>727</v>
      </c>
      <c r="I725" s="794">
        <v>7.530001815706544E-2</v>
      </c>
      <c r="J725" s="794">
        <v>5310.5404573267933</v>
      </c>
      <c r="K725" s="771"/>
    </row>
    <row r="726" spans="1:11" ht="18.75" customHeight="1" outlineLevel="2">
      <c r="A726" s="791" t="s">
        <v>776</v>
      </c>
      <c r="B726" s="791" t="s">
        <v>1020</v>
      </c>
      <c r="C726" s="791" t="s">
        <v>1009</v>
      </c>
      <c r="D726" s="792" t="s">
        <v>779</v>
      </c>
      <c r="E726" s="793" t="s">
        <v>947</v>
      </c>
      <c r="F726" s="793" t="s">
        <v>976</v>
      </c>
      <c r="G726" s="793" t="s">
        <v>785</v>
      </c>
      <c r="H726" s="793" t="s">
        <v>727</v>
      </c>
      <c r="I726" s="794">
        <v>4.423478896871158E-2</v>
      </c>
      <c r="J726" s="794">
        <v>2319.5347671288619</v>
      </c>
      <c r="K726" s="771"/>
    </row>
    <row r="727" spans="1:11" ht="18.75" customHeight="1" outlineLevel="2">
      <c r="A727" s="791" t="s">
        <v>776</v>
      </c>
      <c r="B727" s="791" t="s">
        <v>1020</v>
      </c>
      <c r="C727" s="791" t="s">
        <v>1009</v>
      </c>
      <c r="D727" s="792" t="s">
        <v>779</v>
      </c>
      <c r="E727" s="793" t="s">
        <v>947</v>
      </c>
      <c r="F727" s="793" t="s">
        <v>977</v>
      </c>
      <c r="G727" s="793" t="s">
        <v>785</v>
      </c>
      <c r="H727" s="793" t="s">
        <v>727</v>
      </c>
      <c r="I727" s="794">
        <v>5.235967287712593E-2</v>
      </c>
      <c r="J727" s="794">
        <v>2352.0990114787924</v>
      </c>
      <c r="K727" s="771"/>
    </row>
    <row r="728" spans="1:11" ht="18.75" customHeight="1" outlineLevel="2">
      <c r="A728" s="791" t="s">
        <v>776</v>
      </c>
      <c r="B728" s="791" t="s">
        <v>1020</v>
      </c>
      <c r="C728" s="791" t="s">
        <v>1009</v>
      </c>
      <c r="D728" s="792" t="s">
        <v>779</v>
      </c>
      <c r="E728" s="793" t="s">
        <v>947</v>
      </c>
      <c r="F728" s="793" t="s">
        <v>978</v>
      </c>
      <c r="G728" s="793" t="s">
        <v>785</v>
      </c>
      <c r="H728" s="793" t="s">
        <v>727</v>
      </c>
      <c r="I728" s="794">
        <v>3.3162229356839381E-3</v>
      </c>
      <c r="J728" s="794">
        <v>90.711443291637835</v>
      </c>
      <c r="K728" s="771"/>
    </row>
    <row r="729" spans="1:11" ht="18.75" customHeight="1" outlineLevel="2">
      <c r="A729" s="791" t="s">
        <v>776</v>
      </c>
      <c r="B729" s="791" t="s">
        <v>1020</v>
      </c>
      <c r="C729" s="791" t="s">
        <v>1009</v>
      </c>
      <c r="D729" s="792" t="s">
        <v>779</v>
      </c>
      <c r="E729" s="793" t="s">
        <v>947</v>
      </c>
      <c r="F729" s="793" t="s">
        <v>979</v>
      </c>
      <c r="G729" s="793" t="s">
        <v>785</v>
      </c>
      <c r="H729" s="793" t="s">
        <v>727</v>
      </c>
      <c r="I729" s="794">
        <v>0.3407741983667576</v>
      </c>
      <c r="J729" s="794">
        <v>11200.016254252751</v>
      </c>
      <c r="K729" s="771"/>
    </row>
    <row r="730" spans="1:11" ht="18.75" customHeight="1" outlineLevel="2">
      <c r="A730" s="791" t="s">
        <v>776</v>
      </c>
      <c r="B730" s="791" t="s">
        <v>1020</v>
      </c>
      <c r="C730" s="791" t="s">
        <v>1009</v>
      </c>
      <c r="D730" s="792" t="s">
        <v>779</v>
      </c>
      <c r="E730" s="793" t="s">
        <v>947</v>
      </c>
      <c r="F730" s="793" t="s">
        <v>980</v>
      </c>
      <c r="G730" s="793" t="s">
        <v>785</v>
      </c>
      <c r="H730" s="793" t="s">
        <v>727</v>
      </c>
      <c r="I730" s="794">
        <v>4.128730827234639E-2</v>
      </c>
      <c r="J730" s="794">
        <v>3347.0426473507255</v>
      </c>
      <c r="K730" s="771"/>
    </row>
    <row r="731" spans="1:11" ht="18.75" customHeight="1" outlineLevel="2">
      <c r="A731" s="791" t="s">
        <v>776</v>
      </c>
      <c r="B731" s="791" t="s">
        <v>1020</v>
      </c>
      <c r="C731" s="791" t="s">
        <v>1009</v>
      </c>
      <c r="D731" s="792" t="s">
        <v>779</v>
      </c>
      <c r="E731" s="793" t="s">
        <v>947</v>
      </c>
      <c r="F731" s="793" t="s">
        <v>981</v>
      </c>
      <c r="G731" s="793" t="s">
        <v>813</v>
      </c>
      <c r="H731" s="793" t="s">
        <v>814</v>
      </c>
      <c r="I731" s="794">
        <v>2.72118746104949E-6</v>
      </c>
      <c r="J731" s="794">
        <v>6.82035288492642E-2</v>
      </c>
      <c r="K731" s="771"/>
    </row>
    <row r="732" spans="1:11" ht="18.75" customHeight="1" outlineLevel="2">
      <c r="A732" s="791" t="s">
        <v>776</v>
      </c>
      <c r="B732" s="791" t="s">
        <v>1020</v>
      </c>
      <c r="C732" s="791" t="s">
        <v>1009</v>
      </c>
      <c r="D732" s="792" t="s">
        <v>779</v>
      </c>
      <c r="E732" s="793" t="s">
        <v>947</v>
      </c>
      <c r="F732" s="793" t="s">
        <v>982</v>
      </c>
      <c r="G732" s="793" t="s">
        <v>813</v>
      </c>
      <c r="H732" s="793" t="s">
        <v>814</v>
      </c>
      <c r="I732" s="794">
        <v>3.1982040327565285E-4</v>
      </c>
      <c r="J732" s="794">
        <v>17.915029682343913</v>
      </c>
      <c r="K732" s="771"/>
    </row>
    <row r="733" spans="1:11" ht="18.75" customHeight="1" outlineLevel="2">
      <c r="A733" s="791" t="s">
        <v>776</v>
      </c>
      <c r="B733" s="791" t="s">
        <v>1020</v>
      </c>
      <c r="C733" s="791" t="s">
        <v>1009</v>
      </c>
      <c r="D733" s="792" t="s">
        <v>779</v>
      </c>
      <c r="E733" s="793" t="s">
        <v>947</v>
      </c>
      <c r="F733" s="793" t="s">
        <v>983</v>
      </c>
      <c r="G733" s="793" t="s">
        <v>813</v>
      </c>
      <c r="H733" s="793" t="s">
        <v>814</v>
      </c>
      <c r="I733" s="794">
        <v>2.1520901202761952E-2</v>
      </c>
      <c r="J733" s="794">
        <v>478.08988959337609</v>
      </c>
      <c r="K733" s="771"/>
    </row>
    <row r="734" spans="1:11" ht="18.75" customHeight="1" outlineLevel="2">
      <c r="A734" s="791" t="s">
        <v>776</v>
      </c>
      <c r="B734" s="791" t="s">
        <v>1020</v>
      </c>
      <c r="C734" s="791" t="s">
        <v>1009</v>
      </c>
      <c r="D734" s="792" t="s">
        <v>779</v>
      </c>
      <c r="E734" s="793" t="s">
        <v>947</v>
      </c>
      <c r="F734" s="793" t="s">
        <v>984</v>
      </c>
      <c r="G734" s="793" t="s">
        <v>813</v>
      </c>
      <c r="H734" s="793" t="s">
        <v>814</v>
      </c>
      <c r="I734" s="794">
        <v>5.6596139045449094E-3</v>
      </c>
      <c r="J734" s="794">
        <v>98.692976166788029</v>
      </c>
      <c r="K734" s="771"/>
    </row>
    <row r="735" spans="1:11" ht="18.75" customHeight="1" outlineLevel="2">
      <c r="A735" s="791" t="s">
        <v>776</v>
      </c>
      <c r="B735" s="791" t="s">
        <v>1020</v>
      </c>
      <c r="C735" s="791" t="s">
        <v>1009</v>
      </c>
      <c r="D735" s="792" t="s">
        <v>779</v>
      </c>
      <c r="E735" s="793" t="s">
        <v>947</v>
      </c>
      <c r="F735" s="793" t="s">
        <v>985</v>
      </c>
      <c r="G735" s="793" t="s">
        <v>813</v>
      </c>
      <c r="H735" s="793" t="s">
        <v>814</v>
      </c>
      <c r="I735" s="794">
        <v>1.3377108932948703E-2</v>
      </c>
      <c r="J735" s="794">
        <v>651.73189488666071</v>
      </c>
      <c r="K735" s="771"/>
    </row>
    <row r="736" spans="1:11" ht="18.75" customHeight="1" outlineLevel="2">
      <c r="A736" s="791" t="s">
        <v>776</v>
      </c>
      <c r="B736" s="791" t="s">
        <v>1020</v>
      </c>
      <c r="C736" s="791" t="s">
        <v>1009</v>
      </c>
      <c r="D736" s="792" t="s">
        <v>779</v>
      </c>
      <c r="E736" s="793" t="s">
        <v>947</v>
      </c>
      <c r="F736" s="793" t="s">
        <v>986</v>
      </c>
      <c r="G736" s="793" t="s">
        <v>813</v>
      </c>
      <c r="H736" s="793" t="s">
        <v>814</v>
      </c>
      <c r="I736" s="794">
        <v>2.2941172603968525E-3</v>
      </c>
      <c r="J736" s="794">
        <v>76.790431337239724</v>
      </c>
      <c r="K736" s="771"/>
    </row>
    <row r="737" spans="1:11" ht="18.75" customHeight="1" outlineLevel="2">
      <c r="A737" s="791" t="s">
        <v>776</v>
      </c>
      <c r="B737" s="791" t="s">
        <v>1020</v>
      </c>
      <c r="C737" s="791" t="s">
        <v>1009</v>
      </c>
      <c r="D737" s="792" t="s">
        <v>779</v>
      </c>
      <c r="E737" s="793" t="s">
        <v>947</v>
      </c>
      <c r="F737" s="793" t="s">
        <v>987</v>
      </c>
      <c r="G737" s="793" t="s">
        <v>813</v>
      </c>
      <c r="H737" s="793" t="s">
        <v>814</v>
      </c>
      <c r="I737" s="794">
        <v>6.4498787688683734E-5</v>
      </c>
      <c r="J737" s="794">
        <v>1.9498773276562757</v>
      </c>
      <c r="K737" s="771"/>
    </row>
    <row r="738" spans="1:11" ht="18.75" customHeight="1" outlineLevel="2">
      <c r="A738" s="791" t="s">
        <v>776</v>
      </c>
      <c r="B738" s="791" t="s">
        <v>1020</v>
      </c>
      <c r="C738" s="791" t="s">
        <v>1009</v>
      </c>
      <c r="D738" s="792" t="s">
        <v>779</v>
      </c>
      <c r="E738" s="793" t="s">
        <v>947</v>
      </c>
      <c r="F738" s="793" t="s">
        <v>998</v>
      </c>
      <c r="G738" s="793" t="s">
        <v>794</v>
      </c>
      <c r="H738" s="793" t="s">
        <v>828</v>
      </c>
      <c r="I738" s="794">
        <v>0.11432260831218061</v>
      </c>
      <c r="J738" s="794">
        <v>4180.4315169952461</v>
      </c>
      <c r="K738" s="771"/>
    </row>
    <row r="739" spans="1:11" ht="18.75" customHeight="1" outlineLevel="2">
      <c r="A739" s="791" t="s">
        <v>776</v>
      </c>
      <c r="B739" s="791" t="s">
        <v>1020</v>
      </c>
      <c r="C739" s="791" t="s">
        <v>1009</v>
      </c>
      <c r="D739" s="792" t="s">
        <v>779</v>
      </c>
      <c r="E739" s="793" t="s">
        <v>947</v>
      </c>
      <c r="F739" s="793" t="s">
        <v>999</v>
      </c>
      <c r="G739" s="793" t="s">
        <v>794</v>
      </c>
      <c r="H739" s="793" t="s">
        <v>828</v>
      </c>
      <c r="I739" s="794">
        <v>2.6960788602569834E-2</v>
      </c>
      <c r="J739" s="794">
        <v>986.6580445548534</v>
      </c>
      <c r="K739" s="771"/>
    </row>
    <row r="740" spans="1:11" ht="18.75" customHeight="1" outlineLevel="2">
      <c r="A740" s="791" t="s">
        <v>776</v>
      </c>
      <c r="B740" s="791" t="s">
        <v>1020</v>
      </c>
      <c r="C740" s="791" t="s">
        <v>1009</v>
      </c>
      <c r="D740" s="792" t="s">
        <v>779</v>
      </c>
      <c r="E740" s="793" t="s">
        <v>947</v>
      </c>
      <c r="F740" s="793" t="s">
        <v>1000</v>
      </c>
      <c r="G740" s="793" t="s">
        <v>794</v>
      </c>
      <c r="H740" s="793" t="s">
        <v>828</v>
      </c>
      <c r="I740" s="794">
        <v>7.5667608849399187E-2</v>
      </c>
      <c r="J740" s="794">
        <v>2737.3624018949458</v>
      </c>
      <c r="K740" s="771"/>
    </row>
    <row r="741" spans="1:11" ht="18.75" customHeight="1" outlineLevel="2">
      <c r="A741" s="791" t="s">
        <v>776</v>
      </c>
      <c r="B741" s="791" t="s">
        <v>1020</v>
      </c>
      <c r="C741" s="791" t="s">
        <v>1009</v>
      </c>
      <c r="D741" s="792" t="s">
        <v>779</v>
      </c>
      <c r="E741" s="793" t="s">
        <v>947</v>
      </c>
      <c r="F741" s="793" t="s">
        <v>1001</v>
      </c>
      <c r="G741" s="793" t="s">
        <v>794</v>
      </c>
      <c r="H741" s="793" t="s">
        <v>828</v>
      </c>
      <c r="I741" s="794">
        <v>6.3894968873521737E-2</v>
      </c>
      <c r="J741" s="794">
        <v>1389.8425518939443</v>
      </c>
      <c r="K741" s="771"/>
    </row>
    <row r="742" spans="1:11" ht="18.75" customHeight="1" outlineLevel="2">
      <c r="A742" s="791" t="s">
        <v>776</v>
      </c>
      <c r="B742" s="791" t="s">
        <v>1020</v>
      </c>
      <c r="C742" s="791" t="s">
        <v>1009</v>
      </c>
      <c r="D742" s="792" t="s">
        <v>779</v>
      </c>
      <c r="E742" s="793" t="s">
        <v>947</v>
      </c>
      <c r="F742" s="793" t="s">
        <v>1002</v>
      </c>
      <c r="G742" s="793" t="s">
        <v>794</v>
      </c>
      <c r="H742" s="793" t="s">
        <v>828</v>
      </c>
      <c r="I742" s="794">
        <v>3.1784169227234687E-3</v>
      </c>
      <c r="J742" s="794">
        <v>133.66798911816991</v>
      </c>
      <c r="K742" s="771"/>
    </row>
    <row r="743" spans="1:11" ht="18.75" customHeight="1" outlineLevel="2">
      <c r="A743" s="791" t="s">
        <v>776</v>
      </c>
      <c r="B743" s="791" t="s">
        <v>1020</v>
      </c>
      <c r="C743" s="791" t="s">
        <v>1009</v>
      </c>
      <c r="D743" s="792" t="s">
        <v>779</v>
      </c>
      <c r="E743" s="793" t="s">
        <v>947</v>
      </c>
      <c r="F743" s="793" t="s">
        <v>1003</v>
      </c>
      <c r="G743" s="793" t="s">
        <v>794</v>
      </c>
      <c r="H743" s="793" t="s">
        <v>828</v>
      </c>
      <c r="I743" s="794">
        <v>3.6770655416606388E-3</v>
      </c>
      <c r="J743" s="794">
        <v>118.30687592031657</v>
      </c>
      <c r="K743" s="771"/>
    </row>
    <row r="744" spans="1:11" ht="18.75" customHeight="1" outlineLevel="2">
      <c r="A744" s="791" t="s">
        <v>776</v>
      </c>
      <c r="B744" s="791" t="s">
        <v>1020</v>
      </c>
      <c r="C744" s="791" t="s">
        <v>1009</v>
      </c>
      <c r="D744" s="792" t="s">
        <v>779</v>
      </c>
      <c r="E744" s="793" t="s">
        <v>947</v>
      </c>
      <c r="F744" s="793" t="s">
        <v>1019</v>
      </c>
      <c r="G744" s="793" t="s">
        <v>785</v>
      </c>
      <c r="H744" s="793" t="s">
        <v>727</v>
      </c>
      <c r="I744" s="794">
        <v>4.6144460379188238E-3</v>
      </c>
      <c r="J744" s="794">
        <v>146.586178390974</v>
      </c>
      <c r="K744" s="771"/>
    </row>
    <row r="745" spans="1:11" ht="18.75" customHeight="1" outlineLevel="2">
      <c r="A745" s="791" t="s">
        <v>776</v>
      </c>
      <c r="B745" s="791" t="s">
        <v>1020</v>
      </c>
      <c r="C745" s="791" t="s">
        <v>1009</v>
      </c>
      <c r="D745" s="792" t="s">
        <v>779</v>
      </c>
      <c r="E745" s="793" t="s">
        <v>947</v>
      </c>
      <c r="F745" s="793" t="s">
        <v>1007</v>
      </c>
      <c r="G745" s="793" t="s">
        <v>244</v>
      </c>
      <c r="H745" s="793" t="s">
        <v>911</v>
      </c>
      <c r="I745" s="794">
        <v>5.5795972814423325E-3</v>
      </c>
      <c r="J745" s="794">
        <v>124.39247823047201</v>
      </c>
      <c r="K745" s="771"/>
    </row>
    <row r="746" spans="1:11" ht="18.75" customHeight="1" outlineLevel="2">
      <c r="A746" s="791" t="s">
        <v>776</v>
      </c>
      <c r="B746" s="791" t="s">
        <v>1021</v>
      </c>
      <c r="C746" s="791" t="s">
        <v>1022</v>
      </c>
      <c r="D746" s="792" t="s">
        <v>779</v>
      </c>
      <c r="E746" s="793" t="s">
        <v>780</v>
      </c>
      <c r="F746" s="793" t="s">
        <v>781</v>
      </c>
      <c r="G746" s="793" t="s">
        <v>782</v>
      </c>
      <c r="H746" s="793" t="s">
        <v>783</v>
      </c>
      <c r="I746" s="794">
        <v>4.5986505969874691E-3</v>
      </c>
      <c r="J746" s="794">
        <v>6.7647216981859909E-2</v>
      </c>
      <c r="K746" s="771"/>
    </row>
    <row r="747" spans="1:11" ht="18.75" customHeight="1" outlineLevel="2">
      <c r="A747" s="791" t="s">
        <v>776</v>
      </c>
      <c r="B747" s="791" t="s">
        <v>1021</v>
      </c>
      <c r="C747" s="791" t="s">
        <v>1022</v>
      </c>
      <c r="D747" s="792" t="s">
        <v>779</v>
      </c>
      <c r="E747" s="793" t="s">
        <v>780</v>
      </c>
      <c r="F747" s="793" t="s">
        <v>784</v>
      </c>
      <c r="G747" s="793" t="s">
        <v>785</v>
      </c>
      <c r="H747" s="793" t="s">
        <v>783</v>
      </c>
      <c r="I747" s="794">
        <v>0.2968003696196263</v>
      </c>
      <c r="J747" s="794">
        <v>48.198583710057385</v>
      </c>
      <c r="K747" s="771"/>
    </row>
    <row r="748" spans="1:11" ht="18.75" customHeight="1" outlineLevel="2">
      <c r="A748" s="791" t="s">
        <v>776</v>
      </c>
      <c r="B748" s="791" t="s">
        <v>1021</v>
      </c>
      <c r="C748" s="791" t="s">
        <v>1022</v>
      </c>
      <c r="D748" s="792" t="s">
        <v>779</v>
      </c>
      <c r="E748" s="793" t="s">
        <v>780</v>
      </c>
      <c r="F748" s="793" t="s">
        <v>786</v>
      </c>
      <c r="G748" s="793" t="s">
        <v>785</v>
      </c>
      <c r="H748" s="793" t="s">
        <v>783</v>
      </c>
      <c r="I748" s="794">
        <v>2.4103127781549585E-4</v>
      </c>
      <c r="J748" s="794">
        <v>4.083275634434852E-2</v>
      </c>
      <c r="K748" s="771"/>
    </row>
    <row r="749" spans="1:11" ht="18.75" customHeight="1" outlineLevel="2">
      <c r="A749" s="791" t="s">
        <v>776</v>
      </c>
      <c r="B749" s="791" t="s">
        <v>1021</v>
      </c>
      <c r="C749" s="791" t="s">
        <v>1022</v>
      </c>
      <c r="D749" s="792" t="s">
        <v>779</v>
      </c>
      <c r="E749" s="793" t="s">
        <v>780</v>
      </c>
      <c r="F749" s="793" t="s">
        <v>787</v>
      </c>
      <c r="G749" s="793" t="s">
        <v>785</v>
      </c>
      <c r="H749" s="793" t="s">
        <v>783</v>
      </c>
      <c r="I749" s="794">
        <v>1.2112459255495442E-4</v>
      </c>
      <c r="J749" s="794">
        <v>2.2251081429806925E-2</v>
      </c>
      <c r="K749" s="771"/>
    </row>
    <row r="750" spans="1:11" ht="18.75" customHeight="1" outlineLevel="2">
      <c r="A750" s="791" t="s">
        <v>776</v>
      </c>
      <c r="B750" s="791" t="s">
        <v>1021</v>
      </c>
      <c r="C750" s="791" t="s">
        <v>1022</v>
      </c>
      <c r="D750" s="792" t="s">
        <v>779</v>
      </c>
      <c r="E750" s="793" t="s">
        <v>780</v>
      </c>
      <c r="F750" s="793" t="s">
        <v>788</v>
      </c>
      <c r="G750" s="793" t="s">
        <v>785</v>
      </c>
      <c r="H750" s="793" t="s">
        <v>783</v>
      </c>
      <c r="I750" s="794">
        <v>3.4258707027362708E-3</v>
      </c>
      <c r="J750" s="794">
        <v>0.54571044948528324</v>
      </c>
      <c r="K750" s="771"/>
    </row>
    <row r="751" spans="1:11" ht="18.75" customHeight="1" outlineLevel="2">
      <c r="A751" s="791" t="s">
        <v>776</v>
      </c>
      <c r="B751" s="791" t="s">
        <v>1021</v>
      </c>
      <c r="C751" s="791" t="s">
        <v>1022</v>
      </c>
      <c r="D751" s="792" t="s">
        <v>779</v>
      </c>
      <c r="E751" s="793" t="s">
        <v>780</v>
      </c>
      <c r="F751" s="793" t="s">
        <v>789</v>
      </c>
      <c r="G751" s="793" t="s">
        <v>785</v>
      </c>
      <c r="H751" s="793" t="s">
        <v>783</v>
      </c>
      <c r="I751" s="794">
        <v>1.1086824397580502E-3</v>
      </c>
      <c r="J751" s="794">
        <v>0.27272654228933535</v>
      </c>
      <c r="K751" s="771"/>
    </row>
    <row r="752" spans="1:11" ht="18.75" customHeight="1" outlineLevel="2">
      <c r="A752" s="791" t="s">
        <v>776</v>
      </c>
      <c r="B752" s="791" t="s">
        <v>1021</v>
      </c>
      <c r="C752" s="791" t="s">
        <v>1022</v>
      </c>
      <c r="D752" s="792" t="s">
        <v>779</v>
      </c>
      <c r="E752" s="793" t="s">
        <v>780</v>
      </c>
      <c r="F752" s="793" t="s">
        <v>790</v>
      </c>
      <c r="G752" s="793" t="s">
        <v>791</v>
      </c>
      <c r="H752" s="793" t="s">
        <v>783</v>
      </c>
      <c r="I752" s="794">
        <v>1.2813903323748382E-3</v>
      </c>
      <c r="J752" s="794">
        <v>1.7020593801284203E-2</v>
      </c>
      <c r="K752" s="771"/>
    </row>
    <row r="753" spans="1:11" ht="18.75" customHeight="1" outlineLevel="2">
      <c r="A753" s="791" t="s">
        <v>776</v>
      </c>
      <c r="B753" s="791" t="s">
        <v>1021</v>
      </c>
      <c r="C753" s="791" t="s">
        <v>1022</v>
      </c>
      <c r="D753" s="792" t="s">
        <v>779</v>
      </c>
      <c r="E753" s="793" t="s">
        <v>780</v>
      </c>
      <c r="F753" s="793" t="s">
        <v>792</v>
      </c>
      <c r="G753" s="793" t="s">
        <v>791</v>
      </c>
      <c r="H753" s="793" t="s">
        <v>783</v>
      </c>
      <c r="I753" s="794">
        <v>9.5115561160853228E-3</v>
      </c>
      <c r="J753" s="794">
        <v>1.8472360997869279</v>
      </c>
      <c r="K753" s="771"/>
    </row>
    <row r="754" spans="1:11" ht="18.75" customHeight="1" outlineLevel="2">
      <c r="A754" s="791" t="s">
        <v>776</v>
      </c>
      <c r="B754" s="791" t="s">
        <v>1021</v>
      </c>
      <c r="C754" s="791" t="s">
        <v>1022</v>
      </c>
      <c r="D754" s="792" t="s">
        <v>779</v>
      </c>
      <c r="E754" s="793" t="s">
        <v>780</v>
      </c>
      <c r="F754" s="793" t="s">
        <v>793</v>
      </c>
      <c r="G754" s="793" t="s">
        <v>794</v>
      </c>
      <c r="H754" s="793" t="s">
        <v>783</v>
      </c>
      <c r="I754" s="794">
        <v>0.3706858875903366</v>
      </c>
      <c r="J754" s="794">
        <v>9.6202868644534867</v>
      </c>
      <c r="K754" s="771"/>
    </row>
    <row r="755" spans="1:11" ht="18.75" customHeight="1" outlineLevel="2">
      <c r="A755" s="791" t="s">
        <v>776</v>
      </c>
      <c r="B755" s="791" t="s">
        <v>1021</v>
      </c>
      <c r="C755" s="791" t="s">
        <v>1022</v>
      </c>
      <c r="D755" s="792" t="s">
        <v>779</v>
      </c>
      <c r="E755" s="793" t="s">
        <v>780</v>
      </c>
      <c r="F755" s="793" t="s">
        <v>795</v>
      </c>
      <c r="G755" s="793" t="s">
        <v>794</v>
      </c>
      <c r="H755" s="793" t="s">
        <v>783</v>
      </c>
      <c r="I755" s="794">
        <v>1.1209490005882951E-2</v>
      </c>
      <c r="J755" s="794">
        <v>0.4592889084854978</v>
      </c>
      <c r="K755" s="771"/>
    </row>
    <row r="756" spans="1:11" ht="18.75" customHeight="1" outlineLevel="2">
      <c r="A756" s="791" t="s">
        <v>776</v>
      </c>
      <c r="B756" s="791" t="s">
        <v>1021</v>
      </c>
      <c r="C756" s="791" t="s">
        <v>1022</v>
      </c>
      <c r="D756" s="792" t="s">
        <v>779</v>
      </c>
      <c r="E756" s="793" t="s">
        <v>780</v>
      </c>
      <c r="F756" s="793" t="s">
        <v>796</v>
      </c>
      <c r="G756" s="793" t="s">
        <v>794</v>
      </c>
      <c r="H756" s="793" t="s">
        <v>783</v>
      </c>
      <c r="I756" s="794">
        <v>5.8264185735143253E-3</v>
      </c>
      <c r="J756" s="794">
        <v>0.67142824840118964</v>
      </c>
      <c r="K756" s="771"/>
    </row>
    <row r="757" spans="1:11" ht="18.75" customHeight="1" outlineLevel="2">
      <c r="A757" s="791" t="s">
        <v>776</v>
      </c>
      <c r="B757" s="791" t="s">
        <v>1021</v>
      </c>
      <c r="C757" s="791" t="s">
        <v>1022</v>
      </c>
      <c r="D757" s="792" t="s">
        <v>779</v>
      </c>
      <c r="E757" s="793" t="s">
        <v>780</v>
      </c>
      <c r="F757" s="793" t="s">
        <v>797</v>
      </c>
      <c r="G757" s="793" t="s">
        <v>794</v>
      </c>
      <c r="H757" s="793" t="s">
        <v>783</v>
      </c>
      <c r="I757" s="794">
        <v>0.11393874075570999</v>
      </c>
      <c r="J757" s="794">
        <v>23.843429024691211</v>
      </c>
      <c r="K757" s="771"/>
    </row>
    <row r="758" spans="1:11" ht="18.75" customHeight="1" outlineLevel="2">
      <c r="A758" s="791" t="s">
        <v>776</v>
      </c>
      <c r="B758" s="791" t="s">
        <v>1021</v>
      </c>
      <c r="C758" s="791" t="s">
        <v>1022</v>
      </c>
      <c r="D758" s="792" t="s">
        <v>779</v>
      </c>
      <c r="E758" s="793" t="s">
        <v>662</v>
      </c>
      <c r="F758" s="793" t="s">
        <v>803</v>
      </c>
      <c r="G758" s="793" t="s">
        <v>782</v>
      </c>
      <c r="H758" s="793" t="s">
        <v>804</v>
      </c>
      <c r="I758" s="794">
        <v>1.4214674630917587E-2</v>
      </c>
      <c r="J758" s="794">
        <v>8.8199218660387455</v>
      </c>
      <c r="K758" s="771"/>
    </row>
    <row r="759" spans="1:11" ht="18.75" customHeight="1" outlineLevel="2">
      <c r="A759" s="791" t="s">
        <v>776</v>
      </c>
      <c r="B759" s="791" t="s">
        <v>1021</v>
      </c>
      <c r="C759" s="791" t="s">
        <v>1022</v>
      </c>
      <c r="D759" s="792" t="s">
        <v>779</v>
      </c>
      <c r="E759" s="793" t="s">
        <v>662</v>
      </c>
      <c r="F759" s="793" t="s">
        <v>805</v>
      </c>
      <c r="G759" s="793" t="s">
        <v>782</v>
      </c>
      <c r="H759" s="793" t="s">
        <v>804</v>
      </c>
      <c r="I759" s="794">
        <v>1.1796677494299967E-3</v>
      </c>
      <c r="J759" s="794">
        <v>0.57132085570761049</v>
      </c>
      <c r="K759" s="771"/>
    </row>
    <row r="760" spans="1:11" ht="18.75" customHeight="1" outlineLevel="2">
      <c r="A760" s="791" t="s">
        <v>776</v>
      </c>
      <c r="B760" s="791" t="s">
        <v>1021</v>
      </c>
      <c r="C760" s="791" t="s">
        <v>1022</v>
      </c>
      <c r="D760" s="792" t="s">
        <v>779</v>
      </c>
      <c r="E760" s="793" t="s">
        <v>662</v>
      </c>
      <c r="F760" s="793" t="s">
        <v>806</v>
      </c>
      <c r="G760" s="793" t="s">
        <v>782</v>
      </c>
      <c r="H760" s="793" t="s">
        <v>804</v>
      </c>
      <c r="I760" s="794">
        <v>1.4296028794616861E-3</v>
      </c>
      <c r="J760" s="794">
        <v>0.68289046549572607</v>
      </c>
      <c r="K760" s="771"/>
    </row>
    <row r="761" spans="1:11" ht="18.75" customHeight="1" outlineLevel="2">
      <c r="A761" s="791" t="s">
        <v>776</v>
      </c>
      <c r="B761" s="791" t="s">
        <v>1021</v>
      </c>
      <c r="C761" s="791" t="s">
        <v>1022</v>
      </c>
      <c r="D761" s="792" t="s">
        <v>779</v>
      </c>
      <c r="E761" s="793" t="s">
        <v>662</v>
      </c>
      <c r="F761" s="793" t="s">
        <v>807</v>
      </c>
      <c r="G761" s="793" t="s">
        <v>782</v>
      </c>
      <c r="H761" s="793" t="s">
        <v>804</v>
      </c>
      <c r="I761" s="794">
        <v>1.0572525239191929E-5</v>
      </c>
      <c r="J761" s="794">
        <v>4.7316961885826665E-3</v>
      </c>
      <c r="K761" s="771"/>
    </row>
    <row r="762" spans="1:11" ht="18.75" customHeight="1" outlineLevel="2">
      <c r="A762" s="791" t="s">
        <v>776</v>
      </c>
      <c r="B762" s="791" t="s">
        <v>1021</v>
      </c>
      <c r="C762" s="791" t="s">
        <v>1022</v>
      </c>
      <c r="D762" s="792" t="s">
        <v>779</v>
      </c>
      <c r="E762" s="793" t="s">
        <v>662</v>
      </c>
      <c r="F762" s="793" t="s">
        <v>808</v>
      </c>
      <c r="G762" s="793" t="s">
        <v>782</v>
      </c>
      <c r="H762" s="793" t="s">
        <v>804</v>
      </c>
      <c r="I762" s="794">
        <v>4.0751979339414962E-2</v>
      </c>
      <c r="J762" s="794">
        <v>22.755250977673743</v>
      </c>
      <c r="K762" s="771"/>
    </row>
    <row r="763" spans="1:11" ht="18.75" customHeight="1" outlineLevel="2">
      <c r="A763" s="791" t="s">
        <v>776</v>
      </c>
      <c r="B763" s="791" t="s">
        <v>1021</v>
      </c>
      <c r="C763" s="791" t="s">
        <v>1022</v>
      </c>
      <c r="D763" s="792" t="s">
        <v>779</v>
      </c>
      <c r="E763" s="793" t="s">
        <v>662</v>
      </c>
      <c r="F763" s="793" t="s">
        <v>809</v>
      </c>
      <c r="G763" s="793" t="s">
        <v>782</v>
      </c>
      <c r="H763" s="793" t="s">
        <v>804</v>
      </c>
      <c r="I763" s="794">
        <v>2.979653843691123E-4</v>
      </c>
      <c r="J763" s="794">
        <v>0.13335332883805687</v>
      </c>
      <c r="K763" s="771"/>
    </row>
    <row r="764" spans="1:11" ht="18.75" customHeight="1" outlineLevel="2">
      <c r="A764" s="791" t="s">
        <v>776</v>
      </c>
      <c r="B764" s="791" t="s">
        <v>1021</v>
      </c>
      <c r="C764" s="791" t="s">
        <v>1022</v>
      </c>
      <c r="D764" s="792" t="s">
        <v>779</v>
      </c>
      <c r="E764" s="793" t="s">
        <v>662</v>
      </c>
      <c r="F764" s="793" t="s">
        <v>810</v>
      </c>
      <c r="G764" s="793" t="s">
        <v>785</v>
      </c>
      <c r="H764" s="793" t="s">
        <v>727</v>
      </c>
      <c r="I764" s="794">
        <v>2.9395088512311647E-4</v>
      </c>
      <c r="J764" s="794">
        <v>0.13155675891421931</v>
      </c>
      <c r="K764" s="771"/>
    </row>
    <row r="765" spans="1:11" ht="18.75" customHeight="1" outlineLevel="2">
      <c r="A765" s="791" t="s">
        <v>776</v>
      </c>
      <c r="B765" s="791" t="s">
        <v>1021</v>
      </c>
      <c r="C765" s="791" t="s">
        <v>1022</v>
      </c>
      <c r="D765" s="792" t="s">
        <v>779</v>
      </c>
      <c r="E765" s="793" t="s">
        <v>662</v>
      </c>
      <c r="F765" s="793" t="s">
        <v>811</v>
      </c>
      <c r="G765" s="793" t="s">
        <v>785</v>
      </c>
      <c r="H765" s="793" t="s">
        <v>727</v>
      </c>
      <c r="I765" s="794">
        <v>2.2493535597150855E-5</v>
      </c>
      <c r="J765" s="794">
        <v>1.0066903196462744E-2</v>
      </c>
      <c r="K765" s="771"/>
    </row>
    <row r="766" spans="1:11" ht="18.75" customHeight="1" outlineLevel="2">
      <c r="A766" s="791" t="s">
        <v>776</v>
      </c>
      <c r="B766" s="791" t="s">
        <v>1021</v>
      </c>
      <c r="C766" s="791" t="s">
        <v>1022</v>
      </c>
      <c r="D766" s="792" t="s">
        <v>779</v>
      </c>
      <c r="E766" s="793" t="s">
        <v>662</v>
      </c>
      <c r="F766" s="793" t="s">
        <v>812</v>
      </c>
      <c r="G766" s="793" t="s">
        <v>813</v>
      </c>
      <c r="H766" s="793" t="s">
        <v>814</v>
      </c>
      <c r="I766" s="794">
        <v>4.6695410129421883E-3</v>
      </c>
      <c r="J766" s="794">
        <v>2.5573494038299631</v>
      </c>
      <c r="K766" s="771"/>
    </row>
    <row r="767" spans="1:11" ht="18.75" customHeight="1" outlineLevel="2">
      <c r="A767" s="791" t="s">
        <v>776</v>
      </c>
      <c r="B767" s="791" t="s">
        <v>1021</v>
      </c>
      <c r="C767" s="791" t="s">
        <v>1022</v>
      </c>
      <c r="D767" s="792" t="s">
        <v>779</v>
      </c>
      <c r="E767" s="793" t="s">
        <v>662</v>
      </c>
      <c r="F767" s="793" t="s">
        <v>815</v>
      </c>
      <c r="G767" s="793" t="s">
        <v>813</v>
      </c>
      <c r="H767" s="793" t="s">
        <v>814</v>
      </c>
      <c r="I767" s="794">
        <v>2.1967758544740187E-2</v>
      </c>
      <c r="J767" s="794">
        <v>11.806466388850849</v>
      </c>
      <c r="K767" s="771"/>
    </row>
    <row r="768" spans="1:11" ht="18.75" customHeight="1" outlineLevel="2">
      <c r="A768" s="791" t="s">
        <v>776</v>
      </c>
      <c r="B768" s="791" t="s">
        <v>1021</v>
      </c>
      <c r="C768" s="791" t="s">
        <v>1022</v>
      </c>
      <c r="D768" s="792" t="s">
        <v>779</v>
      </c>
      <c r="E768" s="793" t="s">
        <v>662</v>
      </c>
      <c r="F768" s="793" t="s">
        <v>816</v>
      </c>
      <c r="G768" s="793" t="s">
        <v>813</v>
      </c>
      <c r="H768" s="793" t="s">
        <v>814</v>
      </c>
      <c r="I768" s="794">
        <v>6.5721570463334558E-2</v>
      </c>
      <c r="J768" s="794">
        <v>34.145449935423926</v>
      </c>
      <c r="K768" s="771"/>
    </row>
    <row r="769" spans="1:11" ht="18.75" customHeight="1" outlineLevel="2">
      <c r="A769" s="791" t="s">
        <v>776</v>
      </c>
      <c r="B769" s="791" t="s">
        <v>1021</v>
      </c>
      <c r="C769" s="791" t="s">
        <v>1022</v>
      </c>
      <c r="D769" s="792" t="s">
        <v>779</v>
      </c>
      <c r="E769" s="793" t="s">
        <v>662</v>
      </c>
      <c r="F769" s="793" t="s">
        <v>817</v>
      </c>
      <c r="G769" s="793" t="s">
        <v>813</v>
      </c>
      <c r="H769" s="793" t="s">
        <v>814</v>
      </c>
      <c r="I769" s="794">
        <v>0.20771749432711634</v>
      </c>
      <c r="J769" s="794">
        <v>113.70540087493625</v>
      </c>
      <c r="K769" s="771"/>
    </row>
    <row r="770" spans="1:11" ht="18.75" customHeight="1" outlineLevel="2">
      <c r="A770" s="791" t="s">
        <v>776</v>
      </c>
      <c r="B770" s="791" t="s">
        <v>1021</v>
      </c>
      <c r="C770" s="791" t="s">
        <v>1022</v>
      </c>
      <c r="D770" s="792" t="s">
        <v>779</v>
      </c>
      <c r="E770" s="793" t="s">
        <v>662</v>
      </c>
      <c r="F770" s="793" t="s">
        <v>818</v>
      </c>
      <c r="G770" s="793" t="s">
        <v>813</v>
      </c>
      <c r="H770" s="793" t="s">
        <v>814</v>
      </c>
      <c r="I770" s="794">
        <v>8.0735185697191417E-2</v>
      </c>
      <c r="J770" s="794">
        <v>47.420591226999491</v>
      </c>
      <c r="K770" s="771"/>
    </row>
    <row r="771" spans="1:11" ht="18.75" customHeight="1" outlineLevel="2">
      <c r="A771" s="791" t="s">
        <v>776</v>
      </c>
      <c r="B771" s="791" t="s">
        <v>1021</v>
      </c>
      <c r="C771" s="791" t="s">
        <v>1022</v>
      </c>
      <c r="D771" s="792" t="s">
        <v>779</v>
      </c>
      <c r="E771" s="793" t="s">
        <v>662</v>
      </c>
      <c r="F771" s="793" t="s">
        <v>819</v>
      </c>
      <c r="G771" s="793" t="s">
        <v>813</v>
      </c>
      <c r="H771" s="793" t="s">
        <v>814</v>
      </c>
      <c r="I771" s="794">
        <v>0.19654982987547243</v>
      </c>
      <c r="J771" s="794">
        <v>99.36325763948409</v>
      </c>
      <c r="K771" s="771"/>
    </row>
    <row r="772" spans="1:11" ht="18.75" customHeight="1" outlineLevel="2">
      <c r="A772" s="791" t="s">
        <v>776</v>
      </c>
      <c r="B772" s="791" t="s">
        <v>1021</v>
      </c>
      <c r="C772" s="791" t="s">
        <v>1022</v>
      </c>
      <c r="D772" s="792" t="s">
        <v>779</v>
      </c>
      <c r="E772" s="793" t="s">
        <v>662</v>
      </c>
      <c r="F772" s="793" t="s">
        <v>820</v>
      </c>
      <c r="G772" s="793" t="s">
        <v>813</v>
      </c>
      <c r="H772" s="793" t="s">
        <v>814</v>
      </c>
      <c r="I772" s="794">
        <v>5.6905850078424317E-2</v>
      </c>
      <c r="J772" s="794">
        <v>30.519799865139571</v>
      </c>
      <c r="K772" s="771"/>
    </row>
    <row r="773" spans="1:11" ht="18.75" customHeight="1" outlineLevel="2">
      <c r="A773" s="791" t="s">
        <v>776</v>
      </c>
      <c r="B773" s="791" t="s">
        <v>1021</v>
      </c>
      <c r="C773" s="791" t="s">
        <v>1022</v>
      </c>
      <c r="D773" s="792" t="s">
        <v>779</v>
      </c>
      <c r="E773" s="793" t="s">
        <v>662</v>
      </c>
      <c r="F773" s="793" t="s">
        <v>821</v>
      </c>
      <c r="G773" s="793" t="s">
        <v>813</v>
      </c>
      <c r="H773" s="793" t="s">
        <v>814</v>
      </c>
      <c r="I773" s="794">
        <v>0.1734736066869986</v>
      </c>
      <c r="J773" s="794">
        <v>92.781523681781152</v>
      </c>
      <c r="K773" s="771"/>
    </row>
    <row r="774" spans="1:11" ht="18.75" customHeight="1" outlineLevel="2">
      <c r="A774" s="791" t="s">
        <v>776</v>
      </c>
      <c r="B774" s="791" t="s">
        <v>1021</v>
      </c>
      <c r="C774" s="791" t="s">
        <v>1022</v>
      </c>
      <c r="D774" s="792" t="s">
        <v>779</v>
      </c>
      <c r="E774" s="793" t="s">
        <v>662</v>
      </c>
      <c r="F774" s="793" t="s">
        <v>822</v>
      </c>
      <c r="G774" s="793" t="s">
        <v>813</v>
      </c>
      <c r="H774" s="793" t="s">
        <v>814</v>
      </c>
      <c r="I774" s="794">
        <v>0.1031359029242048</v>
      </c>
      <c r="J774" s="794">
        <v>15.100460015738985</v>
      </c>
      <c r="K774" s="771"/>
    </row>
    <row r="775" spans="1:11" ht="18.75" customHeight="1" outlineLevel="2">
      <c r="A775" s="791" t="s">
        <v>776</v>
      </c>
      <c r="B775" s="791" t="s">
        <v>1021</v>
      </c>
      <c r="C775" s="791" t="s">
        <v>1022</v>
      </c>
      <c r="D775" s="792" t="s">
        <v>779</v>
      </c>
      <c r="E775" s="793" t="s">
        <v>662</v>
      </c>
      <c r="F775" s="793" t="s">
        <v>823</v>
      </c>
      <c r="G775" s="793" t="s">
        <v>813</v>
      </c>
      <c r="H775" s="793" t="s">
        <v>814</v>
      </c>
      <c r="I775" s="794">
        <v>0.23074154455111964</v>
      </c>
      <c r="J775" s="794">
        <v>33.782685268376362</v>
      </c>
      <c r="K775" s="771"/>
    </row>
    <row r="776" spans="1:11" ht="18.75" customHeight="1" outlineLevel="2">
      <c r="A776" s="791" t="s">
        <v>776</v>
      </c>
      <c r="B776" s="791" t="s">
        <v>1021</v>
      </c>
      <c r="C776" s="791" t="s">
        <v>1022</v>
      </c>
      <c r="D776" s="792" t="s">
        <v>779</v>
      </c>
      <c r="E776" s="793" t="s">
        <v>662</v>
      </c>
      <c r="F776" s="793" t="s">
        <v>824</v>
      </c>
      <c r="G776" s="793" t="s">
        <v>813</v>
      </c>
      <c r="H776" s="793" t="s">
        <v>814</v>
      </c>
      <c r="I776" s="794">
        <v>9.9220151135247792E-5</v>
      </c>
      <c r="J776" s="794">
        <v>4.9508940226205125E-2</v>
      </c>
      <c r="K776" s="771"/>
    </row>
    <row r="777" spans="1:11" ht="18.75" customHeight="1" outlineLevel="2">
      <c r="A777" s="791" t="s">
        <v>776</v>
      </c>
      <c r="B777" s="791" t="s">
        <v>1021</v>
      </c>
      <c r="C777" s="791" t="s">
        <v>1022</v>
      </c>
      <c r="D777" s="792" t="s">
        <v>779</v>
      </c>
      <c r="E777" s="793" t="s">
        <v>662</v>
      </c>
      <c r="F777" s="793" t="s">
        <v>825</v>
      </c>
      <c r="G777" s="793" t="s">
        <v>791</v>
      </c>
      <c r="H777" s="793" t="s">
        <v>826</v>
      </c>
      <c r="I777" s="794">
        <v>1.5913151394584906E-4</v>
      </c>
      <c r="J777" s="794">
        <v>9.6771521549013542E-2</v>
      </c>
      <c r="K777" s="771"/>
    </row>
    <row r="778" spans="1:11" ht="18.75" customHeight="1" outlineLevel="2">
      <c r="A778" s="791" t="s">
        <v>776</v>
      </c>
      <c r="B778" s="791" t="s">
        <v>1021</v>
      </c>
      <c r="C778" s="791" t="s">
        <v>1022</v>
      </c>
      <c r="D778" s="792" t="s">
        <v>779</v>
      </c>
      <c r="E778" s="793" t="s">
        <v>662</v>
      </c>
      <c r="F778" s="793" t="s">
        <v>827</v>
      </c>
      <c r="G778" s="793" t="s">
        <v>794</v>
      </c>
      <c r="H778" s="793" t="s">
        <v>828</v>
      </c>
      <c r="I778" s="794">
        <v>3.2667591237930216E-3</v>
      </c>
      <c r="J778" s="794">
        <v>1.6174038486279776</v>
      </c>
      <c r="K778" s="771"/>
    </row>
    <row r="779" spans="1:11" ht="18.75" customHeight="1" outlineLevel="2">
      <c r="A779" s="791" t="s">
        <v>776</v>
      </c>
      <c r="B779" s="791" t="s">
        <v>1021</v>
      </c>
      <c r="C779" s="791" t="s">
        <v>1022</v>
      </c>
      <c r="D779" s="792" t="s">
        <v>779</v>
      </c>
      <c r="E779" s="793" t="s">
        <v>662</v>
      </c>
      <c r="F779" s="793" t="s">
        <v>829</v>
      </c>
      <c r="G779" s="793" t="s">
        <v>794</v>
      </c>
      <c r="H779" s="793" t="s">
        <v>828</v>
      </c>
      <c r="I779" s="794">
        <v>2.0847146218998924E-2</v>
      </c>
      <c r="J779" s="794">
        <v>10.789898011569511</v>
      </c>
      <c r="K779" s="771"/>
    </row>
    <row r="780" spans="1:11" ht="18.75" customHeight="1" outlineLevel="2">
      <c r="A780" s="791" t="s">
        <v>776</v>
      </c>
      <c r="B780" s="791" t="s">
        <v>1021</v>
      </c>
      <c r="C780" s="791" t="s">
        <v>1022</v>
      </c>
      <c r="D780" s="792" t="s">
        <v>779</v>
      </c>
      <c r="E780" s="793" t="s">
        <v>662</v>
      </c>
      <c r="F780" s="793" t="s">
        <v>830</v>
      </c>
      <c r="G780" s="793" t="s">
        <v>794</v>
      </c>
      <c r="H780" s="793" t="s">
        <v>828</v>
      </c>
      <c r="I780" s="794">
        <v>8.3617479086852908E-6</v>
      </c>
      <c r="J780" s="794">
        <v>3.742270973186434E-3</v>
      </c>
      <c r="K780" s="771"/>
    </row>
    <row r="781" spans="1:11" ht="18.75" customHeight="1" outlineLevel="2">
      <c r="A781" s="791" t="s">
        <v>776</v>
      </c>
      <c r="B781" s="791" t="s">
        <v>1021</v>
      </c>
      <c r="C781" s="791" t="s">
        <v>1022</v>
      </c>
      <c r="D781" s="792" t="s">
        <v>779</v>
      </c>
      <c r="E781" s="793" t="s">
        <v>662</v>
      </c>
      <c r="F781" s="793" t="s">
        <v>831</v>
      </c>
      <c r="G781" s="793" t="s">
        <v>794</v>
      </c>
      <c r="H781" s="793" t="s">
        <v>828</v>
      </c>
      <c r="I781" s="794">
        <v>1.4585532949976788E-4</v>
      </c>
      <c r="J781" s="794">
        <v>6.5277090752774908E-2</v>
      </c>
      <c r="K781" s="771"/>
    </row>
    <row r="782" spans="1:11" ht="18.75" customHeight="1" outlineLevel="2">
      <c r="A782" s="791" t="s">
        <v>776</v>
      </c>
      <c r="B782" s="791" t="s">
        <v>1021</v>
      </c>
      <c r="C782" s="791" t="s">
        <v>1022</v>
      </c>
      <c r="D782" s="792" t="s">
        <v>779</v>
      </c>
      <c r="E782" s="793" t="s">
        <v>662</v>
      </c>
      <c r="F782" s="793" t="s">
        <v>832</v>
      </c>
      <c r="G782" s="793" t="s">
        <v>833</v>
      </c>
      <c r="H782" s="793" t="s">
        <v>834</v>
      </c>
      <c r="I782" s="794">
        <v>1.0613080984694196E-2</v>
      </c>
      <c r="J782" s="794">
        <v>6.1272315439080529</v>
      </c>
      <c r="K782" s="771"/>
    </row>
    <row r="783" spans="1:11" ht="18.75" customHeight="1" outlineLevel="2">
      <c r="A783" s="791" t="s">
        <v>776</v>
      </c>
      <c r="B783" s="791" t="s">
        <v>1021</v>
      </c>
      <c r="C783" s="791" t="s">
        <v>1022</v>
      </c>
      <c r="D783" s="792" t="s">
        <v>779</v>
      </c>
      <c r="E783" s="793" t="s">
        <v>662</v>
      </c>
      <c r="F783" s="793" t="s">
        <v>837</v>
      </c>
      <c r="G783" s="793" t="s">
        <v>799</v>
      </c>
      <c r="H783" s="793" t="s">
        <v>800</v>
      </c>
      <c r="I783" s="794">
        <v>0.13676136708734982</v>
      </c>
      <c r="J783" s="794">
        <v>182.18545927328904</v>
      </c>
      <c r="K783" s="771"/>
    </row>
    <row r="784" spans="1:11" ht="18.75" customHeight="1" outlineLevel="2">
      <c r="A784" s="791" t="s">
        <v>776</v>
      </c>
      <c r="B784" s="791" t="s">
        <v>1021</v>
      </c>
      <c r="C784" s="791" t="s">
        <v>1022</v>
      </c>
      <c r="D784" s="792" t="s">
        <v>779</v>
      </c>
      <c r="E784" s="793" t="s">
        <v>662</v>
      </c>
      <c r="F784" s="793" t="s">
        <v>839</v>
      </c>
      <c r="G784" s="793" t="s">
        <v>782</v>
      </c>
      <c r="H784" s="793" t="s">
        <v>804</v>
      </c>
      <c r="I784" s="794">
        <v>4.7837792560465444E-3</v>
      </c>
      <c r="J784" s="794">
        <v>7.8184627981078547</v>
      </c>
      <c r="K784" s="771"/>
    </row>
    <row r="785" spans="1:11" ht="18.75" customHeight="1" outlineLevel="2">
      <c r="A785" s="791" t="s">
        <v>776</v>
      </c>
      <c r="B785" s="791" t="s">
        <v>1021</v>
      </c>
      <c r="C785" s="791" t="s">
        <v>1022</v>
      </c>
      <c r="D785" s="792" t="s">
        <v>779</v>
      </c>
      <c r="E785" s="793" t="s">
        <v>662</v>
      </c>
      <c r="F785" s="793" t="s">
        <v>840</v>
      </c>
      <c r="G785" s="793" t="s">
        <v>782</v>
      </c>
      <c r="H785" s="793" t="s">
        <v>804</v>
      </c>
      <c r="I785" s="794">
        <v>3.8224661618951735E-5</v>
      </c>
      <c r="J785" s="794">
        <v>5.8358030456160032E-2</v>
      </c>
      <c r="K785" s="771"/>
    </row>
    <row r="786" spans="1:11" ht="18.75" customHeight="1" outlineLevel="2">
      <c r="A786" s="791" t="s">
        <v>776</v>
      </c>
      <c r="B786" s="791" t="s">
        <v>1021</v>
      </c>
      <c r="C786" s="791" t="s">
        <v>1022</v>
      </c>
      <c r="D786" s="792" t="s">
        <v>779</v>
      </c>
      <c r="E786" s="793" t="s">
        <v>662</v>
      </c>
      <c r="F786" s="793" t="s">
        <v>841</v>
      </c>
      <c r="G786" s="793" t="s">
        <v>782</v>
      </c>
      <c r="H786" s="793" t="s">
        <v>804</v>
      </c>
      <c r="I786" s="794">
        <v>1.0335361527939443E-2</v>
      </c>
      <c r="J786" s="794">
        <v>14.687933333227601</v>
      </c>
      <c r="K786" s="771"/>
    </row>
    <row r="787" spans="1:11" ht="18.75" customHeight="1" outlineLevel="2">
      <c r="A787" s="791" t="s">
        <v>776</v>
      </c>
      <c r="B787" s="791" t="s">
        <v>1021</v>
      </c>
      <c r="C787" s="791" t="s">
        <v>1022</v>
      </c>
      <c r="D787" s="792" t="s">
        <v>779</v>
      </c>
      <c r="E787" s="793" t="s">
        <v>662</v>
      </c>
      <c r="F787" s="793" t="s">
        <v>842</v>
      </c>
      <c r="G787" s="793" t="s">
        <v>782</v>
      </c>
      <c r="H787" s="793" t="s">
        <v>804</v>
      </c>
      <c r="I787" s="794">
        <v>8.4340344992055432E-3</v>
      </c>
      <c r="J787" s="794">
        <v>13.828441348995865</v>
      </c>
      <c r="K787" s="771"/>
    </row>
    <row r="788" spans="1:11" ht="18.75" customHeight="1" outlineLevel="2">
      <c r="A788" s="791" t="s">
        <v>776</v>
      </c>
      <c r="B788" s="791" t="s">
        <v>1021</v>
      </c>
      <c r="C788" s="791" t="s">
        <v>1022</v>
      </c>
      <c r="D788" s="792" t="s">
        <v>779</v>
      </c>
      <c r="E788" s="793" t="s">
        <v>662</v>
      </c>
      <c r="F788" s="793" t="s">
        <v>843</v>
      </c>
      <c r="G788" s="793" t="s">
        <v>782</v>
      </c>
      <c r="H788" s="793" t="s">
        <v>804</v>
      </c>
      <c r="I788" s="794">
        <v>1.8861441173886835E-2</v>
      </c>
      <c r="J788" s="794">
        <v>27.597314672127865</v>
      </c>
      <c r="K788" s="771"/>
    </row>
    <row r="789" spans="1:11" ht="18.75" customHeight="1" outlineLevel="2">
      <c r="A789" s="791" t="s">
        <v>776</v>
      </c>
      <c r="B789" s="791" t="s">
        <v>1021</v>
      </c>
      <c r="C789" s="791" t="s">
        <v>1022</v>
      </c>
      <c r="D789" s="792" t="s">
        <v>779</v>
      </c>
      <c r="E789" s="793" t="s">
        <v>662</v>
      </c>
      <c r="F789" s="793" t="s">
        <v>844</v>
      </c>
      <c r="G789" s="793" t="s">
        <v>782</v>
      </c>
      <c r="H789" s="793" t="s">
        <v>804</v>
      </c>
      <c r="I789" s="794">
        <v>8.1824600208166738E-3</v>
      </c>
      <c r="J789" s="794">
        <v>11.620508476707796</v>
      </c>
      <c r="K789" s="771"/>
    </row>
    <row r="790" spans="1:11" ht="18.75" customHeight="1" outlineLevel="2">
      <c r="A790" s="791" t="s">
        <v>776</v>
      </c>
      <c r="B790" s="791" t="s">
        <v>1021</v>
      </c>
      <c r="C790" s="791" t="s">
        <v>1022</v>
      </c>
      <c r="D790" s="792" t="s">
        <v>779</v>
      </c>
      <c r="E790" s="793" t="s">
        <v>662</v>
      </c>
      <c r="F790" s="793" t="s">
        <v>845</v>
      </c>
      <c r="G790" s="793" t="s">
        <v>782</v>
      </c>
      <c r="H790" s="793" t="s">
        <v>804</v>
      </c>
      <c r="I790" s="794">
        <v>4.4562890935596525E-4</v>
      </c>
      <c r="J790" s="794">
        <v>0.60563968343366203</v>
      </c>
      <c r="K790" s="771"/>
    </row>
    <row r="791" spans="1:11" ht="18.75" customHeight="1" outlineLevel="2">
      <c r="A791" s="791" t="s">
        <v>776</v>
      </c>
      <c r="B791" s="791" t="s">
        <v>1021</v>
      </c>
      <c r="C791" s="791" t="s">
        <v>1022</v>
      </c>
      <c r="D791" s="792" t="s">
        <v>779</v>
      </c>
      <c r="E791" s="793" t="s">
        <v>662</v>
      </c>
      <c r="F791" s="793" t="s">
        <v>846</v>
      </c>
      <c r="G791" s="793" t="s">
        <v>782</v>
      </c>
      <c r="H791" s="793" t="s">
        <v>804</v>
      </c>
      <c r="I791" s="794">
        <v>1.5508478266411656E-2</v>
      </c>
      <c r="J791" s="794">
        <v>24.318164566712575</v>
      </c>
      <c r="K791" s="771"/>
    </row>
    <row r="792" spans="1:11" ht="18.75" customHeight="1" outlineLevel="2">
      <c r="A792" s="791" t="s">
        <v>776</v>
      </c>
      <c r="B792" s="791" t="s">
        <v>1021</v>
      </c>
      <c r="C792" s="791" t="s">
        <v>1022</v>
      </c>
      <c r="D792" s="792" t="s">
        <v>779</v>
      </c>
      <c r="E792" s="793" t="s">
        <v>662</v>
      </c>
      <c r="F792" s="793" t="s">
        <v>847</v>
      </c>
      <c r="G792" s="793" t="s">
        <v>782</v>
      </c>
      <c r="H792" s="793" t="s">
        <v>804</v>
      </c>
      <c r="I792" s="794">
        <v>7.393846693986285E-3</v>
      </c>
      <c r="J792" s="794">
        <v>9.0191700215870778</v>
      </c>
      <c r="K792" s="771"/>
    </row>
    <row r="793" spans="1:11" ht="18.75" customHeight="1" outlineLevel="2">
      <c r="A793" s="791" t="s">
        <v>776</v>
      </c>
      <c r="B793" s="791" t="s">
        <v>1021</v>
      </c>
      <c r="C793" s="791" t="s">
        <v>1022</v>
      </c>
      <c r="D793" s="792" t="s">
        <v>779</v>
      </c>
      <c r="E793" s="793" t="s">
        <v>662</v>
      </c>
      <c r="F793" s="793" t="s">
        <v>848</v>
      </c>
      <c r="G793" s="793" t="s">
        <v>782</v>
      </c>
      <c r="H793" s="793" t="s">
        <v>804</v>
      </c>
      <c r="I793" s="794">
        <v>3.493614809191916E-2</v>
      </c>
      <c r="J793" s="794">
        <v>50.673732604439522</v>
      </c>
      <c r="K793" s="771"/>
    </row>
    <row r="794" spans="1:11" ht="18.75" customHeight="1" outlineLevel="2">
      <c r="A794" s="791" t="s">
        <v>776</v>
      </c>
      <c r="B794" s="791" t="s">
        <v>1021</v>
      </c>
      <c r="C794" s="791" t="s">
        <v>1022</v>
      </c>
      <c r="D794" s="792" t="s">
        <v>779</v>
      </c>
      <c r="E794" s="793" t="s">
        <v>662</v>
      </c>
      <c r="F794" s="793" t="s">
        <v>849</v>
      </c>
      <c r="G794" s="793" t="s">
        <v>782</v>
      </c>
      <c r="H794" s="793" t="s">
        <v>804</v>
      </c>
      <c r="I794" s="794">
        <v>1.7710039022275862E-2</v>
      </c>
      <c r="J794" s="794">
        <v>24.33492300734169</v>
      </c>
      <c r="K794" s="771"/>
    </row>
    <row r="795" spans="1:11" ht="18.75" customHeight="1" outlineLevel="2">
      <c r="A795" s="791" t="s">
        <v>776</v>
      </c>
      <c r="B795" s="791" t="s">
        <v>1021</v>
      </c>
      <c r="C795" s="791" t="s">
        <v>1022</v>
      </c>
      <c r="D795" s="792" t="s">
        <v>779</v>
      </c>
      <c r="E795" s="793" t="s">
        <v>662</v>
      </c>
      <c r="F795" s="793" t="s">
        <v>850</v>
      </c>
      <c r="G795" s="793" t="s">
        <v>782</v>
      </c>
      <c r="H795" s="793" t="s">
        <v>804</v>
      </c>
      <c r="I795" s="794">
        <v>1.4007644168064774E-3</v>
      </c>
      <c r="J795" s="794">
        <v>1.9601467448221488</v>
      </c>
      <c r="K795" s="771"/>
    </row>
    <row r="796" spans="1:11" ht="18.75" customHeight="1" outlineLevel="2">
      <c r="A796" s="791" t="s">
        <v>776</v>
      </c>
      <c r="B796" s="791" t="s">
        <v>1021</v>
      </c>
      <c r="C796" s="791" t="s">
        <v>1022</v>
      </c>
      <c r="D796" s="792" t="s">
        <v>779</v>
      </c>
      <c r="E796" s="793" t="s">
        <v>662</v>
      </c>
      <c r="F796" s="793" t="s">
        <v>851</v>
      </c>
      <c r="G796" s="793" t="s">
        <v>782</v>
      </c>
      <c r="H796" s="793" t="s">
        <v>804</v>
      </c>
      <c r="I796" s="794">
        <v>2.2987593333617788E-3</v>
      </c>
      <c r="J796" s="794">
        <v>3.2915778211926781</v>
      </c>
      <c r="K796" s="771"/>
    </row>
    <row r="797" spans="1:11" ht="18.75" customHeight="1" outlineLevel="2">
      <c r="A797" s="791" t="s">
        <v>776</v>
      </c>
      <c r="B797" s="791" t="s">
        <v>1021</v>
      </c>
      <c r="C797" s="791" t="s">
        <v>1022</v>
      </c>
      <c r="D797" s="792" t="s">
        <v>779</v>
      </c>
      <c r="E797" s="793" t="s">
        <v>662</v>
      </c>
      <c r="F797" s="793" t="s">
        <v>852</v>
      </c>
      <c r="G797" s="793" t="s">
        <v>782</v>
      </c>
      <c r="H797" s="793" t="s">
        <v>804</v>
      </c>
      <c r="I797" s="794">
        <v>1.0069296646382936E-3</v>
      </c>
      <c r="J797" s="794">
        <v>2.9412931319319728</v>
      </c>
      <c r="K797" s="771"/>
    </row>
    <row r="798" spans="1:11" ht="18.75" customHeight="1" outlineLevel="2">
      <c r="A798" s="791" t="s">
        <v>776</v>
      </c>
      <c r="B798" s="791" t="s">
        <v>1021</v>
      </c>
      <c r="C798" s="791" t="s">
        <v>1022</v>
      </c>
      <c r="D798" s="792" t="s">
        <v>779</v>
      </c>
      <c r="E798" s="793" t="s">
        <v>662</v>
      </c>
      <c r="F798" s="793" t="s">
        <v>853</v>
      </c>
      <c r="G798" s="793" t="s">
        <v>782</v>
      </c>
      <c r="H798" s="793" t="s">
        <v>804</v>
      </c>
      <c r="I798" s="794">
        <v>8.1021290222678649E-4</v>
      </c>
      <c r="J798" s="794">
        <v>6.9762422230028331</v>
      </c>
      <c r="K798" s="771"/>
    </row>
    <row r="799" spans="1:11" ht="18.75" customHeight="1" outlineLevel="2">
      <c r="A799" s="791" t="s">
        <v>776</v>
      </c>
      <c r="B799" s="791" t="s">
        <v>1021</v>
      </c>
      <c r="C799" s="791" t="s">
        <v>1022</v>
      </c>
      <c r="D799" s="792" t="s">
        <v>779</v>
      </c>
      <c r="E799" s="793" t="s">
        <v>662</v>
      </c>
      <c r="F799" s="793" t="s">
        <v>854</v>
      </c>
      <c r="G799" s="793" t="s">
        <v>782</v>
      </c>
      <c r="H799" s="793" t="s">
        <v>804</v>
      </c>
      <c r="I799" s="794">
        <v>1.102248935166893E-2</v>
      </c>
      <c r="J799" s="794">
        <v>16.634340563482521</v>
      </c>
      <c r="K799" s="771"/>
    </row>
    <row r="800" spans="1:11" ht="18.75" customHeight="1" outlineLevel="2">
      <c r="A800" s="791" t="s">
        <v>776</v>
      </c>
      <c r="B800" s="791" t="s">
        <v>1021</v>
      </c>
      <c r="C800" s="791" t="s">
        <v>1022</v>
      </c>
      <c r="D800" s="792" t="s">
        <v>779</v>
      </c>
      <c r="E800" s="793" t="s">
        <v>662</v>
      </c>
      <c r="F800" s="793" t="s">
        <v>855</v>
      </c>
      <c r="G800" s="793" t="s">
        <v>782</v>
      </c>
      <c r="H800" s="793" t="s">
        <v>804</v>
      </c>
      <c r="I800" s="794">
        <v>7.871657038313962E-3</v>
      </c>
      <c r="J800" s="794">
        <v>11.593475349487415</v>
      </c>
      <c r="K800" s="771"/>
    </row>
    <row r="801" spans="1:11" ht="18.75" customHeight="1" outlineLevel="2">
      <c r="A801" s="791" t="s">
        <v>776</v>
      </c>
      <c r="B801" s="791" t="s">
        <v>1021</v>
      </c>
      <c r="C801" s="791" t="s">
        <v>1022</v>
      </c>
      <c r="D801" s="792" t="s">
        <v>779</v>
      </c>
      <c r="E801" s="793" t="s">
        <v>662</v>
      </c>
      <c r="F801" s="793" t="s">
        <v>856</v>
      </c>
      <c r="G801" s="793" t="s">
        <v>782</v>
      </c>
      <c r="H801" s="793" t="s">
        <v>804</v>
      </c>
      <c r="I801" s="794">
        <v>3.0910298535798716E-3</v>
      </c>
      <c r="J801" s="794">
        <v>3.7987690978838931</v>
      </c>
      <c r="K801" s="771"/>
    </row>
    <row r="802" spans="1:11" ht="18.75" customHeight="1" outlineLevel="2">
      <c r="A802" s="791" t="s">
        <v>776</v>
      </c>
      <c r="B802" s="791" t="s">
        <v>1021</v>
      </c>
      <c r="C802" s="791" t="s">
        <v>1022</v>
      </c>
      <c r="D802" s="792" t="s">
        <v>779</v>
      </c>
      <c r="E802" s="793" t="s">
        <v>662</v>
      </c>
      <c r="F802" s="793" t="s">
        <v>857</v>
      </c>
      <c r="G802" s="793" t="s">
        <v>782</v>
      </c>
      <c r="H802" s="793" t="s">
        <v>804</v>
      </c>
      <c r="I802" s="794">
        <v>2.5739613209945136E-3</v>
      </c>
      <c r="J802" s="794">
        <v>2.7757677542995873</v>
      </c>
      <c r="K802" s="771"/>
    </row>
    <row r="803" spans="1:11" ht="18.75" customHeight="1" outlineLevel="2">
      <c r="A803" s="791" t="s">
        <v>776</v>
      </c>
      <c r="B803" s="791" t="s">
        <v>1021</v>
      </c>
      <c r="C803" s="791" t="s">
        <v>1022</v>
      </c>
      <c r="D803" s="792" t="s">
        <v>779</v>
      </c>
      <c r="E803" s="793" t="s">
        <v>662</v>
      </c>
      <c r="F803" s="793" t="s">
        <v>858</v>
      </c>
      <c r="G803" s="793" t="s">
        <v>785</v>
      </c>
      <c r="H803" s="793" t="s">
        <v>727</v>
      </c>
      <c r="I803" s="794">
        <v>7.2606093673153495E-3</v>
      </c>
      <c r="J803" s="794">
        <v>14.582392878520174</v>
      </c>
      <c r="K803" s="771"/>
    </row>
    <row r="804" spans="1:11" ht="18.75" customHeight="1" outlineLevel="2">
      <c r="A804" s="791" t="s">
        <v>776</v>
      </c>
      <c r="B804" s="791" t="s">
        <v>1021</v>
      </c>
      <c r="C804" s="791" t="s">
        <v>1022</v>
      </c>
      <c r="D804" s="792" t="s">
        <v>779</v>
      </c>
      <c r="E804" s="793" t="s">
        <v>662</v>
      </c>
      <c r="F804" s="793" t="s">
        <v>859</v>
      </c>
      <c r="G804" s="793" t="s">
        <v>785</v>
      </c>
      <c r="H804" s="793" t="s">
        <v>727</v>
      </c>
      <c r="I804" s="794">
        <v>5.2155718760243863E-3</v>
      </c>
      <c r="J804" s="794">
        <v>55.18710202659274</v>
      </c>
      <c r="K804" s="771"/>
    </row>
    <row r="805" spans="1:11" ht="18.75" customHeight="1" outlineLevel="2">
      <c r="A805" s="791" t="s">
        <v>776</v>
      </c>
      <c r="B805" s="791" t="s">
        <v>1021</v>
      </c>
      <c r="C805" s="791" t="s">
        <v>1022</v>
      </c>
      <c r="D805" s="792" t="s">
        <v>779</v>
      </c>
      <c r="E805" s="793" t="s">
        <v>662</v>
      </c>
      <c r="F805" s="793" t="s">
        <v>860</v>
      </c>
      <c r="G805" s="793" t="s">
        <v>785</v>
      </c>
      <c r="H805" s="793" t="s">
        <v>727</v>
      </c>
      <c r="I805" s="794">
        <v>4.3272559468109841E-3</v>
      </c>
      <c r="J805" s="794">
        <v>11.858710688246742</v>
      </c>
      <c r="K805" s="771"/>
    </row>
    <row r="806" spans="1:11" ht="18.75" customHeight="1" outlineLevel="2">
      <c r="A806" s="791" t="s">
        <v>776</v>
      </c>
      <c r="B806" s="791" t="s">
        <v>1021</v>
      </c>
      <c r="C806" s="791" t="s">
        <v>1022</v>
      </c>
      <c r="D806" s="792" t="s">
        <v>779</v>
      </c>
      <c r="E806" s="793" t="s">
        <v>662</v>
      </c>
      <c r="F806" s="793" t="s">
        <v>861</v>
      </c>
      <c r="G806" s="793" t="s">
        <v>785</v>
      </c>
      <c r="H806" s="793" t="s">
        <v>727</v>
      </c>
      <c r="I806" s="794">
        <v>1.6644988091479185E-2</v>
      </c>
      <c r="J806" s="794">
        <v>22.273904634571078</v>
      </c>
      <c r="K806" s="771"/>
    </row>
    <row r="807" spans="1:11" ht="18.75" customHeight="1" outlineLevel="2">
      <c r="A807" s="791" t="s">
        <v>776</v>
      </c>
      <c r="B807" s="791" t="s">
        <v>1021</v>
      </c>
      <c r="C807" s="791" t="s">
        <v>1022</v>
      </c>
      <c r="D807" s="792" t="s">
        <v>779</v>
      </c>
      <c r="E807" s="793" t="s">
        <v>662</v>
      </c>
      <c r="F807" s="793" t="s">
        <v>862</v>
      </c>
      <c r="G807" s="793" t="s">
        <v>785</v>
      </c>
      <c r="H807" s="793" t="s">
        <v>727</v>
      </c>
      <c r="I807" s="794">
        <v>4.6968424058821607E-4</v>
      </c>
      <c r="J807" s="794">
        <v>1.0220225649202532</v>
      </c>
      <c r="K807" s="771"/>
    </row>
    <row r="808" spans="1:11" ht="18.75" customHeight="1" outlineLevel="2">
      <c r="A808" s="791" t="s">
        <v>776</v>
      </c>
      <c r="B808" s="791" t="s">
        <v>1021</v>
      </c>
      <c r="C808" s="791" t="s">
        <v>1022</v>
      </c>
      <c r="D808" s="792" t="s">
        <v>779</v>
      </c>
      <c r="E808" s="793" t="s">
        <v>662</v>
      </c>
      <c r="F808" s="793" t="s">
        <v>863</v>
      </c>
      <c r="G808" s="793" t="s">
        <v>785</v>
      </c>
      <c r="H808" s="793" t="s">
        <v>727</v>
      </c>
      <c r="I808" s="794">
        <v>1.7817646235160879E-3</v>
      </c>
      <c r="J808" s="794">
        <v>2.6516119614756435</v>
      </c>
      <c r="K808" s="771"/>
    </row>
    <row r="809" spans="1:11" ht="18.75" customHeight="1" outlineLevel="2">
      <c r="A809" s="791" t="s">
        <v>776</v>
      </c>
      <c r="B809" s="791" t="s">
        <v>1021</v>
      </c>
      <c r="C809" s="791" t="s">
        <v>1022</v>
      </c>
      <c r="D809" s="792" t="s">
        <v>779</v>
      </c>
      <c r="E809" s="793" t="s">
        <v>662</v>
      </c>
      <c r="F809" s="793" t="s">
        <v>864</v>
      </c>
      <c r="G809" s="793" t="s">
        <v>785</v>
      </c>
      <c r="H809" s="793" t="s">
        <v>727</v>
      </c>
      <c r="I809" s="794">
        <v>3.4189255828761264E-4</v>
      </c>
      <c r="J809" s="794">
        <v>4.873877128223592</v>
      </c>
      <c r="K809" s="771"/>
    </row>
    <row r="810" spans="1:11" ht="18.75" customHeight="1" outlineLevel="2">
      <c r="A810" s="791" t="s">
        <v>776</v>
      </c>
      <c r="B810" s="791" t="s">
        <v>1021</v>
      </c>
      <c r="C810" s="791" t="s">
        <v>1022</v>
      </c>
      <c r="D810" s="792" t="s">
        <v>779</v>
      </c>
      <c r="E810" s="793" t="s">
        <v>662</v>
      </c>
      <c r="F810" s="793" t="s">
        <v>865</v>
      </c>
      <c r="G810" s="793" t="s">
        <v>813</v>
      </c>
      <c r="H810" s="793" t="s">
        <v>814</v>
      </c>
      <c r="I810" s="794">
        <v>0.40279221548025179</v>
      </c>
      <c r="J810" s="794">
        <v>431.35749503048476</v>
      </c>
      <c r="K810" s="771"/>
    </row>
    <row r="811" spans="1:11" ht="18.75" customHeight="1" outlineLevel="2">
      <c r="A811" s="791" t="s">
        <v>776</v>
      </c>
      <c r="B811" s="791" t="s">
        <v>1021</v>
      </c>
      <c r="C811" s="791" t="s">
        <v>1022</v>
      </c>
      <c r="D811" s="792" t="s">
        <v>779</v>
      </c>
      <c r="E811" s="793" t="s">
        <v>662</v>
      </c>
      <c r="F811" s="793" t="s">
        <v>866</v>
      </c>
      <c r="G811" s="793" t="s">
        <v>813</v>
      </c>
      <c r="H811" s="793" t="s">
        <v>814</v>
      </c>
      <c r="I811" s="794">
        <v>0.21378304216927368</v>
      </c>
      <c r="J811" s="794">
        <v>290.44939636461584</v>
      </c>
      <c r="K811" s="771"/>
    </row>
    <row r="812" spans="1:11" ht="18.75" customHeight="1" outlineLevel="2">
      <c r="A812" s="791" t="s">
        <v>776</v>
      </c>
      <c r="B812" s="791" t="s">
        <v>1021</v>
      </c>
      <c r="C812" s="791" t="s">
        <v>1022</v>
      </c>
      <c r="D812" s="792" t="s">
        <v>779</v>
      </c>
      <c r="E812" s="793" t="s">
        <v>662</v>
      </c>
      <c r="F812" s="793" t="s">
        <v>867</v>
      </c>
      <c r="G812" s="793" t="s">
        <v>813</v>
      </c>
      <c r="H812" s="793" t="s">
        <v>814</v>
      </c>
      <c r="I812" s="794">
        <v>3.4674237192961532E-2</v>
      </c>
      <c r="J812" s="794">
        <v>37.119067602831713</v>
      </c>
      <c r="K812" s="771"/>
    </row>
    <row r="813" spans="1:11" ht="18.75" customHeight="1" outlineLevel="2">
      <c r="A813" s="791" t="s">
        <v>776</v>
      </c>
      <c r="B813" s="791" t="s">
        <v>1021</v>
      </c>
      <c r="C813" s="791" t="s">
        <v>1022</v>
      </c>
      <c r="D813" s="792" t="s">
        <v>779</v>
      </c>
      <c r="E813" s="793" t="s">
        <v>662</v>
      </c>
      <c r="F813" s="793" t="s">
        <v>868</v>
      </c>
      <c r="G813" s="793" t="s">
        <v>813</v>
      </c>
      <c r="H813" s="793" t="s">
        <v>814</v>
      </c>
      <c r="I813" s="794">
        <v>0.1362377542633888</v>
      </c>
      <c r="J813" s="794">
        <v>172.28404989680348</v>
      </c>
      <c r="K813" s="771"/>
    </row>
    <row r="814" spans="1:11" ht="18.75" customHeight="1" outlineLevel="2">
      <c r="A814" s="791" t="s">
        <v>776</v>
      </c>
      <c r="B814" s="791" t="s">
        <v>1021</v>
      </c>
      <c r="C814" s="791" t="s">
        <v>1022</v>
      </c>
      <c r="D814" s="792" t="s">
        <v>779</v>
      </c>
      <c r="E814" s="793" t="s">
        <v>662</v>
      </c>
      <c r="F814" s="793" t="s">
        <v>869</v>
      </c>
      <c r="G814" s="793" t="s">
        <v>813</v>
      </c>
      <c r="H814" s="793" t="s">
        <v>814</v>
      </c>
      <c r="I814" s="794">
        <v>1.8888996170509625E-3</v>
      </c>
      <c r="J814" s="794">
        <v>2.3977956738219603</v>
      </c>
      <c r="K814" s="771"/>
    </row>
    <row r="815" spans="1:11" ht="18.75" customHeight="1" outlineLevel="2">
      <c r="A815" s="791" t="s">
        <v>776</v>
      </c>
      <c r="B815" s="791" t="s">
        <v>1021</v>
      </c>
      <c r="C815" s="791" t="s">
        <v>1022</v>
      </c>
      <c r="D815" s="792" t="s">
        <v>779</v>
      </c>
      <c r="E815" s="793" t="s">
        <v>662</v>
      </c>
      <c r="F815" s="793" t="s">
        <v>870</v>
      </c>
      <c r="G815" s="793" t="s">
        <v>813</v>
      </c>
      <c r="H815" s="793" t="s">
        <v>814</v>
      </c>
      <c r="I815" s="794">
        <v>4.746259061789355E-3</v>
      </c>
      <c r="J815" s="794">
        <v>6.7275376539284508</v>
      </c>
      <c r="K815" s="771"/>
    </row>
    <row r="816" spans="1:11" ht="18.75" customHeight="1" outlineLevel="2">
      <c r="A816" s="791" t="s">
        <v>776</v>
      </c>
      <c r="B816" s="791" t="s">
        <v>1021</v>
      </c>
      <c r="C816" s="791" t="s">
        <v>1022</v>
      </c>
      <c r="D816" s="792" t="s">
        <v>779</v>
      </c>
      <c r="E816" s="793" t="s">
        <v>662</v>
      </c>
      <c r="F816" s="793" t="s">
        <v>871</v>
      </c>
      <c r="G816" s="793" t="s">
        <v>813</v>
      </c>
      <c r="H816" s="793" t="s">
        <v>814</v>
      </c>
      <c r="I816" s="794">
        <v>3.5974646091057887E-3</v>
      </c>
      <c r="J816" s="794">
        <v>4.5744530323771428</v>
      </c>
      <c r="K816" s="771"/>
    </row>
    <row r="817" spans="1:11" ht="18.75" customHeight="1" outlineLevel="2">
      <c r="A817" s="791" t="s">
        <v>776</v>
      </c>
      <c r="B817" s="791" t="s">
        <v>1021</v>
      </c>
      <c r="C817" s="791" t="s">
        <v>1022</v>
      </c>
      <c r="D817" s="792" t="s">
        <v>779</v>
      </c>
      <c r="E817" s="793" t="s">
        <v>662</v>
      </c>
      <c r="F817" s="793" t="s">
        <v>872</v>
      </c>
      <c r="G817" s="793" t="s">
        <v>813</v>
      </c>
      <c r="H817" s="793" t="s">
        <v>814</v>
      </c>
      <c r="I817" s="794">
        <v>0.16220983157605798</v>
      </c>
      <c r="J817" s="794">
        <v>276.0619335239104</v>
      </c>
      <c r="K817" s="771"/>
    </row>
    <row r="818" spans="1:11" ht="18.75" customHeight="1" outlineLevel="2">
      <c r="A818" s="791" t="s">
        <v>776</v>
      </c>
      <c r="B818" s="791" t="s">
        <v>1021</v>
      </c>
      <c r="C818" s="791" t="s">
        <v>1022</v>
      </c>
      <c r="D818" s="792" t="s">
        <v>779</v>
      </c>
      <c r="E818" s="793" t="s">
        <v>662</v>
      </c>
      <c r="F818" s="793" t="s">
        <v>873</v>
      </c>
      <c r="G818" s="793" t="s">
        <v>813</v>
      </c>
      <c r="H818" s="793" t="s">
        <v>814</v>
      </c>
      <c r="I818" s="794">
        <v>9.1338355037003077E-2</v>
      </c>
      <c r="J818" s="794">
        <v>48.818853366452302</v>
      </c>
      <c r="K818" s="771"/>
    </row>
    <row r="819" spans="1:11" ht="18.75" customHeight="1" outlineLevel="2">
      <c r="A819" s="791" t="s">
        <v>776</v>
      </c>
      <c r="B819" s="791" t="s">
        <v>1021</v>
      </c>
      <c r="C819" s="791" t="s">
        <v>1022</v>
      </c>
      <c r="D819" s="792" t="s">
        <v>779</v>
      </c>
      <c r="E819" s="793" t="s">
        <v>662</v>
      </c>
      <c r="F819" s="793" t="s">
        <v>874</v>
      </c>
      <c r="G819" s="793" t="s">
        <v>813</v>
      </c>
      <c r="H819" s="793" t="s">
        <v>814</v>
      </c>
      <c r="I819" s="794">
        <v>0.20436329142726195</v>
      </c>
      <c r="J819" s="794">
        <v>109.21604287309279</v>
      </c>
      <c r="K819" s="771"/>
    </row>
    <row r="820" spans="1:11" ht="18.75" customHeight="1" outlineLevel="2">
      <c r="A820" s="791" t="s">
        <v>776</v>
      </c>
      <c r="B820" s="791" t="s">
        <v>1021</v>
      </c>
      <c r="C820" s="791" t="s">
        <v>1022</v>
      </c>
      <c r="D820" s="792" t="s">
        <v>779</v>
      </c>
      <c r="E820" s="793" t="s">
        <v>662</v>
      </c>
      <c r="F820" s="793" t="s">
        <v>875</v>
      </c>
      <c r="G820" s="793" t="s">
        <v>813</v>
      </c>
      <c r="H820" s="793" t="s">
        <v>814</v>
      </c>
      <c r="I820" s="794">
        <v>6.0016525963036547E-2</v>
      </c>
      <c r="J820" s="794">
        <v>87.610068142864051</v>
      </c>
      <c r="K820" s="771"/>
    </row>
    <row r="821" spans="1:11" ht="18.75" customHeight="1" outlineLevel="2">
      <c r="A821" s="791" t="s">
        <v>776</v>
      </c>
      <c r="B821" s="791" t="s">
        <v>1021</v>
      </c>
      <c r="C821" s="791" t="s">
        <v>1022</v>
      </c>
      <c r="D821" s="792" t="s">
        <v>779</v>
      </c>
      <c r="E821" s="793" t="s">
        <v>662</v>
      </c>
      <c r="F821" s="793" t="s">
        <v>876</v>
      </c>
      <c r="G821" s="793" t="s">
        <v>813</v>
      </c>
      <c r="H821" s="793" t="s">
        <v>814</v>
      </c>
      <c r="I821" s="794">
        <v>2.441406305239997E-2</v>
      </c>
      <c r="J821" s="794">
        <v>36.901484879051495</v>
      </c>
      <c r="K821" s="771"/>
    </row>
    <row r="822" spans="1:11" ht="18.75" customHeight="1" outlineLevel="2">
      <c r="A822" s="791" t="s">
        <v>776</v>
      </c>
      <c r="B822" s="791" t="s">
        <v>1021</v>
      </c>
      <c r="C822" s="791" t="s">
        <v>1022</v>
      </c>
      <c r="D822" s="792" t="s">
        <v>779</v>
      </c>
      <c r="E822" s="793" t="s">
        <v>662</v>
      </c>
      <c r="F822" s="793" t="s">
        <v>877</v>
      </c>
      <c r="G822" s="793" t="s">
        <v>813</v>
      </c>
      <c r="H822" s="793" t="s">
        <v>814</v>
      </c>
      <c r="I822" s="794">
        <v>3.2210676608902679E-2</v>
      </c>
      <c r="J822" s="794">
        <v>41.768842860668272</v>
      </c>
      <c r="K822" s="771"/>
    </row>
    <row r="823" spans="1:11" ht="18.75" customHeight="1" outlineLevel="2">
      <c r="A823" s="791" t="s">
        <v>776</v>
      </c>
      <c r="B823" s="791" t="s">
        <v>1021</v>
      </c>
      <c r="C823" s="791" t="s">
        <v>1022</v>
      </c>
      <c r="D823" s="792" t="s">
        <v>779</v>
      </c>
      <c r="E823" s="793" t="s">
        <v>662</v>
      </c>
      <c r="F823" s="793" t="s">
        <v>878</v>
      </c>
      <c r="G823" s="793" t="s">
        <v>813</v>
      </c>
      <c r="H823" s="793" t="s">
        <v>814</v>
      </c>
      <c r="I823" s="794">
        <v>1.6435895863299816E-2</v>
      </c>
      <c r="J823" s="794">
        <v>19.831592277923015</v>
      </c>
      <c r="K823" s="771"/>
    </row>
    <row r="824" spans="1:11" ht="18.75" customHeight="1" outlineLevel="2">
      <c r="A824" s="791" t="s">
        <v>776</v>
      </c>
      <c r="B824" s="791" t="s">
        <v>1021</v>
      </c>
      <c r="C824" s="791" t="s">
        <v>1022</v>
      </c>
      <c r="D824" s="792" t="s">
        <v>779</v>
      </c>
      <c r="E824" s="793" t="s">
        <v>662</v>
      </c>
      <c r="F824" s="793" t="s">
        <v>879</v>
      </c>
      <c r="G824" s="793" t="s">
        <v>813</v>
      </c>
      <c r="H824" s="793" t="s">
        <v>814</v>
      </c>
      <c r="I824" s="794">
        <v>0.8026447189999143</v>
      </c>
      <c r="J824" s="794">
        <v>1174.3420329063201</v>
      </c>
      <c r="K824" s="771"/>
    </row>
    <row r="825" spans="1:11" ht="18.75" customHeight="1" outlineLevel="2">
      <c r="A825" s="791" t="s">
        <v>776</v>
      </c>
      <c r="B825" s="791" t="s">
        <v>1021</v>
      </c>
      <c r="C825" s="791" t="s">
        <v>1022</v>
      </c>
      <c r="D825" s="792" t="s">
        <v>779</v>
      </c>
      <c r="E825" s="793" t="s">
        <v>662</v>
      </c>
      <c r="F825" s="793" t="s">
        <v>880</v>
      </c>
      <c r="G825" s="793" t="s">
        <v>813</v>
      </c>
      <c r="H825" s="793" t="s">
        <v>814</v>
      </c>
      <c r="I825" s="794">
        <v>0.33171342059731301</v>
      </c>
      <c r="J825" s="794">
        <v>501.49273428416234</v>
      </c>
      <c r="K825" s="771"/>
    </row>
    <row r="826" spans="1:11" ht="18.75" customHeight="1" outlineLevel="2">
      <c r="A826" s="791" t="s">
        <v>776</v>
      </c>
      <c r="B826" s="791" t="s">
        <v>1021</v>
      </c>
      <c r="C826" s="791" t="s">
        <v>1022</v>
      </c>
      <c r="D826" s="792" t="s">
        <v>779</v>
      </c>
      <c r="E826" s="793" t="s">
        <v>662</v>
      </c>
      <c r="F826" s="793" t="s">
        <v>881</v>
      </c>
      <c r="G826" s="793" t="s">
        <v>813</v>
      </c>
      <c r="H826" s="793" t="s">
        <v>814</v>
      </c>
      <c r="I826" s="794">
        <v>3.7118345732734259E-2</v>
      </c>
      <c r="J826" s="794">
        <v>83.736140193080885</v>
      </c>
      <c r="K826" s="771"/>
    </row>
    <row r="827" spans="1:11" ht="18.75" customHeight="1" outlineLevel="2">
      <c r="A827" s="791" t="s">
        <v>776</v>
      </c>
      <c r="B827" s="791" t="s">
        <v>1021</v>
      </c>
      <c r="C827" s="791" t="s">
        <v>1022</v>
      </c>
      <c r="D827" s="792" t="s">
        <v>779</v>
      </c>
      <c r="E827" s="793" t="s">
        <v>662</v>
      </c>
      <c r="F827" s="793" t="s">
        <v>882</v>
      </c>
      <c r="G827" s="793" t="s">
        <v>813</v>
      </c>
      <c r="H827" s="793" t="s">
        <v>814</v>
      </c>
      <c r="I827" s="794">
        <v>1.0216934512445555</v>
      </c>
      <c r="J827" s="794">
        <v>1618.8502928114949</v>
      </c>
      <c r="K827" s="771"/>
    </row>
    <row r="828" spans="1:11" ht="18.75" customHeight="1" outlineLevel="2">
      <c r="A828" s="791" t="s">
        <v>776</v>
      </c>
      <c r="B828" s="791" t="s">
        <v>1021</v>
      </c>
      <c r="C828" s="791" t="s">
        <v>1022</v>
      </c>
      <c r="D828" s="792" t="s">
        <v>779</v>
      </c>
      <c r="E828" s="793" t="s">
        <v>662</v>
      </c>
      <c r="F828" s="793" t="s">
        <v>883</v>
      </c>
      <c r="G828" s="793" t="s">
        <v>813</v>
      </c>
      <c r="H828" s="793" t="s">
        <v>814</v>
      </c>
      <c r="I828" s="794">
        <v>3.6541029829173809E-2</v>
      </c>
      <c r="J828" s="794">
        <v>41.743650948637189</v>
      </c>
      <c r="K828" s="771"/>
    </row>
    <row r="829" spans="1:11" ht="18.75" customHeight="1" outlineLevel="2">
      <c r="A829" s="791" t="s">
        <v>776</v>
      </c>
      <c r="B829" s="791" t="s">
        <v>1021</v>
      </c>
      <c r="C829" s="791" t="s">
        <v>1022</v>
      </c>
      <c r="D829" s="792" t="s">
        <v>779</v>
      </c>
      <c r="E829" s="793" t="s">
        <v>662</v>
      </c>
      <c r="F829" s="793" t="s">
        <v>884</v>
      </c>
      <c r="G829" s="793" t="s">
        <v>813</v>
      </c>
      <c r="H829" s="793" t="s">
        <v>814</v>
      </c>
      <c r="I829" s="794">
        <v>4.2874641100668132E-2</v>
      </c>
      <c r="J829" s="794">
        <v>49.744566031083018</v>
      </c>
      <c r="K829" s="771"/>
    </row>
    <row r="830" spans="1:11" ht="18.75" customHeight="1" outlineLevel="2">
      <c r="A830" s="791" t="s">
        <v>776</v>
      </c>
      <c r="B830" s="791" t="s">
        <v>1021</v>
      </c>
      <c r="C830" s="791" t="s">
        <v>1022</v>
      </c>
      <c r="D830" s="792" t="s">
        <v>779</v>
      </c>
      <c r="E830" s="793" t="s">
        <v>662</v>
      </c>
      <c r="F830" s="793" t="s">
        <v>885</v>
      </c>
      <c r="G830" s="793" t="s">
        <v>791</v>
      </c>
      <c r="H830" s="793" t="s">
        <v>826</v>
      </c>
      <c r="I830" s="794">
        <v>1.5942695580703937E-4</v>
      </c>
      <c r="J830" s="794">
        <v>0.23540453752450863</v>
      </c>
      <c r="K830" s="771"/>
    </row>
    <row r="831" spans="1:11" ht="18.75" customHeight="1" outlineLevel="2">
      <c r="A831" s="791" t="s">
        <v>776</v>
      </c>
      <c r="B831" s="791" t="s">
        <v>1021</v>
      </c>
      <c r="C831" s="791" t="s">
        <v>1022</v>
      </c>
      <c r="D831" s="792" t="s">
        <v>779</v>
      </c>
      <c r="E831" s="793" t="s">
        <v>662</v>
      </c>
      <c r="F831" s="793" t="s">
        <v>886</v>
      </c>
      <c r="G831" s="793" t="s">
        <v>791</v>
      </c>
      <c r="H831" s="793" t="s">
        <v>826</v>
      </c>
      <c r="I831" s="794">
        <v>2.0863909970812022E-4</v>
      </c>
      <c r="J831" s="794">
        <v>0.9109306139290575</v>
      </c>
      <c r="K831" s="771"/>
    </row>
    <row r="832" spans="1:11" ht="18.75" customHeight="1" outlineLevel="2">
      <c r="A832" s="791" t="s">
        <v>776</v>
      </c>
      <c r="B832" s="791" t="s">
        <v>1021</v>
      </c>
      <c r="C832" s="791" t="s">
        <v>1022</v>
      </c>
      <c r="D832" s="792" t="s">
        <v>779</v>
      </c>
      <c r="E832" s="793" t="s">
        <v>662</v>
      </c>
      <c r="F832" s="793" t="s">
        <v>887</v>
      </c>
      <c r="G832" s="793" t="s">
        <v>791</v>
      </c>
      <c r="H832" s="793" t="s">
        <v>826</v>
      </c>
      <c r="I832" s="794">
        <v>7.7834751416592885E-6</v>
      </c>
      <c r="J832" s="794">
        <v>7.3072448442140451E-3</v>
      </c>
      <c r="K832" s="771"/>
    </row>
    <row r="833" spans="1:11" ht="18.75" customHeight="1" outlineLevel="2">
      <c r="A833" s="791" t="s">
        <v>776</v>
      </c>
      <c r="B833" s="791" t="s">
        <v>1021</v>
      </c>
      <c r="C833" s="791" t="s">
        <v>1022</v>
      </c>
      <c r="D833" s="792" t="s">
        <v>779</v>
      </c>
      <c r="E833" s="793" t="s">
        <v>662</v>
      </c>
      <c r="F833" s="793" t="s">
        <v>888</v>
      </c>
      <c r="G833" s="793" t="s">
        <v>791</v>
      </c>
      <c r="H833" s="793" t="s">
        <v>826</v>
      </c>
      <c r="I833" s="794">
        <v>6.9816522905761591E-4</v>
      </c>
      <c r="J833" s="794">
        <v>0.65414247794380298</v>
      </c>
      <c r="K833" s="771"/>
    </row>
    <row r="834" spans="1:11" ht="18.75" customHeight="1" outlineLevel="2">
      <c r="A834" s="791" t="s">
        <v>776</v>
      </c>
      <c r="B834" s="791" t="s">
        <v>1021</v>
      </c>
      <c r="C834" s="791" t="s">
        <v>1022</v>
      </c>
      <c r="D834" s="792" t="s">
        <v>779</v>
      </c>
      <c r="E834" s="793" t="s">
        <v>662</v>
      </c>
      <c r="F834" s="793" t="s">
        <v>889</v>
      </c>
      <c r="G834" s="793" t="s">
        <v>791</v>
      </c>
      <c r="H834" s="793" t="s">
        <v>826</v>
      </c>
      <c r="I834" s="794">
        <v>1.3413210555565712E-4</v>
      </c>
      <c r="J834" s="794">
        <v>0.19353827765418011</v>
      </c>
      <c r="K834" s="771"/>
    </row>
    <row r="835" spans="1:11" ht="18.75" customHeight="1" outlineLevel="2">
      <c r="A835" s="791" t="s">
        <v>776</v>
      </c>
      <c r="B835" s="791" t="s">
        <v>1021</v>
      </c>
      <c r="C835" s="791" t="s">
        <v>1022</v>
      </c>
      <c r="D835" s="792" t="s">
        <v>779</v>
      </c>
      <c r="E835" s="793" t="s">
        <v>662</v>
      </c>
      <c r="F835" s="793" t="s">
        <v>890</v>
      </c>
      <c r="G835" s="793" t="s">
        <v>791</v>
      </c>
      <c r="H835" s="793" t="s">
        <v>826</v>
      </c>
      <c r="I835" s="794">
        <v>1.9170942125796783E-3</v>
      </c>
      <c r="J835" s="794">
        <v>2.1443933333084693</v>
      </c>
      <c r="K835" s="771"/>
    </row>
    <row r="836" spans="1:11" ht="18.75" customHeight="1" outlineLevel="2">
      <c r="A836" s="791" t="s">
        <v>776</v>
      </c>
      <c r="B836" s="791" t="s">
        <v>1021</v>
      </c>
      <c r="C836" s="791" t="s">
        <v>1022</v>
      </c>
      <c r="D836" s="792" t="s">
        <v>779</v>
      </c>
      <c r="E836" s="793" t="s">
        <v>662</v>
      </c>
      <c r="F836" s="793" t="s">
        <v>891</v>
      </c>
      <c r="G836" s="793" t="s">
        <v>791</v>
      </c>
      <c r="H836" s="793" t="s">
        <v>826</v>
      </c>
      <c r="I836" s="794">
        <v>9.8159720744997632E-3</v>
      </c>
      <c r="J836" s="794">
        <v>4.8075094784289814</v>
      </c>
      <c r="K836" s="771"/>
    </row>
    <row r="837" spans="1:11" ht="18.75" customHeight="1" outlineLevel="2">
      <c r="A837" s="791" t="s">
        <v>776</v>
      </c>
      <c r="B837" s="791" t="s">
        <v>1021</v>
      </c>
      <c r="C837" s="791" t="s">
        <v>1022</v>
      </c>
      <c r="D837" s="792" t="s">
        <v>779</v>
      </c>
      <c r="E837" s="793" t="s">
        <v>662</v>
      </c>
      <c r="F837" s="793" t="s">
        <v>892</v>
      </c>
      <c r="G837" s="793" t="s">
        <v>791</v>
      </c>
      <c r="H837" s="793" t="s">
        <v>826</v>
      </c>
      <c r="I837" s="794">
        <v>1.1056789495684908E-3</v>
      </c>
      <c r="J837" s="794">
        <v>1.0359608556251383</v>
      </c>
      <c r="K837" s="771"/>
    </row>
    <row r="838" spans="1:11" ht="18.75" customHeight="1" outlineLevel="2">
      <c r="A838" s="791" t="s">
        <v>776</v>
      </c>
      <c r="B838" s="791" t="s">
        <v>1021</v>
      </c>
      <c r="C838" s="791" t="s">
        <v>1022</v>
      </c>
      <c r="D838" s="792" t="s">
        <v>779</v>
      </c>
      <c r="E838" s="793" t="s">
        <v>662</v>
      </c>
      <c r="F838" s="793" t="s">
        <v>893</v>
      </c>
      <c r="G838" s="793" t="s">
        <v>791</v>
      </c>
      <c r="H838" s="793" t="s">
        <v>826</v>
      </c>
      <c r="I838" s="794">
        <v>1.4514664752068084E-3</v>
      </c>
      <c r="J838" s="794">
        <v>1.4783532800668731</v>
      </c>
      <c r="K838" s="771"/>
    </row>
    <row r="839" spans="1:11" ht="18.75" customHeight="1" outlineLevel="2">
      <c r="A839" s="791" t="s">
        <v>776</v>
      </c>
      <c r="B839" s="791" t="s">
        <v>1021</v>
      </c>
      <c r="C839" s="791" t="s">
        <v>1022</v>
      </c>
      <c r="D839" s="792" t="s">
        <v>779</v>
      </c>
      <c r="E839" s="793" t="s">
        <v>662</v>
      </c>
      <c r="F839" s="793" t="s">
        <v>894</v>
      </c>
      <c r="G839" s="793" t="s">
        <v>791</v>
      </c>
      <c r="H839" s="793" t="s">
        <v>826</v>
      </c>
      <c r="I839" s="794">
        <v>1.7384174316378541E-4</v>
      </c>
      <c r="J839" s="794">
        <v>1.5799248729291602</v>
      </c>
      <c r="K839" s="771"/>
    </row>
    <row r="840" spans="1:11" ht="18.75" customHeight="1" outlineLevel="2">
      <c r="A840" s="791" t="s">
        <v>776</v>
      </c>
      <c r="B840" s="791" t="s">
        <v>1021</v>
      </c>
      <c r="C840" s="791" t="s">
        <v>1022</v>
      </c>
      <c r="D840" s="792" t="s">
        <v>779</v>
      </c>
      <c r="E840" s="793" t="s">
        <v>662</v>
      </c>
      <c r="F840" s="793" t="s">
        <v>895</v>
      </c>
      <c r="G840" s="793" t="s">
        <v>794</v>
      </c>
      <c r="H840" s="793" t="s">
        <v>828</v>
      </c>
      <c r="I840" s="794">
        <v>0.23952518650095875</v>
      </c>
      <c r="J840" s="794">
        <v>332.80063776113872</v>
      </c>
      <c r="K840" s="771"/>
    </row>
    <row r="841" spans="1:11" ht="18.75" customHeight="1" outlineLevel="2">
      <c r="A841" s="791" t="s">
        <v>776</v>
      </c>
      <c r="B841" s="791" t="s">
        <v>1021</v>
      </c>
      <c r="C841" s="791" t="s">
        <v>1022</v>
      </c>
      <c r="D841" s="792" t="s">
        <v>779</v>
      </c>
      <c r="E841" s="793" t="s">
        <v>662</v>
      </c>
      <c r="F841" s="793" t="s">
        <v>896</v>
      </c>
      <c r="G841" s="793" t="s">
        <v>794</v>
      </c>
      <c r="H841" s="793" t="s">
        <v>828</v>
      </c>
      <c r="I841" s="794">
        <v>5.626250367048645E-2</v>
      </c>
      <c r="J841" s="794">
        <v>83.263750840943644</v>
      </c>
      <c r="K841" s="771"/>
    </row>
    <row r="842" spans="1:11" ht="18.75" customHeight="1" outlineLevel="2">
      <c r="A842" s="791" t="s">
        <v>776</v>
      </c>
      <c r="B842" s="791" t="s">
        <v>1021</v>
      </c>
      <c r="C842" s="791" t="s">
        <v>1022</v>
      </c>
      <c r="D842" s="792" t="s">
        <v>779</v>
      </c>
      <c r="E842" s="793" t="s">
        <v>662</v>
      </c>
      <c r="F842" s="793" t="s">
        <v>897</v>
      </c>
      <c r="G842" s="793" t="s">
        <v>794</v>
      </c>
      <c r="H842" s="793" t="s">
        <v>828</v>
      </c>
      <c r="I842" s="794">
        <v>2.5954991503742256E-2</v>
      </c>
      <c r="J842" s="794">
        <v>44.027125258642194</v>
      </c>
      <c r="K842" s="771"/>
    </row>
    <row r="843" spans="1:11" ht="18.75" customHeight="1" outlineLevel="2">
      <c r="A843" s="791" t="s">
        <v>776</v>
      </c>
      <c r="B843" s="791" t="s">
        <v>1021</v>
      </c>
      <c r="C843" s="791" t="s">
        <v>1022</v>
      </c>
      <c r="D843" s="792" t="s">
        <v>779</v>
      </c>
      <c r="E843" s="793" t="s">
        <v>662</v>
      </c>
      <c r="F843" s="793" t="s">
        <v>898</v>
      </c>
      <c r="G843" s="793" t="s">
        <v>794</v>
      </c>
      <c r="H843" s="793" t="s">
        <v>828</v>
      </c>
      <c r="I843" s="794">
        <v>5.9805778485518685E-2</v>
      </c>
      <c r="J843" s="794">
        <v>94.646383092585367</v>
      </c>
      <c r="K843" s="771"/>
    </row>
    <row r="844" spans="1:11" ht="18.75" customHeight="1" outlineLevel="2">
      <c r="A844" s="791" t="s">
        <v>776</v>
      </c>
      <c r="B844" s="791" t="s">
        <v>1021</v>
      </c>
      <c r="C844" s="791" t="s">
        <v>1022</v>
      </c>
      <c r="D844" s="792" t="s">
        <v>779</v>
      </c>
      <c r="E844" s="793" t="s">
        <v>662</v>
      </c>
      <c r="F844" s="793" t="s">
        <v>899</v>
      </c>
      <c r="G844" s="793" t="s">
        <v>794</v>
      </c>
      <c r="H844" s="793" t="s">
        <v>828</v>
      </c>
      <c r="I844" s="794">
        <v>0.10535548545511944</v>
      </c>
      <c r="J844" s="794">
        <v>149.53878322041405</v>
      </c>
      <c r="K844" s="771"/>
    </row>
    <row r="845" spans="1:11" ht="18.75" customHeight="1" outlineLevel="2">
      <c r="A845" s="791" t="s">
        <v>776</v>
      </c>
      <c r="B845" s="791" t="s">
        <v>1021</v>
      </c>
      <c r="C845" s="791" t="s">
        <v>1022</v>
      </c>
      <c r="D845" s="792" t="s">
        <v>779</v>
      </c>
      <c r="E845" s="793" t="s">
        <v>662</v>
      </c>
      <c r="F845" s="793" t="s">
        <v>900</v>
      </c>
      <c r="G845" s="793" t="s">
        <v>794</v>
      </c>
      <c r="H845" s="793" t="s">
        <v>828</v>
      </c>
      <c r="I845" s="794">
        <v>4.8808444091964524E-3</v>
      </c>
      <c r="J845" s="794">
        <v>7.016114701723164</v>
      </c>
      <c r="K845" s="771"/>
    </row>
    <row r="846" spans="1:11" ht="18.75" customHeight="1" outlineLevel="2">
      <c r="A846" s="791" t="s">
        <v>776</v>
      </c>
      <c r="B846" s="791" t="s">
        <v>1021</v>
      </c>
      <c r="C846" s="791" t="s">
        <v>1022</v>
      </c>
      <c r="D846" s="792" t="s">
        <v>779</v>
      </c>
      <c r="E846" s="793" t="s">
        <v>662</v>
      </c>
      <c r="F846" s="793" t="s">
        <v>901</v>
      </c>
      <c r="G846" s="793" t="s">
        <v>833</v>
      </c>
      <c r="H846" s="793" t="s">
        <v>834</v>
      </c>
      <c r="I846" s="794">
        <v>1.411853702039328E-2</v>
      </c>
      <c r="J846" s="794">
        <v>14.76568465918529</v>
      </c>
      <c r="K846" s="771"/>
    </row>
    <row r="847" spans="1:11" ht="18.75" customHeight="1" outlineLevel="2">
      <c r="A847" s="791" t="s">
        <v>776</v>
      </c>
      <c r="B847" s="791" t="s">
        <v>1021</v>
      </c>
      <c r="C847" s="791" t="s">
        <v>1022</v>
      </c>
      <c r="D847" s="792" t="s">
        <v>779</v>
      </c>
      <c r="E847" s="793" t="s">
        <v>662</v>
      </c>
      <c r="F847" s="793" t="s">
        <v>902</v>
      </c>
      <c r="G847" s="793" t="s">
        <v>833</v>
      </c>
      <c r="H847" s="793" t="s">
        <v>834</v>
      </c>
      <c r="I847" s="794">
        <v>1.2289329565152613E-4</v>
      </c>
      <c r="J847" s="794">
        <v>0.15736717860570601</v>
      </c>
      <c r="K847" s="771"/>
    </row>
    <row r="848" spans="1:11" ht="18.75" customHeight="1" outlineLevel="2">
      <c r="A848" s="791" t="s">
        <v>776</v>
      </c>
      <c r="B848" s="791" t="s">
        <v>1021</v>
      </c>
      <c r="C848" s="791" t="s">
        <v>1022</v>
      </c>
      <c r="D848" s="792" t="s">
        <v>779</v>
      </c>
      <c r="E848" s="793" t="s">
        <v>662</v>
      </c>
      <c r="F848" s="793" t="s">
        <v>903</v>
      </c>
      <c r="G848" s="793" t="s">
        <v>904</v>
      </c>
      <c r="H848" s="793" t="s">
        <v>905</v>
      </c>
      <c r="I848" s="794">
        <v>4.6760595721726554</v>
      </c>
      <c r="J848" s="794">
        <v>3978.4793021409491</v>
      </c>
      <c r="K848" s="771"/>
    </row>
    <row r="849" spans="1:11" ht="18.75" customHeight="1" outlineLevel="2">
      <c r="A849" s="791" t="s">
        <v>776</v>
      </c>
      <c r="B849" s="791" t="s">
        <v>1021</v>
      </c>
      <c r="C849" s="791" t="s">
        <v>1022</v>
      </c>
      <c r="D849" s="792" t="s">
        <v>779</v>
      </c>
      <c r="E849" s="793" t="s">
        <v>662</v>
      </c>
      <c r="F849" s="793" t="s">
        <v>906</v>
      </c>
      <c r="G849" s="793" t="s">
        <v>904</v>
      </c>
      <c r="H849" s="793" t="s">
        <v>905</v>
      </c>
      <c r="I849" s="794">
        <v>1.9682130858569362</v>
      </c>
      <c r="J849" s="794">
        <v>1679.1032824977162</v>
      </c>
      <c r="K849" s="771"/>
    </row>
    <row r="850" spans="1:11" ht="18.75" customHeight="1" outlineLevel="2">
      <c r="A850" s="791" t="s">
        <v>776</v>
      </c>
      <c r="B850" s="791" t="s">
        <v>1021</v>
      </c>
      <c r="C850" s="791" t="s">
        <v>1022</v>
      </c>
      <c r="D850" s="792" t="s">
        <v>779</v>
      </c>
      <c r="E850" s="793" t="s">
        <v>662</v>
      </c>
      <c r="F850" s="793" t="s">
        <v>907</v>
      </c>
      <c r="G850" s="793" t="s">
        <v>908</v>
      </c>
      <c r="H850" s="793" t="s">
        <v>905</v>
      </c>
      <c r="I850" s="794">
        <v>1.9604810673326778</v>
      </c>
      <c r="J850" s="794">
        <v>3297.7994390645099</v>
      </c>
      <c r="K850" s="771"/>
    </row>
    <row r="851" spans="1:11" ht="18.75" customHeight="1" outlineLevel="2">
      <c r="A851" s="791" t="s">
        <v>776</v>
      </c>
      <c r="B851" s="791" t="s">
        <v>1021</v>
      </c>
      <c r="C851" s="791" t="s">
        <v>1022</v>
      </c>
      <c r="D851" s="792" t="s">
        <v>779</v>
      </c>
      <c r="E851" s="793" t="s">
        <v>763</v>
      </c>
      <c r="F851" s="793" t="s">
        <v>914</v>
      </c>
      <c r="G851" s="793" t="s">
        <v>782</v>
      </c>
      <c r="H851" s="793" t="s">
        <v>913</v>
      </c>
      <c r="I851" s="794">
        <v>2.463313693425493E-4</v>
      </c>
      <c r="J851" s="794">
        <v>1.1466714669574689</v>
      </c>
      <c r="K851" s="771"/>
    </row>
    <row r="852" spans="1:11" ht="18.75" customHeight="1" outlineLevel="2">
      <c r="A852" s="791" t="s">
        <v>776</v>
      </c>
      <c r="B852" s="791" t="s">
        <v>1021</v>
      </c>
      <c r="C852" s="791" t="s">
        <v>1022</v>
      </c>
      <c r="D852" s="792" t="s">
        <v>779</v>
      </c>
      <c r="E852" s="793" t="s">
        <v>763</v>
      </c>
      <c r="F852" s="793" t="s">
        <v>915</v>
      </c>
      <c r="G852" s="793" t="s">
        <v>782</v>
      </c>
      <c r="H852" s="793" t="s">
        <v>913</v>
      </c>
      <c r="I852" s="794">
        <v>1.3211544346563943E-4</v>
      </c>
      <c r="J852" s="794">
        <v>1.9176372970155713</v>
      </c>
      <c r="K852" s="771"/>
    </row>
    <row r="853" spans="1:11" ht="18.75" customHeight="1" outlineLevel="2">
      <c r="A853" s="791" t="s">
        <v>776</v>
      </c>
      <c r="B853" s="791" t="s">
        <v>1021</v>
      </c>
      <c r="C853" s="791" t="s">
        <v>1022</v>
      </c>
      <c r="D853" s="792" t="s">
        <v>779</v>
      </c>
      <c r="E853" s="793" t="s">
        <v>763</v>
      </c>
      <c r="F853" s="793" t="s">
        <v>916</v>
      </c>
      <c r="G853" s="793" t="s">
        <v>782</v>
      </c>
      <c r="H853" s="793" t="s">
        <v>913</v>
      </c>
      <c r="I853" s="794">
        <v>1.9588174925374806E-4</v>
      </c>
      <c r="J853" s="794">
        <v>0.33865300778117929</v>
      </c>
      <c r="K853" s="771"/>
    </row>
    <row r="854" spans="1:11" ht="18.75" customHeight="1" outlineLevel="2">
      <c r="A854" s="791" t="s">
        <v>776</v>
      </c>
      <c r="B854" s="791" t="s">
        <v>1021</v>
      </c>
      <c r="C854" s="791" t="s">
        <v>1022</v>
      </c>
      <c r="D854" s="792" t="s">
        <v>779</v>
      </c>
      <c r="E854" s="793" t="s">
        <v>763</v>
      </c>
      <c r="F854" s="793" t="s">
        <v>917</v>
      </c>
      <c r="G854" s="793" t="s">
        <v>782</v>
      </c>
      <c r="H854" s="793" t="s">
        <v>913</v>
      </c>
      <c r="I854" s="794">
        <v>3.5861857152708221E-5</v>
      </c>
      <c r="J854" s="794">
        <v>0.19633253425841846</v>
      </c>
      <c r="K854" s="771"/>
    </row>
    <row r="855" spans="1:11" ht="18.75" customHeight="1" outlineLevel="2">
      <c r="A855" s="791" t="s">
        <v>776</v>
      </c>
      <c r="B855" s="791" t="s">
        <v>1021</v>
      </c>
      <c r="C855" s="791" t="s">
        <v>1022</v>
      </c>
      <c r="D855" s="792" t="s">
        <v>779</v>
      </c>
      <c r="E855" s="793" t="s">
        <v>763</v>
      </c>
      <c r="F855" s="793" t="s">
        <v>918</v>
      </c>
      <c r="G855" s="793" t="s">
        <v>782</v>
      </c>
      <c r="H855" s="793" t="s">
        <v>913</v>
      </c>
      <c r="I855" s="794">
        <v>7.9374746852006088E-4</v>
      </c>
      <c r="J855" s="794">
        <v>3.5462133197579</v>
      </c>
      <c r="K855" s="771"/>
    </row>
    <row r="856" spans="1:11" ht="18.75" customHeight="1" outlineLevel="2">
      <c r="A856" s="791" t="s">
        <v>776</v>
      </c>
      <c r="B856" s="791" t="s">
        <v>1021</v>
      </c>
      <c r="C856" s="791" t="s">
        <v>1022</v>
      </c>
      <c r="D856" s="792" t="s">
        <v>779</v>
      </c>
      <c r="E856" s="793" t="s">
        <v>763</v>
      </c>
      <c r="F856" s="793" t="s">
        <v>919</v>
      </c>
      <c r="G856" s="793" t="s">
        <v>782</v>
      </c>
      <c r="H856" s="793" t="s">
        <v>913</v>
      </c>
      <c r="I856" s="794">
        <v>1.518296219012833E-3</v>
      </c>
      <c r="J856" s="794">
        <v>1.7811876496694201</v>
      </c>
      <c r="K856" s="771"/>
    </row>
    <row r="857" spans="1:11" ht="18.75" customHeight="1" outlineLevel="2">
      <c r="A857" s="791" t="s">
        <v>776</v>
      </c>
      <c r="B857" s="791" t="s">
        <v>1021</v>
      </c>
      <c r="C857" s="791" t="s">
        <v>1022</v>
      </c>
      <c r="D857" s="792" t="s">
        <v>779</v>
      </c>
      <c r="E857" s="793" t="s">
        <v>763</v>
      </c>
      <c r="F857" s="793" t="s">
        <v>920</v>
      </c>
      <c r="G857" s="793" t="s">
        <v>782</v>
      </c>
      <c r="H857" s="793" t="s">
        <v>913</v>
      </c>
      <c r="I857" s="794">
        <v>1.6490693076734615E-4</v>
      </c>
      <c r="J857" s="794">
        <v>3.2809000835633433</v>
      </c>
      <c r="K857" s="771"/>
    </row>
    <row r="858" spans="1:11" ht="18.75" customHeight="1" outlineLevel="2">
      <c r="A858" s="791" t="s">
        <v>776</v>
      </c>
      <c r="B858" s="791" t="s">
        <v>1021</v>
      </c>
      <c r="C858" s="791" t="s">
        <v>1022</v>
      </c>
      <c r="D858" s="792" t="s">
        <v>779</v>
      </c>
      <c r="E858" s="793" t="s">
        <v>763</v>
      </c>
      <c r="F858" s="793" t="s">
        <v>921</v>
      </c>
      <c r="G858" s="793" t="s">
        <v>782</v>
      </c>
      <c r="H858" s="793" t="s">
        <v>913</v>
      </c>
      <c r="I858" s="794">
        <v>7.6537531348041155E-4</v>
      </c>
      <c r="J858" s="794">
        <v>1.336859635227069</v>
      </c>
      <c r="K858" s="771"/>
    </row>
    <row r="859" spans="1:11" ht="18.75" customHeight="1" outlineLevel="2">
      <c r="A859" s="791" t="s">
        <v>776</v>
      </c>
      <c r="B859" s="791" t="s">
        <v>1021</v>
      </c>
      <c r="C859" s="791" t="s">
        <v>1022</v>
      </c>
      <c r="D859" s="792" t="s">
        <v>779</v>
      </c>
      <c r="E859" s="793" t="s">
        <v>763</v>
      </c>
      <c r="F859" s="793" t="s">
        <v>922</v>
      </c>
      <c r="G859" s="793" t="s">
        <v>782</v>
      </c>
      <c r="H859" s="793" t="s">
        <v>913</v>
      </c>
      <c r="I859" s="794">
        <v>1.1441476652793136E-4</v>
      </c>
      <c r="J859" s="794">
        <v>0.21911134598387361</v>
      </c>
      <c r="K859" s="771"/>
    </row>
    <row r="860" spans="1:11" ht="18.75" customHeight="1" outlineLevel="2">
      <c r="A860" s="791" t="s">
        <v>776</v>
      </c>
      <c r="B860" s="791" t="s">
        <v>1021</v>
      </c>
      <c r="C860" s="791" t="s">
        <v>1022</v>
      </c>
      <c r="D860" s="792" t="s">
        <v>779</v>
      </c>
      <c r="E860" s="793" t="s">
        <v>763</v>
      </c>
      <c r="F860" s="793" t="s">
        <v>923</v>
      </c>
      <c r="G860" s="793" t="s">
        <v>782</v>
      </c>
      <c r="H860" s="793" t="s">
        <v>913</v>
      </c>
      <c r="I860" s="794">
        <v>6.2705132978140953E-4</v>
      </c>
      <c r="J860" s="794">
        <v>2.2783753306628238</v>
      </c>
      <c r="K860" s="771"/>
    </row>
    <row r="861" spans="1:11" ht="18.75" customHeight="1" outlineLevel="2">
      <c r="A861" s="791" t="s">
        <v>776</v>
      </c>
      <c r="B861" s="791" t="s">
        <v>1021</v>
      </c>
      <c r="C861" s="791" t="s">
        <v>1022</v>
      </c>
      <c r="D861" s="792" t="s">
        <v>779</v>
      </c>
      <c r="E861" s="793" t="s">
        <v>763</v>
      </c>
      <c r="F861" s="793" t="s">
        <v>924</v>
      </c>
      <c r="G861" s="793" t="s">
        <v>782</v>
      </c>
      <c r="H861" s="793" t="s">
        <v>913</v>
      </c>
      <c r="I861" s="794">
        <v>5.1658830874366812E-4</v>
      </c>
      <c r="J861" s="794">
        <v>5.5017794822879456</v>
      </c>
      <c r="K861" s="771"/>
    </row>
    <row r="862" spans="1:11" ht="18.75" customHeight="1" outlineLevel="2">
      <c r="A862" s="791" t="s">
        <v>776</v>
      </c>
      <c r="B862" s="791" t="s">
        <v>1021</v>
      </c>
      <c r="C862" s="791" t="s">
        <v>1022</v>
      </c>
      <c r="D862" s="792" t="s">
        <v>779</v>
      </c>
      <c r="E862" s="793" t="s">
        <v>763</v>
      </c>
      <c r="F862" s="793" t="s">
        <v>925</v>
      </c>
      <c r="G862" s="793" t="s">
        <v>782</v>
      </c>
      <c r="H862" s="793" t="s">
        <v>913</v>
      </c>
      <c r="I862" s="794">
        <v>3.6349471840754213E-5</v>
      </c>
      <c r="J862" s="794">
        <v>0.57885890732110412</v>
      </c>
      <c r="K862" s="771"/>
    </row>
    <row r="863" spans="1:11" ht="18.75" customHeight="1" outlineLevel="2">
      <c r="A863" s="791" t="s">
        <v>776</v>
      </c>
      <c r="B863" s="791" t="s">
        <v>1021</v>
      </c>
      <c r="C863" s="791" t="s">
        <v>1022</v>
      </c>
      <c r="D863" s="792" t="s">
        <v>779</v>
      </c>
      <c r="E863" s="793" t="s">
        <v>763</v>
      </c>
      <c r="F863" s="793" t="s">
        <v>926</v>
      </c>
      <c r="G863" s="793" t="s">
        <v>782</v>
      </c>
      <c r="H863" s="793" t="s">
        <v>913</v>
      </c>
      <c r="I863" s="794">
        <v>2.6956662020138395E-3</v>
      </c>
      <c r="J863" s="794">
        <v>4.9557228446788111</v>
      </c>
      <c r="K863" s="771"/>
    </row>
    <row r="864" spans="1:11" ht="18.75" customHeight="1" outlineLevel="2">
      <c r="A864" s="791" t="s">
        <v>776</v>
      </c>
      <c r="B864" s="791" t="s">
        <v>1021</v>
      </c>
      <c r="C864" s="791" t="s">
        <v>1022</v>
      </c>
      <c r="D864" s="792" t="s">
        <v>779</v>
      </c>
      <c r="E864" s="793" t="s">
        <v>763</v>
      </c>
      <c r="F864" s="793" t="s">
        <v>927</v>
      </c>
      <c r="G864" s="793" t="s">
        <v>782</v>
      </c>
      <c r="H864" s="793" t="s">
        <v>913</v>
      </c>
      <c r="I864" s="794">
        <v>1.5025616252380904E-3</v>
      </c>
      <c r="J864" s="794">
        <v>2.0797793382366465</v>
      </c>
      <c r="K864" s="771"/>
    </row>
    <row r="865" spans="1:11" ht="18.75" customHeight="1" outlineLevel="2">
      <c r="A865" s="791" t="s">
        <v>776</v>
      </c>
      <c r="B865" s="791" t="s">
        <v>1021</v>
      </c>
      <c r="C865" s="791" t="s">
        <v>1022</v>
      </c>
      <c r="D865" s="792" t="s">
        <v>779</v>
      </c>
      <c r="E865" s="793" t="s">
        <v>763</v>
      </c>
      <c r="F865" s="793" t="s">
        <v>928</v>
      </c>
      <c r="G865" s="793" t="s">
        <v>785</v>
      </c>
      <c r="H865" s="793" t="s">
        <v>913</v>
      </c>
      <c r="I865" s="794">
        <v>2.5646844259944452E-3</v>
      </c>
      <c r="J865" s="794">
        <v>7.8950992461031095</v>
      </c>
      <c r="K865" s="771"/>
    </row>
    <row r="866" spans="1:11" ht="18.75" customHeight="1" outlineLevel="2">
      <c r="A866" s="791" t="s">
        <v>776</v>
      </c>
      <c r="B866" s="791" t="s">
        <v>1021</v>
      </c>
      <c r="C866" s="791" t="s">
        <v>1022</v>
      </c>
      <c r="D866" s="792" t="s">
        <v>779</v>
      </c>
      <c r="E866" s="793" t="s">
        <v>763</v>
      </c>
      <c r="F866" s="793" t="s">
        <v>929</v>
      </c>
      <c r="G866" s="793" t="s">
        <v>785</v>
      </c>
      <c r="H866" s="793" t="s">
        <v>913</v>
      </c>
      <c r="I866" s="794">
        <v>5.0987632134584418E-2</v>
      </c>
      <c r="J866" s="794">
        <v>718.1454440799821</v>
      </c>
      <c r="K866" s="771"/>
    </row>
    <row r="867" spans="1:11" ht="18.75" customHeight="1" outlineLevel="2">
      <c r="A867" s="791" t="s">
        <v>776</v>
      </c>
      <c r="B867" s="791" t="s">
        <v>1021</v>
      </c>
      <c r="C867" s="791" t="s">
        <v>1022</v>
      </c>
      <c r="D867" s="792" t="s">
        <v>779</v>
      </c>
      <c r="E867" s="793" t="s">
        <v>763</v>
      </c>
      <c r="F867" s="793" t="s">
        <v>930</v>
      </c>
      <c r="G867" s="793" t="s">
        <v>785</v>
      </c>
      <c r="H867" s="793" t="s">
        <v>913</v>
      </c>
      <c r="I867" s="794">
        <v>3.0355511843510737E-4</v>
      </c>
      <c r="J867" s="794">
        <v>5.3499078312102943</v>
      </c>
      <c r="K867" s="771"/>
    </row>
    <row r="868" spans="1:11" ht="18.75" customHeight="1" outlineLevel="2">
      <c r="A868" s="791" t="s">
        <v>776</v>
      </c>
      <c r="B868" s="791" t="s">
        <v>1021</v>
      </c>
      <c r="C868" s="791" t="s">
        <v>1022</v>
      </c>
      <c r="D868" s="792" t="s">
        <v>779</v>
      </c>
      <c r="E868" s="793" t="s">
        <v>763</v>
      </c>
      <c r="F868" s="793" t="s">
        <v>931</v>
      </c>
      <c r="G868" s="793" t="s">
        <v>785</v>
      </c>
      <c r="H868" s="793" t="s">
        <v>913</v>
      </c>
      <c r="I868" s="794">
        <v>1.0154520128898742E-4</v>
      </c>
      <c r="J868" s="794">
        <v>1.6875520620459445</v>
      </c>
      <c r="K868" s="771"/>
    </row>
    <row r="869" spans="1:11" ht="18.75" customHeight="1" outlineLevel="2">
      <c r="A869" s="791" t="s">
        <v>776</v>
      </c>
      <c r="B869" s="791" t="s">
        <v>1021</v>
      </c>
      <c r="C869" s="791" t="s">
        <v>1022</v>
      </c>
      <c r="D869" s="792" t="s">
        <v>779</v>
      </c>
      <c r="E869" s="793" t="s">
        <v>763</v>
      </c>
      <c r="F869" s="793" t="s">
        <v>932</v>
      </c>
      <c r="G869" s="793" t="s">
        <v>785</v>
      </c>
      <c r="H869" s="793" t="s">
        <v>913</v>
      </c>
      <c r="I869" s="794">
        <v>1.0842499951666722E-4</v>
      </c>
      <c r="J869" s="794">
        <v>0.41677493276624128</v>
      </c>
      <c r="K869" s="771"/>
    </row>
    <row r="870" spans="1:11" ht="18.75" customHeight="1" outlineLevel="2">
      <c r="A870" s="791" t="s">
        <v>776</v>
      </c>
      <c r="B870" s="791" t="s">
        <v>1021</v>
      </c>
      <c r="C870" s="791" t="s">
        <v>1022</v>
      </c>
      <c r="D870" s="792" t="s">
        <v>779</v>
      </c>
      <c r="E870" s="793" t="s">
        <v>763</v>
      </c>
      <c r="F870" s="793" t="s">
        <v>933</v>
      </c>
      <c r="G870" s="793" t="s">
        <v>785</v>
      </c>
      <c r="H870" s="793" t="s">
        <v>913</v>
      </c>
      <c r="I870" s="794">
        <v>1.5218789811846097E-4</v>
      </c>
      <c r="J870" s="794">
        <v>3.314514501636971</v>
      </c>
      <c r="K870" s="771"/>
    </row>
    <row r="871" spans="1:11" ht="18.75" customHeight="1" outlineLevel="2">
      <c r="A871" s="791" t="s">
        <v>776</v>
      </c>
      <c r="B871" s="791" t="s">
        <v>1021</v>
      </c>
      <c r="C871" s="791" t="s">
        <v>1022</v>
      </c>
      <c r="D871" s="792" t="s">
        <v>779</v>
      </c>
      <c r="E871" s="793" t="s">
        <v>763</v>
      </c>
      <c r="F871" s="793" t="s">
        <v>934</v>
      </c>
      <c r="G871" s="793" t="s">
        <v>813</v>
      </c>
      <c r="H871" s="793" t="s">
        <v>913</v>
      </c>
      <c r="I871" s="794">
        <v>1.8212429154317203E-3</v>
      </c>
      <c r="J871" s="794">
        <v>27.599662621183843</v>
      </c>
      <c r="K871" s="771"/>
    </row>
    <row r="872" spans="1:11" ht="18.75" customHeight="1" outlineLevel="2">
      <c r="A872" s="791" t="s">
        <v>776</v>
      </c>
      <c r="B872" s="791" t="s">
        <v>1021</v>
      </c>
      <c r="C872" s="791" t="s">
        <v>1022</v>
      </c>
      <c r="D872" s="792" t="s">
        <v>779</v>
      </c>
      <c r="E872" s="793" t="s">
        <v>763</v>
      </c>
      <c r="F872" s="793" t="s">
        <v>935</v>
      </c>
      <c r="G872" s="793" t="s">
        <v>791</v>
      </c>
      <c r="H872" s="793" t="s">
        <v>913</v>
      </c>
      <c r="I872" s="794">
        <v>7.4116806956873254E-6</v>
      </c>
      <c r="J872" s="794">
        <v>9.3393266088197084E-3</v>
      </c>
      <c r="K872" s="771"/>
    </row>
    <row r="873" spans="1:11" ht="18.75" customHeight="1" outlineLevel="2">
      <c r="A873" s="791" t="s">
        <v>776</v>
      </c>
      <c r="B873" s="791" t="s">
        <v>1021</v>
      </c>
      <c r="C873" s="791" t="s">
        <v>1022</v>
      </c>
      <c r="D873" s="792" t="s">
        <v>779</v>
      </c>
      <c r="E873" s="793" t="s">
        <v>763</v>
      </c>
      <c r="F873" s="793" t="s">
        <v>936</v>
      </c>
      <c r="G873" s="793" t="s">
        <v>791</v>
      </c>
      <c r="H873" s="793" t="s">
        <v>913</v>
      </c>
      <c r="I873" s="794">
        <v>1.0738845769671998E-6</v>
      </c>
      <c r="J873" s="794">
        <v>1.8190375165725612E-2</v>
      </c>
      <c r="K873" s="771"/>
    </row>
    <row r="874" spans="1:11" ht="18.75" customHeight="1" outlineLevel="2">
      <c r="A874" s="791" t="s">
        <v>776</v>
      </c>
      <c r="B874" s="791" t="s">
        <v>1021</v>
      </c>
      <c r="C874" s="791" t="s">
        <v>1022</v>
      </c>
      <c r="D874" s="792" t="s">
        <v>779</v>
      </c>
      <c r="E874" s="793" t="s">
        <v>763</v>
      </c>
      <c r="F874" s="793" t="s">
        <v>937</v>
      </c>
      <c r="G874" s="793" t="s">
        <v>794</v>
      </c>
      <c r="H874" s="793" t="s">
        <v>913</v>
      </c>
      <c r="I874" s="794">
        <v>1.3025710978808665E-2</v>
      </c>
      <c r="J874" s="794">
        <v>31.982317796904862</v>
      </c>
      <c r="K874" s="771"/>
    </row>
    <row r="875" spans="1:11" ht="18.75" customHeight="1" outlineLevel="2">
      <c r="A875" s="791" t="s">
        <v>776</v>
      </c>
      <c r="B875" s="791" t="s">
        <v>1021</v>
      </c>
      <c r="C875" s="791" t="s">
        <v>1022</v>
      </c>
      <c r="D875" s="792" t="s">
        <v>779</v>
      </c>
      <c r="E875" s="793" t="s">
        <v>763</v>
      </c>
      <c r="F875" s="793" t="s">
        <v>938</v>
      </c>
      <c r="G875" s="793" t="s">
        <v>794</v>
      </c>
      <c r="H875" s="793" t="s">
        <v>913</v>
      </c>
      <c r="I875" s="794">
        <v>1.5326868756157159E-3</v>
      </c>
      <c r="J875" s="794">
        <v>7.0005283691388493</v>
      </c>
      <c r="K875" s="771"/>
    </row>
    <row r="876" spans="1:11" ht="18.75" customHeight="1" outlineLevel="2">
      <c r="A876" s="791" t="s">
        <v>776</v>
      </c>
      <c r="B876" s="791" t="s">
        <v>1021</v>
      </c>
      <c r="C876" s="791" t="s">
        <v>1022</v>
      </c>
      <c r="D876" s="792" t="s">
        <v>779</v>
      </c>
      <c r="E876" s="793" t="s">
        <v>763</v>
      </c>
      <c r="F876" s="793" t="s">
        <v>939</v>
      </c>
      <c r="G876" s="793" t="s">
        <v>794</v>
      </c>
      <c r="H876" s="793" t="s">
        <v>913</v>
      </c>
      <c r="I876" s="794">
        <v>7.9915672837172912E-4</v>
      </c>
      <c r="J876" s="794">
        <v>8.1743338019636962</v>
      </c>
      <c r="K876" s="771"/>
    </row>
    <row r="877" spans="1:11" ht="18.75" customHeight="1" outlineLevel="2">
      <c r="A877" s="791" t="s">
        <v>776</v>
      </c>
      <c r="B877" s="791" t="s">
        <v>1021</v>
      </c>
      <c r="C877" s="791" t="s">
        <v>1022</v>
      </c>
      <c r="D877" s="792" t="s">
        <v>779</v>
      </c>
      <c r="E877" s="793" t="s">
        <v>763</v>
      </c>
      <c r="F877" s="793" t="s">
        <v>940</v>
      </c>
      <c r="G877" s="793" t="s">
        <v>794</v>
      </c>
      <c r="H877" s="793" t="s">
        <v>913</v>
      </c>
      <c r="I877" s="794">
        <v>1.3229993231338776E-3</v>
      </c>
      <c r="J877" s="794">
        <v>10.159500209983046</v>
      </c>
      <c r="K877" s="771"/>
    </row>
    <row r="878" spans="1:11" ht="18.75" customHeight="1" outlineLevel="2">
      <c r="A878" s="791" t="s">
        <v>776</v>
      </c>
      <c r="B878" s="791" t="s">
        <v>1021</v>
      </c>
      <c r="C878" s="791" t="s">
        <v>1022</v>
      </c>
      <c r="D878" s="792" t="s">
        <v>779</v>
      </c>
      <c r="E878" s="793" t="s">
        <v>763</v>
      </c>
      <c r="F878" s="793" t="s">
        <v>941</v>
      </c>
      <c r="G878" s="793" t="s">
        <v>794</v>
      </c>
      <c r="H878" s="793" t="s">
        <v>913</v>
      </c>
      <c r="I878" s="794">
        <v>4.5797136064434651E-5</v>
      </c>
      <c r="J878" s="794">
        <v>0.13817482614191026</v>
      </c>
      <c r="K878" s="771"/>
    </row>
    <row r="879" spans="1:11" ht="18.75" customHeight="1" outlineLevel="2">
      <c r="A879" s="791" t="s">
        <v>776</v>
      </c>
      <c r="B879" s="791" t="s">
        <v>1021</v>
      </c>
      <c r="C879" s="791" t="s">
        <v>1022</v>
      </c>
      <c r="D879" s="792" t="s">
        <v>779</v>
      </c>
      <c r="E879" s="793" t="s">
        <v>763</v>
      </c>
      <c r="F879" s="793" t="s">
        <v>942</v>
      </c>
      <c r="G879" s="793" t="s">
        <v>794</v>
      </c>
      <c r="H879" s="793" t="s">
        <v>913</v>
      </c>
      <c r="I879" s="794">
        <v>1.0856119025442227E-5</v>
      </c>
      <c r="J879" s="794">
        <v>0.12545081526450114</v>
      </c>
      <c r="K879" s="771"/>
    </row>
    <row r="880" spans="1:11" ht="18.75" customHeight="1" outlineLevel="2">
      <c r="A880" s="791" t="s">
        <v>776</v>
      </c>
      <c r="B880" s="791" t="s">
        <v>1021</v>
      </c>
      <c r="C880" s="791" t="s">
        <v>1022</v>
      </c>
      <c r="D880" s="792" t="s">
        <v>779</v>
      </c>
      <c r="E880" s="793" t="s">
        <v>764</v>
      </c>
      <c r="F880" s="793" t="s">
        <v>945</v>
      </c>
      <c r="G880" s="793" t="s">
        <v>244</v>
      </c>
      <c r="H880" s="793" t="s">
        <v>905</v>
      </c>
      <c r="I880" s="794">
        <v>6.9624759449395418E-2</v>
      </c>
      <c r="J880" s="794">
        <v>2505.8492945510529</v>
      </c>
      <c r="K880" s="771"/>
    </row>
    <row r="881" spans="1:11" ht="18.75" customHeight="1" outlineLevel="2">
      <c r="A881" s="791" t="s">
        <v>776</v>
      </c>
      <c r="B881" s="791" t="s">
        <v>1021</v>
      </c>
      <c r="C881" s="791" t="s">
        <v>1022</v>
      </c>
      <c r="D881" s="792" t="s">
        <v>779</v>
      </c>
      <c r="E881" s="793" t="s">
        <v>764</v>
      </c>
      <c r="F881" s="793" t="s">
        <v>946</v>
      </c>
      <c r="G881" s="793" t="s">
        <v>244</v>
      </c>
      <c r="H881" s="793" t="s">
        <v>905</v>
      </c>
      <c r="I881" s="794">
        <v>4.1500255280241857E-4</v>
      </c>
      <c r="J881" s="794">
        <v>7.8723628028042691</v>
      </c>
      <c r="K881" s="771"/>
    </row>
    <row r="882" spans="1:11" ht="18.75" customHeight="1" outlineLevel="2">
      <c r="A882" s="791" t="s">
        <v>776</v>
      </c>
      <c r="B882" s="791" t="s">
        <v>1021</v>
      </c>
      <c r="C882" s="791" t="s">
        <v>1022</v>
      </c>
      <c r="D882" s="792" t="s">
        <v>779</v>
      </c>
      <c r="E882" s="793" t="s">
        <v>947</v>
      </c>
      <c r="F882" s="793" t="s">
        <v>949</v>
      </c>
      <c r="G882" s="793" t="s">
        <v>782</v>
      </c>
      <c r="H882" s="793" t="s">
        <v>804</v>
      </c>
      <c r="I882" s="794">
        <v>2.3515135215718187E-3</v>
      </c>
      <c r="J882" s="794">
        <v>137.14129880045459</v>
      </c>
      <c r="K882" s="771"/>
    </row>
    <row r="883" spans="1:11" ht="18.75" customHeight="1" outlineLevel="2">
      <c r="A883" s="791" t="s">
        <v>776</v>
      </c>
      <c r="B883" s="791" t="s">
        <v>1021</v>
      </c>
      <c r="C883" s="791" t="s">
        <v>1022</v>
      </c>
      <c r="D883" s="792" t="s">
        <v>779</v>
      </c>
      <c r="E883" s="793" t="s">
        <v>947</v>
      </c>
      <c r="F883" s="793" t="s">
        <v>950</v>
      </c>
      <c r="G883" s="793" t="s">
        <v>782</v>
      </c>
      <c r="H883" s="793" t="s">
        <v>804</v>
      </c>
      <c r="I883" s="794">
        <v>2.0219024716409472E-5</v>
      </c>
      <c r="J883" s="794">
        <v>0.22333170872013944</v>
      </c>
      <c r="K883" s="771"/>
    </row>
    <row r="884" spans="1:11" ht="18.75" customHeight="1" outlineLevel="2">
      <c r="A884" s="791" t="s">
        <v>776</v>
      </c>
      <c r="B884" s="791" t="s">
        <v>1021</v>
      </c>
      <c r="C884" s="791" t="s">
        <v>1022</v>
      </c>
      <c r="D884" s="792" t="s">
        <v>779</v>
      </c>
      <c r="E884" s="793" t="s">
        <v>947</v>
      </c>
      <c r="F884" s="793" t="s">
        <v>951</v>
      </c>
      <c r="G884" s="793" t="s">
        <v>782</v>
      </c>
      <c r="H884" s="793" t="s">
        <v>804</v>
      </c>
      <c r="I884" s="794">
        <v>2.9322780825173194E-4</v>
      </c>
      <c r="J884" s="794">
        <v>3.6788820347637916</v>
      </c>
      <c r="K884" s="771"/>
    </row>
    <row r="885" spans="1:11" ht="18.75" customHeight="1" outlineLevel="2">
      <c r="A885" s="791" t="s">
        <v>776</v>
      </c>
      <c r="B885" s="791" t="s">
        <v>1021</v>
      </c>
      <c r="C885" s="791" t="s">
        <v>1022</v>
      </c>
      <c r="D885" s="792" t="s">
        <v>779</v>
      </c>
      <c r="E885" s="793" t="s">
        <v>947</v>
      </c>
      <c r="F885" s="793" t="s">
        <v>952</v>
      </c>
      <c r="G885" s="793" t="s">
        <v>782</v>
      </c>
      <c r="H885" s="793" t="s">
        <v>804</v>
      </c>
      <c r="I885" s="794">
        <v>6.6961593434089611E-3</v>
      </c>
      <c r="J885" s="794">
        <v>343.28538912545594</v>
      </c>
      <c r="K885" s="771"/>
    </row>
    <row r="886" spans="1:11" ht="18.75" customHeight="1" outlineLevel="2">
      <c r="A886" s="791" t="s">
        <v>776</v>
      </c>
      <c r="B886" s="791" t="s">
        <v>1021</v>
      </c>
      <c r="C886" s="791" t="s">
        <v>1022</v>
      </c>
      <c r="D886" s="792" t="s">
        <v>779</v>
      </c>
      <c r="E886" s="793" t="s">
        <v>947</v>
      </c>
      <c r="F886" s="793" t="s">
        <v>953</v>
      </c>
      <c r="G886" s="793" t="s">
        <v>782</v>
      </c>
      <c r="H886" s="793" t="s">
        <v>804</v>
      </c>
      <c r="I886" s="794">
        <v>5.0832367865786387E-3</v>
      </c>
      <c r="J886" s="794">
        <v>373.5177736223734</v>
      </c>
      <c r="K886" s="771"/>
    </row>
    <row r="887" spans="1:11" ht="18.75" customHeight="1" outlineLevel="2">
      <c r="A887" s="791" t="s">
        <v>776</v>
      </c>
      <c r="B887" s="791" t="s">
        <v>1021</v>
      </c>
      <c r="C887" s="791" t="s">
        <v>1022</v>
      </c>
      <c r="D887" s="792" t="s">
        <v>779</v>
      </c>
      <c r="E887" s="793" t="s">
        <v>947</v>
      </c>
      <c r="F887" s="793" t="s">
        <v>954</v>
      </c>
      <c r="G887" s="793" t="s">
        <v>782</v>
      </c>
      <c r="H887" s="793" t="s">
        <v>804</v>
      </c>
      <c r="I887" s="794">
        <v>5.7429941981580908E-4</v>
      </c>
      <c r="J887" s="794">
        <v>20.624953312110726</v>
      </c>
      <c r="K887" s="771"/>
    </row>
    <row r="888" spans="1:11" ht="18.75" customHeight="1" outlineLevel="2">
      <c r="A888" s="791" t="s">
        <v>776</v>
      </c>
      <c r="B888" s="791" t="s">
        <v>1021</v>
      </c>
      <c r="C888" s="791" t="s">
        <v>1022</v>
      </c>
      <c r="D888" s="792" t="s">
        <v>779</v>
      </c>
      <c r="E888" s="793" t="s">
        <v>947</v>
      </c>
      <c r="F888" s="793" t="s">
        <v>955</v>
      </c>
      <c r="G888" s="793" t="s">
        <v>782</v>
      </c>
      <c r="H888" s="793" t="s">
        <v>804</v>
      </c>
      <c r="I888" s="794">
        <v>3.0546474392898816E-4</v>
      </c>
      <c r="J888" s="794">
        <v>14.044702073132965</v>
      </c>
      <c r="K888" s="771"/>
    </row>
    <row r="889" spans="1:11" ht="18.75" customHeight="1" outlineLevel="2">
      <c r="A889" s="791" t="s">
        <v>776</v>
      </c>
      <c r="B889" s="791" t="s">
        <v>1021</v>
      </c>
      <c r="C889" s="791" t="s">
        <v>1022</v>
      </c>
      <c r="D889" s="792" t="s">
        <v>779</v>
      </c>
      <c r="E889" s="793" t="s">
        <v>947</v>
      </c>
      <c r="F889" s="793" t="s">
        <v>956</v>
      </c>
      <c r="G889" s="793" t="s">
        <v>782</v>
      </c>
      <c r="H889" s="793" t="s">
        <v>804</v>
      </c>
      <c r="I889" s="794">
        <v>1.6235331274853915E-3</v>
      </c>
      <c r="J889" s="794">
        <v>38.568110988601312</v>
      </c>
      <c r="K889" s="771"/>
    </row>
    <row r="890" spans="1:11" ht="18.75" customHeight="1" outlineLevel="2">
      <c r="A890" s="791" t="s">
        <v>776</v>
      </c>
      <c r="B890" s="791" t="s">
        <v>1021</v>
      </c>
      <c r="C890" s="791" t="s">
        <v>1022</v>
      </c>
      <c r="D890" s="792" t="s">
        <v>779</v>
      </c>
      <c r="E890" s="793" t="s">
        <v>947</v>
      </c>
      <c r="F890" s="793" t="s">
        <v>957</v>
      </c>
      <c r="G890" s="793" t="s">
        <v>782</v>
      </c>
      <c r="H890" s="793" t="s">
        <v>804</v>
      </c>
      <c r="I890" s="794">
        <v>4.654204788832295E-3</v>
      </c>
      <c r="J890" s="794">
        <v>165.04318518209874</v>
      </c>
      <c r="K890" s="771"/>
    </row>
    <row r="891" spans="1:11" ht="18.75" customHeight="1" outlineLevel="2">
      <c r="A891" s="791" t="s">
        <v>776</v>
      </c>
      <c r="B891" s="791" t="s">
        <v>1021</v>
      </c>
      <c r="C891" s="791" t="s">
        <v>1022</v>
      </c>
      <c r="D891" s="792" t="s">
        <v>779</v>
      </c>
      <c r="E891" s="793" t="s">
        <v>947</v>
      </c>
      <c r="F891" s="793" t="s">
        <v>958</v>
      </c>
      <c r="G891" s="793" t="s">
        <v>782</v>
      </c>
      <c r="H891" s="793" t="s">
        <v>804</v>
      </c>
      <c r="I891" s="794">
        <v>3.2903699310907791E-3</v>
      </c>
      <c r="J891" s="794">
        <v>181.20716541091787</v>
      </c>
      <c r="K891" s="771"/>
    </row>
    <row r="892" spans="1:11" ht="18.75" customHeight="1" outlineLevel="2">
      <c r="A892" s="791" t="s">
        <v>776</v>
      </c>
      <c r="B892" s="791" t="s">
        <v>1021</v>
      </c>
      <c r="C892" s="791" t="s">
        <v>1022</v>
      </c>
      <c r="D892" s="792" t="s">
        <v>779</v>
      </c>
      <c r="E892" s="793" t="s">
        <v>947</v>
      </c>
      <c r="F892" s="793" t="s">
        <v>959</v>
      </c>
      <c r="G892" s="793" t="s">
        <v>782</v>
      </c>
      <c r="H892" s="793" t="s">
        <v>804</v>
      </c>
      <c r="I892" s="794">
        <v>1.8039331930234218E-2</v>
      </c>
      <c r="J892" s="794">
        <v>1391.3947753135867</v>
      </c>
      <c r="K892" s="771"/>
    </row>
    <row r="893" spans="1:11" ht="18.75" customHeight="1" outlineLevel="2">
      <c r="A893" s="791" t="s">
        <v>776</v>
      </c>
      <c r="B893" s="791" t="s">
        <v>1021</v>
      </c>
      <c r="C893" s="791" t="s">
        <v>1022</v>
      </c>
      <c r="D893" s="792" t="s">
        <v>779</v>
      </c>
      <c r="E893" s="793" t="s">
        <v>947</v>
      </c>
      <c r="F893" s="793" t="s">
        <v>960</v>
      </c>
      <c r="G893" s="793" t="s">
        <v>782</v>
      </c>
      <c r="H893" s="793" t="s">
        <v>804</v>
      </c>
      <c r="I893" s="794">
        <v>3.8154560513337587E-4</v>
      </c>
      <c r="J893" s="794">
        <v>11.56961299111048</v>
      </c>
      <c r="K893" s="771"/>
    </row>
    <row r="894" spans="1:11" ht="18.75" customHeight="1" outlineLevel="2">
      <c r="A894" s="791" t="s">
        <v>776</v>
      </c>
      <c r="B894" s="791" t="s">
        <v>1021</v>
      </c>
      <c r="C894" s="791" t="s">
        <v>1022</v>
      </c>
      <c r="D894" s="792" t="s">
        <v>779</v>
      </c>
      <c r="E894" s="793" t="s">
        <v>947</v>
      </c>
      <c r="F894" s="793" t="s">
        <v>961</v>
      </c>
      <c r="G894" s="793" t="s">
        <v>782</v>
      </c>
      <c r="H894" s="793" t="s">
        <v>804</v>
      </c>
      <c r="I894" s="794">
        <v>1.5025677931303238E-4</v>
      </c>
      <c r="J894" s="794">
        <v>7.0840994629812988</v>
      </c>
      <c r="K894" s="771"/>
    </row>
    <row r="895" spans="1:11" ht="18.75" customHeight="1" outlineLevel="2">
      <c r="A895" s="791" t="s">
        <v>776</v>
      </c>
      <c r="B895" s="791" t="s">
        <v>1021</v>
      </c>
      <c r="C895" s="791" t="s">
        <v>1022</v>
      </c>
      <c r="D895" s="792" t="s">
        <v>779</v>
      </c>
      <c r="E895" s="793" t="s">
        <v>947</v>
      </c>
      <c r="F895" s="793" t="s">
        <v>962</v>
      </c>
      <c r="G895" s="793" t="s">
        <v>782</v>
      </c>
      <c r="H895" s="793" t="s">
        <v>804</v>
      </c>
      <c r="I895" s="794">
        <v>5.3231271928864607E-3</v>
      </c>
      <c r="J895" s="794">
        <v>318.0371921348866</v>
      </c>
      <c r="K895" s="771"/>
    </row>
    <row r="896" spans="1:11" ht="18.75" customHeight="1" outlineLevel="2">
      <c r="A896" s="791" t="s">
        <v>776</v>
      </c>
      <c r="B896" s="791" t="s">
        <v>1021</v>
      </c>
      <c r="C896" s="791" t="s">
        <v>1022</v>
      </c>
      <c r="D896" s="792" t="s">
        <v>779</v>
      </c>
      <c r="E896" s="793" t="s">
        <v>947</v>
      </c>
      <c r="F896" s="793" t="s">
        <v>963</v>
      </c>
      <c r="G896" s="793" t="s">
        <v>782</v>
      </c>
      <c r="H896" s="793" t="s">
        <v>804</v>
      </c>
      <c r="I896" s="794">
        <v>4.5763675473020861E-3</v>
      </c>
      <c r="J896" s="794">
        <v>346.18759155180561</v>
      </c>
      <c r="K896" s="771"/>
    </row>
    <row r="897" spans="1:11" ht="18.75" customHeight="1" outlineLevel="2">
      <c r="A897" s="791" t="s">
        <v>776</v>
      </c>
      <c r="B897" s="791" t="s">
        <v>1021</v>
      </c>
      <c r="C897" s="791" t="s">
        <v>1022</v>
      </c>
      <c r="D897" s="792" t="s">
        <v>779</v>
      </c>
      <c r="E897" s="793" t="s">
        <v>947</v>
      </c>
      <c r="F897" s="793" t="s">
        <v>964</v>
      </c>
      <c r="G897" s="793" t="s">
        <v>782</v>
      </c>
      <c r="H897" s="793" t="s">
        <v>804</v>
      </c>
      <c r="I897" s="794">
        <v>1.670874985214444E-2</v>
      </c>
      <c r="J897" s="794">
        <v>1190.8361956808576</v>
      </c>
      <c r="K897" s="771"/>
    </row>
    <row r="898" spans="1:11" ht="18.75" customHeight="1" outlineLevel="2">
      <c r="A898" s="791" t="s">
        <v>776</v>
      </c>
      <c r="B898" s="791" t="s">
        <v>1021</v>
      </c>
      <c r="C898" s="791" t="s">
        <v>1022</v>
      </c>
      <c r="D898" s="792" t="s">
        <v>779</v>
      </c>
      <c r="E898" s="793" t="s">
        <v>947</v>
      </c>
      <c r="F898" s="793" t="s">
        <v>965</v>
      </c>
      <c r="G898" s="793" t="s">
        <v>782</v>
      </c>
      <c r="H898" s="793" t="s">
        <v>804</v>
      </c>
      <c r="I898" s="794">
        <v>1.1501490457646779E-3</v>
      </c>
      <c r="J898" s="794">
        <v>55.995208189790375</v>
      </c>
      <c r="K898" s="771"/>
    </row>
    <row r="899" spans="1:11" ht="18.75" customHeight="1" outlineLevel="2">
      <c r="A899" s="791" t="s">
        <v>776</v>
      </c>
      <c r="B899" s="791" t="s">
        <v>1021</v>
      </c>
      <c r="C899" s="791" t="s">
        <v>1022</v>
      </c>
      <c r="D899" s="792" t="s">
        <v>779</v>
      </c>
      <c r="E899" s="793" t="s">
        <v>947</v>
      </c>
      <c r="F899" s="793" t="s">
        <v>966</v>
      </c>
      <c r="G899" s="793" t="s">
        <v>782</v>
      </c>
      <c r="H899" s="793" t="s">
        <v>804</v>
      </c>
      <c r="I899" s="794">
        <v>9.6712748518854655E-3</v>
      </c>
      <c r="J899" s="794">
        <v>445.41178071552173</v>
      </c>
      <c r="K899" s="771"/>
    </row>
    <row r="900" spans="1:11" ht="18.75" customHeight="1" outlineLevel="2">
      <c r="A900" s="791" t="s">
        <v>776</v>
      </c>
      <c r="B900" s="791" t="s">
        <v>1021</v>
      </c>
      <c r="C900" s="791" t="s">
        <v>1022</v>
      </c>
      <c r="D900" s="792" t="s">
        <v>779</v>
      </c>
      <c r="E900" s="793" t="s">
        <v>947</v>
      </c>
      <c r="F900" s="793" t="s">
        <v>967</v>
      </c>
      <c r="G900" s="793" t="s">
        <v>782</v>
      </c>
      <c r="H900" s="793" t="s">
        <v>804</v>
      </c>
      <c r="I900" s="794">
        <v>2.3629888490761079E-2</v>
      </c>
      <c r="J900" s="794">
        <v>1514.3149788156159</v>
      </c>
      <c r="K900" s="771"/>
    </row>
    <row r="901" spans="1:11" ht="18.75" customHeight="1" outlineLevel="2">
      <c r="A901" s="791" t="s">
        <v>776</v>
      </c>
      <c r="B901" s="791" t="s">
        <v>1021</v>
      </c>
      <c r="C901" s="791" t="s">
        <v>1022</v>
      </c>
      <c r="D901" s="792" t="s">
        <v>779</v>
      </c>
      <c r="E901" s="793" t="s">
        <v>947</v>
      </c>
      <c r="F901" s="793" t="s">
        <v>968</v>
      </c>
      <c r="G901" s="793" t="s">
        <v>782</v>
      </c>
      <c r="H901" s="793" t="s">
        <v>804</v>
      </c>
      <c r="I901" s="794">
        <v>5.1755262947788663E-2</v>
      </c>
      <c r="J901" s="794">
        <v>1015.8983655052318</v>
      </c>
      <c r="K901" s="771"/>
    </row>
    <row r="902" spans="1:11" ht="18.75" customHeight="1" outlineLevel="2">
      <c r="A902" s="791" t="s">
        <v>776</v>
      </c>
      <c r="B902" s="791" t="s">
        <v>1021</v>
      </c>
      <c r="C902" s="791" t="s">
        <v>1022</v>
      </c>
      <c r="D902" s="792" t="s">
        <v>779</v>
      </c>
      <c r="E902" s="793" t="s">
        <v>947</v>
      </c>
      <c r="F902" s="793" t="s">
        <v>969</v>
      </c>
      <c r="G902" s="793" t="s">
        <v>782</v>
      </c>
      <c r="H902" s="793" t="s">
        <v>804</v>
      </c>
      <c r="I902" s="794">
        <v>1.902918083166277E-2</v>
      </c>
      <c r="J902" s="794">
        <v>1385.2778632521306</v>
      </c>
      <c r="K902" s="771"/>
    </row>
    <row r="903" spans="1:11" ht="18.75" customHeight="1" outlineLevel="2">
      <c r="A903" s="791" t="s">
        <v>776</v>
      </c>
      <c r="B903" s="791" t="s">
        <v>1021</v>
      </c>
      <c r="C903" s="791" t="s">
        <v>1022</v>
      </c>
      <c r="D903" s="792" t="s">
        <v>779</v>
      </c>
      <c r="E903" s="793" t="s">
        <v>947</v>
      </c>
      <c r="F903" s="793" t="s">
        <v>970</v>
      </c>
      <c r="G903" s="793" t="s">
        <v>782</v>
      </c>
      <c r="H903" s="793" t="s">
        <v>804</v>
      </c>
      <c r="I903" s="794">
        <v>3.4648438398375836E-2</v>
      </c>
      <c r="J903" s="794">
        <v>797.42833595128468</v>
      </c>
      <c r="K903" s="771"/>
    </row>
    <row r="904" spans="1:11" ht="18.75" customHeight="1" outlineLevel="2">
      <c r="A904" s="791" t="s">
        <v>776</v>
      </c>
      <c r="B904" s="791" t="s">
        <v>1021</v>
      </c>
      <c r="C904" s="791" t="s">
        <v>1022</v>
      </c>
      <c r="D904" s="792" t="s">
        <v>779</v>
      </c>
      <c r="E904" s="793" t="s">
        <v>947</v>
      </c>
      <c r="F904" s="793" t="s">
        <v>971</v>
      </c>
      <c r="G904" s="793" t="s">
        <v>782</v>
      </c>
      <c r="H904" s="793" t="s">
        <v>804</v>
      </c>
      <c r="I904" s="794">
        <v>2.0339306158860273E-3</v>
      </c>
      <c r="J904" s="794">
        <v>148.64202615305948</v>
      </c>
      <c r="K904" s="771"/>
    </row>
    <row r="905" spans="1:11" ht="18.75" customHeight="1" outlineLevel="2">
      <c r="A905" s="791" t="s">
        <v>776</v>
      </c>
      <c r="B905" s="791" t="s">
        <v>1021</v>
      </c>
      <c r="C905" s="791" t="s">
        <v>1022</v>
      </c>
      <c r="D905" s="792" t="s">
        <v>779</v>
      </c>
      <c r="E905" s="793" t="s">
        <v>947</v>
      </c>
      <c r="F905" s="793" t="s">
        <v>972</v>
      </c>
      <c r="G905" s="793" t="s">
        <v>782</v>
      </c>
      <c r="H905" s="793" t="s">
        <v>804</v>
      </c>
      <c r="I905" s="794">
        <v>1.0564067824924938E-4</v>
      </c>
      <c r="J905" s="794">
        <v>2.4386690445902532</v>
      </c>
      <c r="K905" s="771"/>
    </row>
    <row r="906" spans="1:11" ht="18.75" customHeight="1" outlineLevel="2">
      <c r="A906" s="791" t="s">
        <v>776</v>
      </c>
      <c r="B906" s="791" t="s">
        <v>1021</v>
      </c>
      <c r="C906" s="791" t="s">
        <v>1022</v>
      </c>
      <c r="D906" s="792" t="s">
        <v>779</v>
      </c>
      <c r="E906" s="793" t="s">
        <v>947</v>
      </c>
      <c r="F906" s="793" t="s">
        <v>973</v>
      </c>
      <c r="G906" s="793" t="s">
        <v>782</v>
      </c>
      <c r="H906" s="793" t="s">
        <v>804</v>
      </c>
      <c r="I906" s="794">
        <v>2.8840869483266235E-3</v>
      </c>
      <c r="J906" s="794">
        <v>155.04823357182096</v>
      </c>
      <c r="K906" s="771"/>
    </row>
    <row r="907" spans="1:11" ht="18.75" customHeight="1" outlineLevel="2">
      <c r="A907" s="791" t="s">
        <v>776</v>
      </c>
      <c r="B907" s="791" t="s">
        <v>1021</v>
      </c>
      <c r="C907" s="791" t="s">
        <v>1022</v>
      </c>
      <c r="D907" s="792" t="s">
        <v>779</v>
      </c>
      <c r="E907" s="793" t="s">
        <v>947</v>
      </c>
      <c r="F907" s="793" t="s">
        <v>974</v>
      </c>
      <c r="G907" s="793" t="s">
        <v>785</v>
      </c>
      <c r="H907" s="793" t="s">
        <v>727</v>
      </c>
      <c r="I907" s="794">
        <v>5.3362426977366457E-4</v>
      </c>
      <c r="J907" s="794">
        <v>12.90979037086483</v>
      </c>
      <c r="K907" s="771"/>
    </row>
    <row r="908" spans="1:11" ht="18.75" customHeight="1" outlineLevel="2">
      <c r="A908" s="791" t="s">
        <v>776</v>
      </c>
      <c r="B908" s="791" t="s">
        <v>1021</v>
      </c>
      <c r="C908" s="791" t="s">
        <v>1022</v>
      </c>
      <c r="D908" s="792" t="s">
        <v>779</v>
      </c>
      <c r="E908" s="793" t="s">
        <v>947</v>
      </c>
      <c r="F908" s="793" t="s">
        <v>975</v>
      </c>
      <c r="G908" s="793" t="s">
        <v>785</v>
      </c>
      <c r="H908" s="793" t="s">
        <v>727</v>
      </c>
      <c r="I908" s="794">
        <v>2.6556515429739815E-3</v>
      </c>
      <c r="J908" s="794">
        <v>187.2900951727074</v>
      </c>
      <c r="K908" s="771"/>
    </row>
    <row r="909" spans="1:11" ht="18.75" customHeight="1" outlineLevel="2">
      <c r="A909" s="791" t="s">
        <v>776</v>
      </c>
      <c r="B909" s="791" t="s">
        <v>1021</v>
      </c>
      <c r="C909" s="791" t="s">
        <v>1022</v>
      </c>
      <c r="D909" s="792" t="s">
        <v>779</v>
      </c>
      <c r="E909" s="793" t="s">
        <v>947</v>
      </c>
      <c r="F909" s="793" t="s">
        <v>976</v>
      </c>
      <c r="G909" s="793" t="s">
        <v>785</v>
      </c>
      <c r="H909" s="793" t="s">
        <v>727</v>
      </c>
      <c r="I909" s="794">
        <v>1.5600551855628449E-3</v>
      </c>
      <c r="J909" s="794">
        <v>81.804454197362716</v>
      </c>
      <c r="K909" s="771"/>
    </row>
    <row r="910" spans="1:11" ht="18.75" customHeight="1" outlineLevel="2">
      <c r="A910" s="791" t="s">
        <v>776</v>
      </c>
      <c r="B910" s="791" t="s">
        <v>1021</v>
      </c>
      <c r="C910" s="791" t="s">
        <v>1022</v>
      </c>
      <c r="D910" s="792" t="s">
        <v>779</v>
      </c>
      <c r="E910" s="793" t="s">
        <v>947</v>
      </c>
      <c r="F910" s="793" t="s">
        <v>977</v>
      </c>
      <c r="G910" s="793" t="s">
        <v>785</v>
      </c>
      <c r="H910" s="793" t="s">
        <v>727</v>
      </c>
      <c r="I910" s="794">
        <v>1.8466005995144844E-3</v>
      </c>
      <c r="J910" s="794">
        <v>82.952926942327849</v>
      </c>
      <c r="K910" s="771"/>
    </row>
    <row r="911" spans="1:11" ht="18.75" customHeight="1" outlineLevel="2">
      <c r="A911" s="791" t="s">
        <v>776</v>
      </c>
      <c r="B911" s="791" t="s">
        <v>1021</v>
      </c>
      <c r="C911" s="791" t="s">
        <v>1022</v>
      </c>
      <c r="D911" s="792" t="s">
        <v>779</v>
      </c>
      <c r="E911" s="793" t="s">
        <v>947</v>
      </c>
      <c r="F911" s="793" t="s">
        <v>978</v>
      </c>
      <c r="G911" s="793" t="s">
        <v>785</v>
      </c>
      <c r="H911" s="793" t="s">
        <v>727</v>
      </c>
      <c r="I911" s="794">
        <v>1.1695529792803712E-4</v>
      </c>
      <c r="J911" s="794">
        <v>3.1991763070063102</v>
      </c>
      <c r="K911" s="771"/>
    </row>
    <row r="912" spans="1:11" ht="18.75" customHeight="1" outlineLevel="2">
      <c r="A912" s="791" t="s">
        <v>776</v>
      </c>
      <c r="B912" s="791" t="s">
        <v>1021</v>
      </c>
      <c r="C912" s="791" t="s">
        <v>1022</v>
      </c>
      <c r="D912" s="792" t="s">
        <v>779</v>
      </c>
      <c r="E912" s="793" t="s">
        <v>947</v>
      </c>
      <c r="F912" s="793" t="s">
        <v>979</v>
      </c>
      <c r="G912" s="793" t="s">
        <v>785</v>
      </c>
      <c r="H912" s="793" t="s">
        <v>727</v>
      </c>
      <c r="I912" s="794">
        <v>4.3339994033216124E-2</v>
      </c>
      <c r="J912" s="794">
        <v>1424.429035087782</v>
      </c>
      <c r="K912" s="771"/>
    </row>
    <row r="913" spans="1:11" ht="18.75" customHeight="1" outlineLevel="2">
      <c r="A913" s="791" t="s">
        <v>776</v>
      </c>
      <c r="B913" s="791" t="s">
        <v>1021</v>
      </c>
      <c r="C913" s="791" t="s">
        <v>1022</v>
      </c>
      <c r="D913" s="792" t="s">
        <v>779</v>
      </c>
      <c r="E913" s="793" t="s">
        <v>947</v>
      </c>
      <c r="F913" s="793" t="s">
        <v>980</v>
      </c>
      <c r="G913" s="793" t="s">
        <v>785</v>
      </c>
      <c r="H913" s="793" t="s">
        <v>727</v>
      </c>
      <c r="I913" s="794">
        <v>1.456105161396657E-3</v>
      </c>
      <c r="J913" s="794">
        <v>118.04219029507067</v>
      </c>
      <c r="K913" s="771"/>
    </row>
    <row r="914" spans="1:11" ht="18.75" customHeight="1" outlineLevel="2">
      <c r="A914" s="791" t="s">
        <v>776</v>
      </c>
      <c r="B914" s="791" t="s">
        <v>1021</v>
      </c>
      <c r="C914" s="791" t="s">
        <v>1022</v>
      </c>
      <c r="D914" s="792" t="s">
        <v>779</v>
      </c>
      <c r="E914" s="793" t="s">
        <v>947</v>
      </c>
      <c r="F914" s="793" t="s">
        <v>981</v>
      </c>
      <c r="G914" s="793" t="s">
        <v>813</v>
      </c>
      <c r="H914" s="793" t="s">
        <v>814</v>
      </c>
      <c r="I914" s="794">
        <v>1.292940116557891E-6</v>
      </c>
      <c r="J914" s="794">
        <v>3.2406091707847279E-2</v>
      </c>
      <c r="K914" s="771"/>
    </row>
    <row r="915" spans="1:11" ht="18.75" customHeight="1" outlineLevel="2">
      <c r="A915" s="791" t="s">
        <v>776</v>
      </c>
      <c r="B915" s="791" t="s">
        <v>1021</v>
      </c>
      <c r="C915" s="791" t="s">
        <v>1022</v>
      </c>
      <c r="D915" s="792" t="s">
        <v>779</v>
      </c>
      <c r="E915" s="793" t="s">
        <v>947</v>
      </c>
      <c r="F915" s="793" t="s">
        <v>982</v>
      </c>
      <c r="G915" s="793" t="s">
        <v>813</v>
      </c>
      <c r="H915" s="793" t="s">
        <v>814</v>
      </c>
      <c r="I915" s="794">
        <v>1.5195890463222449E-4</v>
      </c>
      <c r="J915" s="794">
        <v>8.5121136582680297</v>
      </c>
      <c r="K915" s="771"/>
    </row>
    <row r="916" spans="1:11" ht="18.75" customHeight="1" outlineLevel="2">
      <c r="A916" s="791" t="s">
        <v>776</v>
      </c>
      <c r="B916" s="791" t="s">
        <v>1021</v>
      </c>
      <c r="C916" s="791" t="s">
        <v>1022</v>
      </c>
      <c r="D916" s="792" t="s">
        <v>779</v>
      </c>
      <c r="E916" s="793" t="s">
        <v>947</v>
      </c>
      <c r="F916" s="793" t="s">
        <v>983</v>
      </c>
      <c r="G916" s="793" t="s">
        <v>813</v>
      </c>
      <c r="H916" s="793" t="s">
        <v>814</v>
      </c>
      <c r="I916" s="794">
        <v>1.0225401573001105E-2</v>
      </c>
      <c r="J916" s="794">
        <v>227.15876667031526</v>
      </c>
      <c r="K916" s="771"/>
    </row>
    <row r="917" spans="1:11" ht="18.75" customHeight="1" outlineLevel="2">
      <c r="A917" s="791" t="s">
        <v>776</v>
      </c>
      <c r="B917" s="791" t="s">
        <v>1021</v>
      </c>
      <c r="C917" s="791" t="s">
        <v>1022</v>
      </c>
      <c r="D917" s="792" t="s">
        <v>779</v>
      </c>
      <c r="E917" s="793" t="s">
        <v>947</v>
      </c>
      <c r="F917" s="793" t="s">
        <v>984</v>
      </c>
      <c r="G917" s="793" t="s">
        <v>813</v>
      </c>
      <c r="H917" s="793" t="s">
        <v>814</v>
      </c>
      <c r="I917" s="794">
        <v>2.6890990468277326E-3</v>
      </c>
      <c r="J917" s="794">
        <v>46.892799172225459</v>
      </c>
      <c r="K917" s="771"/>
    </row>
    <row r="918" spans="1:11" ht="18.75" customHeight="1" outlineLevel="2">
      <c r="A918" s="791" t="s">
        <v>776</v>
      </c>
      <c r="B918" s="791" t="s">
        <v>1021</v>
      </c>
      <c r="C918" s="791" t="s">
        <v>1022</v>
      </c>
      <c r="D918" s="792" t="s">
        <v>779</v>
      </c>
      <c r="E918" s="793" t="s">
        <v>947</v>
      </c>
      <c r="F918" s="793" t="s">
        <v>985</v>
      </c>
      <c r="G918" s="793" t="s">
        <v>813</v>
      </c>
      <c r="H918" s="793" t="s">
        <v>814</v>
      </c>
      <c r="I918" s="794">
        <v>6.3559759038384674E-3</v>
      </c>
      <c r="J918" s="794">
        <v>309.66266462035315</v>
      </c>
      <c r="K918" s="771"/>
    </row>
    <row r="919" spans="1:11" ht="18.75" customHeight="1" outlineLevel="2">
      <c r="A919" s="791" t="s">
        <v>776</v>
      </c>
      <c r="B919" s="791" t="s">
        <v>1021</v>
      </c>
      <c r="C919" s="791" t="s">
        <v>1022</v>
      </c>
      <c r="D919" s="792" t="s">
        <v>779</v>
      </c>
      <c r="E919" s="793" t="s">
        <v>947</v>
      </c>
      <c r="F919" s="793" t="s">
        <v>986</v>
      </c>
      <c r="G919" s="793" t="s">
        <v>813</v>
      </c>
      <c r="H919" s="793" t="s">
        <v>814</v>
      </c>
      <c r="I919" s="794">
        <v>1.0900225270616738E-3</v>
      </c>
      <c r="J919" s="794">
        <v>36.486057298357537</v>
      </c>
      <c r="K919" s="771"/>
    </row>
    <row r="920" spans="1:11" ht="18.75" customHeight="1" outlineLevel="2">
      <c r="A920" s="791" t="s">
        <v>776</v>
      </c>
      <c r="B920" s="791" t="s">
        <v>1021</v>
      </c>
      <c r="C920" s="791" t="s">
        <v>1022</v>
      </c>
      <c r="D920" s="792" t="s">
        <v>779</v>
      </c>
      <c r="E920" s="793" t="s">
        <v>947</v>
      </c>
      <c r="F920" s="793" t="s">
        <v>987</v>
      </c>
      <c r="G920" s="793" t="s">
        <v>813</v>
      </c>
      <c r="H920" s="793" t="s">
        <v>814</v>
      </c>
      <c r="I920" s="794">
        <v>3.0645838269997405E-5</v>
      </c>
      <c r="J920" s="794">
        <v>0.92646110633842949</v>
      </c>
      <c r="K920" s="771"/>
    </row>
    <row r="921" spans="1:11" ht="18.75" customHeight="1" outlineLevel="2">
      <c r="A921" s="791" t="s">
        <v>776</v>
      </c>
      <c r="B921" s="791" t="s">
        <v>1021</v>
      </c>
      <c r="C921" s="791" t="s">
        <v>1022</v>
      </c>
      <c r="D921" s="792" t="s">
        <v>779</v>
      </c>
      <c r="E921" s="793" t="s">
        <v>947</v>
      </c>
      <c r="F921" s="793" t="s">
        <v>988</v>
      </c>
      <c r="G921" s="793" t="s">
        <v>791</v>
      </c>
      <c r="H921" s="793" t="s">
        <v>826</v>
      </c>
      <c r="I921" s="794">
        <v>2.132516587490023E-6</v>
      </c>
      <c r="J921" s="794">
        <v>1.8227480516858685E-2</v>
      </c>
      <c r="K921" s="771"/>
    </row>
    <row r="922" spans="1:11" ht="18.75" customHeight="1" outlineLevel="2">
      <c r="A922" s="791" t="s">
        <v>776</v>
      </c>
      <c r="B922" s="791" t="s">
        <v>1021</v>
      </c>
      <c r="C922" s="791" t="s">
        <v>1022</v>
      </c>
      <c r="D922" s="792" t="s">
        <v>779</v>
      </c>
      <c r="E922" s="793" t="s">
        <v>947</v>
      </c>
      <c r="F922" s="793" t="s">
        <v>989</v>
      </c>
      <c r="G922" s="793" t="s">
        <v>791</v>
      </c>
      <c r="H922" s="793" t="s">
        <v>826</v>
      </c>
      <c r="I922" s="794">
        <v>1.2899643168061331E-2</v>
      </c>
      <c r="J922" s="794">
        <v>756.84445766503416</v>
      </c>
      <c r="K922" s="771"/>
    </row>
    <row r="923" spans="1:11" ht="18.75" customHeight="1" outlineLevel="2">
      <c r="A923" s="791" t="s">
        <v>776</v>
      </c>
      <c r="B923" s="791" t="s">
        <v>1021</v>
      </c>
      <c r="C923" s="791" t="s">
        <v>1022</v>
      </c>
      <c r="D923" s="792" t="s">
        <v>779</v>
      </c>
      <c r="E923" s="793" t="s">
        <v>947</v>
      </c>
      <c r="F923" s="793" t="s">
        <v>990</v>
      </c>
      <c r="G923" s="793" t="s">
        <v>791</v>
      </c>
      <c r="H923" s="793" t="s">
        <v>826</v>
      </c>
      <c r="I923" s="794">
        <v>6.1568706914562712E-4</v>
      </c>
      <c r="J923" s="794">
        <v>67.857559638264917</v>
      </c>
      <c r="K923" s="771"/>
    </row>
    <row r="924" spans="1:11" ht="18.75" customHeight="1" outlineLevel="2">
      <c r="A924" s="791" t="s">
        <v>776</v>
      </c>
      <c r="B924" s="791" t="s">
        <v>1021</v>
      </c>
      <c r="C924" s="791" t="s">
        <v>1022</v>
      </c>
      <c r="D924" s="792" t="s">
        <v>779</v>
      </c>
      <c r="E924" s="793" t="s">
        <v>947</v>
      </c>
      <c r="F924" s="793" t="s">
        <v>991</v>
      </c>
      <c r="G924" s="793" t="s">
        <v>791</v>
      </c>
      <c r="H924" s="793" t="s">
        <v>826</v>
      </c>
      <c r="I924" s="794">
        <v>4.8904468387845682E-6</v>
      </c>
      <c r="J924" s="794">
        <v>0.37559638232404463</v>
      </c>
      <c r="K924" s="771"/>
    </row>
    <row r="925" spans="1:11" ht="18.75" customHeight="1" outlineLevel="2">
      <c r="A925" s="791" t="s">
        <v>776</v>
      </c>
      <c r="B925" s="791" t="s">
        <v>1021</v>
      </c>
      <c r="C925" s="791" t="s">
        <v>1022</v>
      </c>
      <c r="D925" s="792" t="s">
        <v>779</v>
      </c>
      <c r="E925" s="793" t="s">
        <v>947</v>
      </c>
      <c r="F925" s="793" t="s">
        <v>992</v>
      </c>
      <c r="G925" s="793" t="s">
        <v>791</v>
      </c>
      <c r="H925" s="793" t="s">
        <v>826</v>
      </c>
      <c r="I925" s="794">
        <v>9.5332269210857648E-7</v>
      </c>
      <c r="J925" s="794">
        <v>7.8901357347225462E-2</v>
      </c>
      <c r="K925" s="771"/>
    </row>
    <row r="926" spans="1:11" ht="18.75" customHeight="1" outlineLevel="2">
      <c r="A926" s="791" t="s">
        <v>776</v>
      </c>
      <c r="B926" s="791" t="s">
        <v>1021</v>
      </c>
      <c r="C926" s="791" t="s">
        <v>1022</v>
      </c>
      <c r="D926" s="792" t="s">
        <v>779</v>
      </c>
      <c r="E926" s="793" t="s">
        <v>947</v>
      </c>
      <c r="F926" s="793" t="s">
        <v>993</v>
      </c>
      <c r="G926" s="793" t="s">
        <v>791</v>
      </c>
      <c r="H926" s="793" t="s">
        <v>826</v>
      </c>
      <c r="I926" s="794">
        <v>6.2585522911784848E-5</v>
      </c>
      <c r="J926" s="794">
        <v>5.7546173388493624</v>
      </c>
      <c r="K926" s="771"/>
    </row>
    <row r="927" spans="1:11" ht="18.75" customHeight="1" outlineLevel="2">
      <c r="A927" s="791" t="s">
        <v>776</v>
      </c>
      <c r="B927" s="791" t="s">
        <v>1021</v>
      </c>
      <c r="C927" s="791" t="s">
        <v>1022</v>
      </c>
      <c r="D927" s="792" t="s">
        <v>779</v>
      </c>
      <c r="E927" s="793" t="s">
        <v>947</v>
      </c>
      <c r="F927" s="793" t="s">
        <v>994</v>
      </c>
      <c r="G927" s="793" t="s">
        <v>791</v>
      </c>
      <c r="H927" s="793" t="s">
        <v>826</v>
      </c>
      <c r="I927" s="794">
        <v>1.3232183348740077E-7</v>
      </c>
      <c r="J927" s="794">
        <v>1.5921254517581286E-2</v>
      </c>
      <c r="K927" s="771"/>
    </row>
    <row r="928" spans="1:11" ht="18.75" customHeight="1" outlineLevel="2">
      <c r="A928" s="791" t="s">
        <v>776</v>
      </c>
      <c r="B928" s="791" t="s">
        <v>1021</v>
      </c>
      <c r="C928" s="791" t="s">
        <v>1022</v>
      </c>
      <c r="D928" s="792" t="s">
        <v>779</v>
      </c>
      <c r="E928" s="793" t="s">
        <v>947</v>
      </c>
      <c r="F928" s="793" t="s">
        <v>995</v>
      </c>
      <c r="G928" s="793" t="s">
        <v>791</v>
      </c>
      <c r="H928" s="793" t="s">
        <v>826</v>
      </c>
      <c r="I928" s="794">
        <v>5.6330914470795974E-5</v>
      </c>
      <c r="J928" s="794">
        <v>5.3209044323783514</v>
      </c>
      <c r="K928" s="771"/>
    </row>
    <row r="929" spans="1:11" ht="18.75" customHeight="1" outlineLevel="2">
      <c r="A929" s="791" t="s">
        <v>776</v>
      </c>
      <c r="B929" s="791" t="s">
        <v>1021</v>
      </c>
      <c r="C929" s="791" t="s">
        <v>1022</v>
      </c>
      <c r="D929" s="792" t="s">
        <v>779</v>
      </c>
      <c r="E929" s="793" t="s">
        <v>947</v>
      </c>
      <c r="F929" s="793" t="s">
        <v>996</v>
      </c>
      <c r="G929" s="793" t="s">
        <v>791</v>
      </c>
      <c r="H929" s="793" t="s">
        <v>826</v>
      </c>
      <c r="I929" s="794">
        <v>1.665523092323091E-4</v>
      </c>
      <c r="J929" s="794">
        <v>14.807201238865824</v>
      </c>
      <c r="K929" s="771"/>
    </row>
    <row r="930" spans="1:11" ht="18.75" customHeight="1" outlineLevel="2">
      <c r="A930" s="791" t="s">
        <v>776</v>
      </c>
      <c r="B930" s="791" t="s">
        <v>1021</v>
      </c>
      <c r="C930" s="791" t="s">
        <v>1022</v>
      </c>
      <c r="D930" s="792" t="s">
        <v>779</v>
      </c>
      <c r="E930" s="793" t="s">
        <v>947</v>
      </c>
      <c r="F930" s="793" t="s">
        <v>997</v>
      </c>
      <c r="G930" s="793" t="s">
        <v>791</v>
      </c>
      <c r="H930" s="793" t="s">
        <v>826</v>
      </c>
      <c r="I930" s="794">
        <v>2.5259626637323793E-4</v>
      </c>
      <c r="J930" s="794">
        <v>10.918410189238672</v>
      </c>
      <c r="K930" s="771"/>
    </row>
    <row r="931" spans="1:11" ht="18.75" customHeight="1" outlineLevel="2">
      <c r="A931" s="791" t="s">
        <v>776</v>
      </c>
      <c r="B931" s="791" t="s">
        <v>1021</v>
      </c>
      <c r="C931" s="791" t="s">
        <v>1022</v>
      </c>
      <c r="D931" s="792" t="s">
        <v>779</v>
      </c>
      <c r="E931" s="793" t="s">
        <v>947</v>
      </c>
      <c r="F931" s="793" t="s">
        <v>998</v>
      </c>
      <c r="G931" s="793" t="s">
        <v>794</v>
      </c>
      <c r="H931" s="793" t="s">
        <v>828</v>
      </c>
      <c r="I931" s="794">
        <v>6.6508426194325605E-3</v>
      </c>
      <c r="J931" s="794">
        <v>243.20121332425666</v>
      </c>
      <c r="K931" s="771"/>
    </row>
    <row r="932" spans="1:11" ht="18.75" customHeight="1" outlineLevel="2">
      <c r="A932" s="791" t="s">
        <v>776</v>
      </c>
      <c r="B932" s="791" t="s">
        <v>1021</v>
      </c>
      <c r="C932" s="791" t="s">
        <v>1022</v>
      </c>
      <c r="D932" s="792" t="s">
        <v>779</v>
      </c>
      <c r="E932" s="793" t="s">
        <v>947</v>
      </c>
      <c r="F932" s="793" t="s">
        <v>999</v>
      </c>
      <c r="G932" s="793" t="s">
        <v>794</v>
      </c>
      <c r="H932" s="793" t="s">
        <v>828</v>
      </c>
      <c r="I932" s="794">
        <v>1.5684736851076897E-3</v>
      </c>
      <c r="J932" s="794">
        <v>57.399916154491294</v>
      </c>
      <c r="K932" s="771"/>
    </row>
    <row r="933" spans="1:11" ht="18.75" customHeight="1" outlineLevel="2">
      <c r="A933" s="791" t="s">
        <v>776</v>
      </c>
      <c r="B933" s="791" t="s">
        <v>1021</v>
      </c>
      <c r="C933" s="791" t="s">
        <v>1022</v>
      </c>
      <c r="D933" s="792" t="s">
        <v>779</v>
      </c>
      <c r="E933" s="793" t="s">
        <v>947</v>
      </c>
      <c r="F933" s="793" t="s">
        <v>1000</v>
      </c>
      <c r="G933" s="793" t="s">
        <v>794</v>
      </c>
      <c r="H933" s="793" t="s">
        <v>828</v>
      </c>
      <c r="I933" s="794">
        <v>4.4020448863019502E-3</v>
      </c>
      <c r="J933" s="794">
        <v>159.24910135793434</v>
      </c>
      <c r="K933" s="771"/>
    </row>
    <row r="934" spans="1:11" ht="18.75" customHeight="1" outlineLevel="2">
      <c r="A934" s="791" t="s">
        <v>776</v>
      </c>
      <c r="B934" s="791" t="s">
        <v>1021</v>
      </c>
      <c r="C934" s="791" t="s">
        <v>1022</v>
      </c>
      <c r="D934" s="792" t="s">
        <v>779</v>
      </c>
      <c r="E934" s="793" t="s">
        <v>947</v>
      </c>
      <c r="F934" s="793" t="s">
        <v>1001</v>
      </c>
      <c r="G934" s="793" t="s">
        <v>794</v>
      </c>
      <c r="H934" s="793" t="s">
        <v>828</v>
      </c>
      <c r="I934" s="794">
        <v>3.7171603554028683E-3</v>
      </c>
      <c r="J934" s="794">
        <v>80.855612185403317</v>
      </c>
      <c r="K934" s="771"/>
    </row>
    <row r="935" spans="1:11" ht="18.75" customHeight="1" outlineLevel="2">
      <c r="A935" s="791" t="s">
        <v>776</v>
      </c>
      <c r="B935" s="791" t="s">
        <v>1021</v>
      </c>
      <c r="C935" s="791" t="s">
        <v>1022</v>
      </c>
      <c r="D935" s="792" t="s">
        <v>779</v>
      </c>
      <c r="E935" s="793" t="s">
        <v>947</v>
      </c>
      <c r="F935" s="793" t="s">
        <v>1002</v>
      </c>
      <c r="G935" s="793" t="s">
        <v>794</v>
      </c>
      <c r="H935" s="793" t="s">
        <v>828</v>
      </c>
      <c r="I935" s="794">
        <v>1.8490789400792763E-4</v>
      </c>
      <c r="J935" s="794">
        <v>7.7762815496704496</v>
      </c>
      <c r="K935" s="771"/>
    </row>
    <row r="936" spans="1:11" ht="18.75" customHeight="1" outlineLevel="2">
      <c r="A936" s="791" t="s">
        <v>776</v>
      </c>
      <c r="B936" s="791" t="s">
        <v>1021</v>
      </c>
      <c r="C936" s="791" t="s">
        <v>1022</v>
      </c>
      <c r="D936" s="792" t="s">
        <v>779</v>
      </c>
      <c r="E936" s="793" t="s">
        <v>947</v>
      </c>
      <c r="F936" s="793" t="s">
        <v>1003</v>
      </c>
      <c r="G936" s="793" t="s">
        <v>794</v>
      </c>
      <c r="H936" s="793" t="s">
        <v>828</v>
      </c>
      <c r="I936" s="794">
        <v>2.139173138795419E-4</v>
      </c>
      <c r="J936" s="794">
        <v>6.882633118069422</v>
      </c>
      <c r="K936" s="771"/>
    </row>
    <row r="937" spans="1:11" ht="18.75" customHeight="1" outlineLevel="2">
      <c r="A937" s="791" t="s">
        <v>776</v>
      </c>
      <c r="B937" s="791" t="s">
        <v>1021</v>
      </c>
      <c r="C937" s="791" t="s">
        <v>1022</v>
      </c>
      <c r="D937" s="792" t="s">
        <v>779</v>
      </c>
      <c r="E937" s="793" t="s">
        <v>947</v>
      </c>
      <c r="F937" s="793" t="s">
        <v>1004</v>
      </c>
      <c r="G937" s="793" t="s">
        <v>833</v>
      </c>
      <c r="H937" s="793" t="s">
        <v>834</v>
      </c>
      <c r="I937" s="794">
        <v>5.1443680584340786E-3</v>
      </c>
      <c r="J937" s="794">
        <v>337.15070844847924</v>
      </c>
      <c r="K937" s="771"/>
    </row>
    <row r="938" spans="1:11" ht="18.75" customHeight="1" outlineLevel="2">
      <c r="A938" s="791" t="s">
        <v>776</v>
      </c>
      <c r="B938" s="791" t="s">
        <v>1023</v>
      </c>
      <c r="C938" s="791" t="s">
        <v>778</v>
      </c>
      <c r="D938" s="792" t="s">
        <v>779</v>
      </c>
      <c r="E938" s="793" t="s">
        <v>780</v>
      </c>
      <c r="F938" s="793" t="s">
        <v>781</v>
      </c>
      <c r="G938" s="793" t="s">
        <v>782</v>
      </c>
      <c r="H938" s="793" t="s">
        <v>783</v>
      </c>
      <c r="I938" s="794">
        <v>8.5234672240657242E-4</v>
      </c>
      <c r="J938" s="794">
        <v>1.2538218341533553E-2</v>
      </c>
      <c r="K938" s="771"/>
    </row>
    <row r="939" spans="1:11" ht="18.75" customHeight="1" outlineLevel="2">
      <c r="A939" s="791" t="s">
        <v>776</v>
      </c>
      <c r="B939" s="791" t="s">
        <v>1023</v>
      </c>
      <c r="C939" s="791" t="s">
        <v>778</v>
      </c>
      <c r="D939" s="792" t="s">
        <v>779</v>
      </c>
      <c r="E939" s="793" t="s">
        <v>780</v>
      </c>
      <c r="F939" s="793" t="s">
        <v>784</v>
      </c>
      <c r="G939" s="793" t="s">
        <v>785</v>
      </c>
      <c r="H939" s="793" t="s">
        <v>783</v>
      </c>
      <c r="I939" s="794">
        <v>0.71911998242432118</v>
      </c>
      <c r="J939" s="794">
        <v>116.78079833506374</v>
      </c>
      <c r="K939" s="771"/>
    </row>
    <row r="940" spans="1:11" ht="18.75" customHeight="1" outlineLevel="2">
      <c r="A940" s="791" t="s">
        <v>776</v>
      </c>
      <c r="B940" s="791" t="s">
        <v>1023</v>
      </c>
      <c r="C940" s="791" t="s">
        <v>778</v>
      </c>
      <c r="D940" s="792" t="s">
        <v>779</v>
      </c>
      <c r="E940" s="793" t="s">
        <v>780</v>
      </c>
      <c r="F940" s="793" t="s">
        <v>786</v>
      </c>
      <c r="G940" s="793" t="s">
        <v>785</v>
      </c>
      <c r="H940" s="793" t="s">
        <v>783</v>
      </c>
      <c r="I940" s="794">
        <v>5.8399690758832994E-4</v>
      </c>
      <c r="J940" s="794">
        <v>9.8934005055133015E-2</v>
      </c>
      <c r="K940" s="771"/>
    </row>
    <row r="941" spans="1:11" ht="18.75" customHeight="1" outlineLevel="2">
      <c r="A941" s="791" t="s">
        <v>776</v>
      </c>
      <c r="B941" s="791" t="s">
        <v>1023</v>
      </c>
      <c r="C941" s="791" t="s">
        <v>778</v>
      </c>
      <c r="D941" s="792" t="s">
        <v>779</v>
      </c>
      <c r="E941" s="793" t="s">
        <v>780</v>
      </c>
      <c r="F941" s="793" t="s">
        <v>787</v>
      </c>
      <c r="G941" s="793" t="s">
        <v>785</v>
      </c>
      <c r="H941" s="793" t="s">
        <v>783</v>
      </c>
      <c r="I941" s="794">
        <v>2.9347372461201529E-4</v>
      </c>
      <c r="J941" s="794">
        <v>5.3912290250864262E-2</v>
      </c>
      <c r="K941" s="771"/>
    </row>
    <row r="942" spans="1:11" ht="18.75" customHeight="1" outlineLevel="2">
      <c r="A942" s="791" t="s">
        <v>776</v>
      </c>
      <c r="B942" s="791" t="s">
        <v>1023</v>
      </c>
      <c r="C942" s="791" t="s">
        <v>778</v>
      </c>
      <c r="D942" s="792" t="s">
        <v>779</v>
      </c>
      <c r="E942" s="793" t="s">
        <v>780</v>
      </c>
      <c r="F942" s="793" t="s">
        <v>788</v>
      </c>
      <c r="G942" s="793" t="s">
        <v>785</v>
      </c>
      <c r="H942" s="793" t="s">
        <v>783</v>
      </c>
      <c r="I942" s="794">
        <v>1.285024277705109E-3</v>
      </c>
      <c r="J942" s="794">
        <v>0.20469283978652358</v>
      </c>
      <c r="K942" s="771"/>
    </row>
    <row r="943" spans="1:11" ht="18.75" customHeight="1" outlineLevel="2">
      <c r="A943" s="791" t="s">
        <v>776</v>
      </c>
      <c r="B943" s="791" t="s">
        <v>1023</v>
      </c>
      <c r="C943" s="791" t="s">
        <v>778</v>
      </c>
      <c r="D943" s="792" t="s">
        <v>779</v>
      </c>
      <c r="E943" s="793" t="s">
        <v>780</v>
      </c>
      <c r="F943" s="793" t="s">
        <v>789</v>
      </c>
      <c r="G943" s="793" t="s">
        <v>785</v>
      </c>
      <c r="H943" s="793" t="s">
        <v>783</v>
      </c>
      <c r="I943" s="794">
        <v>2.6862352634441141E-3</v>
      </c>
      <c r="J943" s="794">
        <v>0.66079128783676877</v>
      </c>
      <c r="K943" s="771"/>
    </row>
    <row r="944" spans="1:11" ht="18.75" customHeight="1" outlineLevel="2">
      <c r="A944" s="791" t="s">
        <v>776</v>
      </c>
      <c r="B944" s="791" t="s">
        <v>1023</v>
      </c>
      <c r="C944" s="791" t="s">
        <v>778</v>
      </c>
      <c r="D944" s="792" t="s">
        <v>779</v>
      </c>
      <c r="E944" s="793" t="s">
        <v>780</v>
      </c>
      <c r="F944" s="793" t="s">
        <v>790</v>
      </c>
      <c r="G944" s="793" t="s">
        <v>791</v>
      </c>
      <c r="H944" s="793" t="s">
        <v>783</v>
      </c>
      <c r="I944" s="794">
        <v>8.3408621087805949E-3</v>
      </c>
      <c r="J944" s="794">
        <v>0.11079090758515611</v>
      </c>
      <c r="K944" s="771"/>
    </row>
    <row r="945" spans="1:11" ht="18.75" customHeight="1" outlineLevel="2">
      <c r="A945" s="791" t="s">
        <v>776</v>
      </c>
      <c r="B945" s="791" t="s">
        <v>1023</v>
      </c>
      <c r="C945" s="791" t="s">
        <v>778</v>
      </c>
      <c r="D945" s="792" t="s">
        <v>779</v>
      </c>
      <c r="E945" s="793" t="s">
        <v>780</v>
      </c>
      <c r="F945" s="793" t="s">
        <v>792</v>
      </c>
      <c r="G945" s="793" t="s">
        <v>791</v>
      </c>
      <c r="H945" s="793" t="s">
        <v>783</v>
      </c>
      <c r="I945" s="794">
        <v>6.1912875222497166E-2</v>
      </c>
      <c r="J945" s="794">
        <v>12.024079968315906</v>
      </c>
      <c r="K945" s="771"/>
    </row>
    <row r="946" spans="1:11" ht="18.75" customHeight="1" outlineLevel="2">
      <c r="A946" s="791" t="s">
        <v>776</v>
      </c>
      <c r="B946" s="791" t="s">
        <v>1023</v>
      </c>
      <c r="C946" s="791" t="s">
        <v>778</v>
      </c>
      <c r="D946" s="792" t="s">
        <v>779</v>
      </c>
      <c r="E946" s="793" t="s">
        <v>780</v>
      </c>
      <c r="F946" s="793" t="s">
        <v>793</v>
      </c>
      <c r="G946" s="793" t="s">
        <v>794</v>
      </c>
      <c r="H946" s="793" t="s">
        <v>783</v>
      </c>
      <c r="I946" s="794">
        <v>0.26048198589390015</v>
      </c>
      <c r="J946" s="794">
        <v>6.7602012343449172</v>
      </c>
      <c r="K946" s="771"/>
    </row>
    <row r="947" spans="1:11" ht="18.75" customHeight="1" outlineLevel="2">
      <c r="A947" s="791" t="s">
        <v>776</v>
      </c>
      <c r="B947" s="791" t="s">
        <v>1023</v>
      </c>
      <c r="C947" s="791" t="s">
        <v>778</v>
      </c>
      <c r="D947" s="792" t="s">
        <v>779</v>
      </c>
      <c r="E947" s="793" t="s">
        <v>780</v>
      </c>
      <c r="F947" s="793" t="s">
        <v>795</v>
      </c>
      <c r="G947" s="793" t="s">
        <v>794</v>
      </c>
      <c r="H947" s="793" t="s">
        <v>783</v>
      </c>
      <c r="I947" s="794">
        <v>7.876936387090033E-3</v>
      </c>
      <c r="J947" s="794">
        <v>0.32274352450231392</v>
      </c>
      <c r="K947" s="771"/>
    </row>
    <row r="948" spans="1:11" ht="18.75" customHeight="1" outlineLevel="2">
      <c r="A948" s="791" t="s">
        <v>776</v>
      </c>
      <c r="B948" s="791" t="s">
        <v>1023</v>
      </c>
      <c r="C948" s="791" t="s">
        <v>778</v>
      </c>
      <c r="D948" s="792" t="s">
        <v>779</v>
      </c>
      <c r="E948" s="793" t="s">
        <v>780</v>
      </c>
      <c r="F948" s="793" t="s">
        <v>796</v>
      </c>
      <c r="G948" s="793" t="s">
        <v>794</v>
      </c>
      <c r="H948" s="793" t="s">
        <v>783</v>
      </c>
      <c r="I948" s="794">
        <v>4.0942392233309661E-3</v>
      </c>
      <c r="J948" s="794">
        <v>0.47181436256335424</v>
      </c>
      <c r="K948" s="771"/>
    </row>
    <row r="949" spans="1:11" ht="18.75" customHeight="1" outlineLevel="2">
      <c r="A949" s="791" t="s">
        <v>776</v>
      </c>
      <c r="B949" s="791" t="s">
        <v>1023</v>
      </c>
      <c r="C949" s="791" t="s">
        <v>778</v>
      </c>
      <c r="D949" s="792" t="s">
        <v>779</v>
      </c>
      <c r="E949" s="793" t="s">
        <v>780</v>
      </c>
      <c r="F949" s="793" t="s">
        <v>797</v>
      </c>
      <c r="G949" s="793" t="s">
        <v>794</v>
      </c>
      <c r="H949" s="793" t="s">
        <v>783</v>
      </c>
      <c r="I949" s="794">
        <v>8.0064993988560859E-2</v>
      </c>
      <c r="J949" s="794">
        <v>16.754842848227703</v>
      </c>
      <c r="K949" s="771"/>
    </row>
    <row r="950" spans="1:11" ht="18.75" customHeight="1" outlineLevel="2">
      <c r="A950" s="791" t="s">
        <v>776</v>
      </c>
      <c r="B950" s="791" t="s">
        <v>1023</v>
      </c>
      <c r="C950" s="791" t="s">
        <v>778</v>
      </c>
      <c r="D950" s="792" t="s">
        <v>779</v>
      </c>
      <c r="E950" s="793" t="s">
        <v>662</v>
      </c>
      <c r="F950" s="793" t="s">
        <v>798</v>
      </c>
      <c r="G950" s="793" t="s">
        <v>799</v>
      </c>
      <c r="H950" s="793" t="s">
        <v>800</v>
      </c>
      <c r="I950" s="794">
        <v>0.62709222247279706</v>
      </c>
      <c r="J950" s="794">
        <v>180.18387379956297</v>
      </c>
      <c r="K950" s="771"/>
    </row>
    <row r="951" spans="1:11" ht="18.75" customHeight="1" outlineLevel="2">
      <c r="A951" s="791" t="s">
        <v>776</v>
      </c>
      <c r="B951" s="791" t="s">
        <v>1023</v>
      </c>
      <c r="C951" s="791" t="s">
        <v>778</v>
      </c>
      <c r="D951" s="792" t="s">
        <v>779</v>
      </c>
      <c r="E951" s="793" t="s">
        <v>662</v>
      </c>
      <c r="F951" s="793" t="s">
        <v>801</v>
      </c>
      <c r="G951" s="793" t="s">
        <v>799</v>
      </c>
      <c r="H951" s="793" t="s">
        <v>800</v>
      </c>
      <c r="I951" s="794">
        <v>0.19155200138827844</v>
      </c>
      <c r="J951" s="794">
        <v>77.381798849913579</v>
      </c>
      <c r="K951" s="771"/>
    </row>
    <row r="952" spans="1:11" ht="18.75" customHeight="1" outlineLevel="2">
      <c r="A952" s="791" t="s">
        <v>776</v>
      </c>
      <c r="B952" s="791" t="s">
        <v>1023</v>
      </c>
      <c r="C952" s="791" t="s">
        <v>778</v>
      </c>
      <c r="D952" s="792" t="s">
        <v>779</v>
      </c>
      <c r="E952" s="793" t="s">
        <v>662</v>
      </c>
      <c r="F952" s="793" t="s">
        <v>802</v>
      </c>
      <c r="G952" s="793" t="s">
        <v>799</v>
      </c>
      <c r="H952" s="793" t="s">
        <v>800</v>
      </c>
      <c r="I952" s="794">
        <v>8.7185679491838947E-2</v>
      </c>
      <c r="J952" s="794">
        <v>112.12724707176625</v>
      </c>
      <c r="K952" s="771"/>
    </row>
    <row r="953" spans="1:11" ht="18.75" customHeight="1" outlineLevel="2">
      <c r="A953" s="791" t="s">
        <v>776</v>
      </c>
      <c r="B953" s="791" t="s">
        <v>1023</v>
      </c>
      <c r="C953" s="791" t="s">
        <v>778</v>
      </c>
      <c r="D953" s="792" t="s">
        <v>779</v>
      </c>
      <c r="E953" s="793" t="s">
        <v>662</v>
      </c>
      <c r="F953" s="793" t="s">
        <v>803</v>
      </c>
      <c r="G953" s="793" t="s">
        <v>782</v>
      </c>
      <c r="H953" s="793" t="s">
        <v>804</v>
      </c>
      <c r="I953" s="794">
        <v>2.6346497036048213E-3</v>
      </c>
      <c r="J953" s="794">
        <v>1.6347478662665393</v>
      </c>
      <c r="K953" s="771"/>
    </row>
    <row r="954" spans="1:11" ht="18.75" customHeight="1" outlineLevel="2">
      <c r="A954" s="791" t="s">
        <v>776</v>
      </c>
      <c r="B954" s="791" t="s">
        <v>1023</v>
      </c>
      <c r="C954" s="791" t="s">
        <v>778</v>
      </c>
      <c r="D954" s="792" t="s">
        <v>779</v>
      </c>
      <c r="E954" s="793" t="s">
        <v>662</v>
      </c>
      <c r="F954" s="793" t="s">
        <v>805</v>
      </c>
      <c r="G954" s="793" t="s">
        <v>782</v>
      </c>
      <c r="H954" s="793" t="s">
        <v>804</v>
      </c>
      <c r="I954" s="794">
        <v>2.1864797845155999E-4</v>
      </c>
      <c r="J954" s="794">
        <v>0.10589264249820105</v>
      </c>
      <c r="K954" s="771"/>
    </row>
    <row r="955" spans="1:11" ht="18.75" customHeight="1" outlineLevel="2">
      <c r="A955" s="791" t="s">
        <v>776</v>
      </c>
      <c r="B955" s="791" t="s">
        <v>1023</v>
      </c>
      <c r="C955" s="791" t="s">
        <v>778</v>
      </c>
      <c r="D955" s="792" t="s">
        <v>779</v>
      </c>
      <c r="E955" s="793" t="s">
        <v>662</v>
      </c>
      <c r="F955" s="793" t="s">
        <v>806</v>
      </c>
      <c r="G955" s="793" t="s">
        <v>782</v>
      </c>
      <c r="H955" s="793" t="s">
        <v>804</v>
      </c>
      <c r="I955" s="794">
        <v>2.6497284030368859E-4</v>
      </c>
      <c r="J955" s="794">
        <v>0.12657179480984326</v>
      </c>
      <c r="K955" s="771"/>
    </row>
    <row r="956" spans="1:11" ht="18.75" customHeight="1" outlineLevel="2">
      <c r="A956" s="791" t="s">
        <v>776</v>
      </c>
      <c r="B956" s="791" t="s">
        <v>1023</v>
      </c>
      <c r="C956" s="791" t="s">
        <v>778</v>
      </c>
      <c r="D956" s="792" t="s">
        <v>779</v>
      </c>
      <c r="E956" s="793" t="s">
        <v>662</v>
      </c>
      <c r="F956" s="793" t="s">
        <v>807</v>
      </c>
      <c r="G956" s="793" t="s">
        <v>782</v>
      </c>
      <c r="H956" s="793" t="s">
        <v>804</v>
      </c>
      <c r="I956" s="794">
        <v>1.9595889032485444E-6</v>
      </c>
      <c r="J956" s="794">
        <v>8.7700592551081527E-4</v>
      </c>
      <c r="K956" s="771"/>
    </row>
    <row r="957" spans="1:11" ht="18.75" customHeight="1" outlineLevel="2">
      <c r="A957" s="791" t="s">
        <v>776</v>
      </c>
      <c r="B957" s="791" t="s">
        <v>1023</v>
      </c>
      <c r="C957" s="791" t="s">
        <v>778</v>
      </c>
      <c r="D957" s="792" t="s">
        <v>779</v>
      </c>
      <c r="E957" s="793" t="s">
        <v>662</v>
      </c>
      <c r="F957" s="793" t="s">
        <v>808</v>
      </c>
      <c r="G957" s="793" t="s">
        <v>782</v>
      </c>
      <c r="H957" s="793" t="s">
        <v>804</v>
      </c>
      <c r="I957" s="794">
        <v>7.5532698297210293E-3</v>
      </c>
      <c r="J957" s="794">
        <v>4.2176207258697946</v>
      </c>
      <c r="K957" s="771"/>
    </row>
    <row r="958" spans="1:11" ht="18.75" customHeight="1" outlineLevel="2">
      <c r="A958" s="791" t="s">
        <v>776</v>
      </c>
      <c r="B958" s="791" t="s">
        <v>1023</v>
      </c>
      <c r="C958" s="791" t="s">
        <v>778</v>
      </c>
      <c r="D958" s="792" t="s">
        <v>779</v>
      </c>
      <c r="E958" s="793" t="s">
        <v>662</v>
      </c>
      <c r="F958" s="793" t="s">
        <v>809</v>
      </c>
      <c r="G958" s="793" t="s">
        <v>782</v>
      </c>
      <c r="H958" s="793" t="s">
        <v>804</v>
      </c>
      <c r="I958" s="794">
        <v>5.5226986301116872E-5</v>
      </c>
      <c r="J958" s="794">
        <v>2.4716639837176379E-2</v>
      </c>
      <c r="K958" s="771"/>
    </row>
    <row r="959" spans="1:11" ht="18.75" customHeight="1" outlineLevel="2">
      <c r="A959" s="791" t="s">
        <v>776</v>
      </c>
      <c r="B959" s="791" t="s">
        <v>1023</v>
      </c>
      <c r="C959" s="791" t="s">
        <v>778</v>
      </c>
      <c r="D959" s="792" t="s">
        <v>779</v>
      </c>
      <c r="E959" s="793" t="s">
        <v>662</v>
      </c>
      <c r="F959" s="793" t="s">
        <v>810</v>
      </c>
      <c r="G959" s="793" t="s">
        <v>785</v>
      </c>
      <c r="H959" s="793" t="s">
        <v>727</v>
      </c>
      <c r="I959" s="794">
        <v>7.1221728802845809E-4</v>
      </c>
      <c r="J959" s="794">
        <v>0.31874976977448793</v>
      </c>
      <c r="K959" s="771"/>
    </row>
    <row r="960" spans="1:11" ht="18.75" customHeight="1" outlineLevel="2">
      <c r="A960" s="791" t="s">
        <v>776</v>
      </c>
      <c r="B960" s="791" t="s">
        <v>1023</v>
      </c>
      <c r="C960" s="791" t="s">
        <v>778</v>
      </c>
      <c r="D960" s="792" t="s">
        <v>779</v>
      </c>
      <c r="E960" s="793" t="s">
        <v>662</v>
      </c>
      <c r="F960" s="793" t="s">
        <v>811</v>
      </c>
      <c r="G960" s="793" t="s">
        <v>785</v>
      </c>
      <c r="H960" s="793" t="s">
        <v>727</v>
      </c>
      <c r="I960" s="794">
        <v>5.4499767799865775E-5</v>
      </c>
      <c r="J960" s="794">
        <v>2.4391172260404839E-2</v>
      </c>
      <c r="K960" s="771"/>
    </row>
    <row r="961" spans="1:11" ht="18.75" customHeight="1" outlineLevel="2">
      <c r="A961" s="791" t="s">
        <v>776</v>
      </c>
      <c r="B961" s="791" t="s">
        <v>1023</v>
      </c>
      <c r="C961" s="791" t="s">
        <v>778</v>
      </c>
      <c r="D961" s="792" t="s">
        <v>779</v>
      </c>
      <c r="E961" s="793" t="s">
        <v>662</v>
      </c>
      <c r="F961" s="793" t="s">
        <v>812</v>
      </c>
      <c r="G961" s="793" t="s">
        <v>813</v>
      </c>
      <c r="H961" s="793" t="s">
        <v>814</v>
      </c>
      <c r="I961" s="794">
        <v>1.9462630416610838E-3</v>
      </c>
      <c r="J961" s="794">
        <v>1.065902196986946</v>
      </c>
      <c r="K961" s="771"/>
    </row>
    <row r="962" spans="1:11" ht="18.75" customHeight="1" outlineLevel="2">
      <c r="A962" s="791" t="s">
        <v>776</v>
      </c>
      <c r="B962" s="791" t="s">
        <v>1023</v>
      </c>
      <c r="C962" s="791" t="s">
        <v>778</v>
      </c>
      <c r="D962" s="792" t="s">
        <v>779</v>
      </c>
      <c r="E962" s="793" t="s">
        <v>662</v>
      </c>
      <c r="F962" s="793" t="s">
        <v>815</v>
      </c>
      <c r="G962" s="793" t="s">
        <v>813</v>
      </c>
      <c r="H962" s="793" t="s">
        <v>814</v>
      </c>
      <c r="I962" s="794">
        <v>6.896852955166493E-3</v>
      </c>
      <c r="J962" s="794">
        <v>3.7066823651177718</v>
      </c>
      <c r="K962" s="771"/>
    </row>
    <row r="963" spans="1:11" ht="18.75" customHeight="1" outlineLevel="2">
      <c r="A963" s="791" t="s">
        <v>776</v>
      </c>
      <c r="B963" s="791" t="s">
        <v>1023</v>
      </c>
      <c r="C963" s="791" t="s">
        <v>778</v>
      </c>
      <c r="D963" s="792" t="s">
        <v>779</v>
      </c>
      <c r="E963" s="793" t="s">
        <v>662</v>
      </c>
      <c r="F963" s="793" t="s">
        <v>816</v>
      </c>
      <c r="G963" s="793" t="s">
        <v>813</v>
      </c>
      <c r="H963" s="793" t="s">
        <v>814</v>
      </c>
      <c r="I963" s="794">
        <v>2.7392728431325414E-2</v>
      </c>
      <c r="J963" s="794">
        <v>14.231806258553778</v>
      </c>
      <c r="K963" s="771"/>
    </row>
    <row r="964" spans="1:11" ht="18.75" customHeight="1" outlineLevel="2">
      <c r="A964" s="791" t="s">
        <v>776</v>
      </c>
      <c r="B964" s="791" t="s">
        <v>1023</v>
      </c>
      <c r="C964" s="791" t="s">
        <v>778</v>
      </c>
      <c r="D964" s="792" t="s">
        <v>779</v>
      </c>
      <c r="E964" s="793" t="s">
        <v>662</v>
      </c>
      <c r="F964" s="793" t="s">
        <v>817</v>
      </c>
      <c r="G964" s="793" t="s">
        <v>813</v>
      </c>
      <c r="H964" s="793" t="s">
        <v>814</v>
      </c>
      <c r="I964" s="794">
        <v>6.5213741897680116E-2</v>
      </c>
      <c r="J964" s="794">
        <v>35.698189139800427</v>
      </c>
      <c r="K964" s="771"/>
    </row>
    <row r="965" spans="1:11" ht="18.75" customHeight="1" outlineLevel="2">
      <c r="A965" s="791" t="s">
        <v>776</v>
      </c>
      <c r="B965" s="791" t="s">
        <v>1023</v>
      </c>
      <c r="C965" s="791" t="s">
        <v>778</v>
      </c>
      <c r="D965" s="792" t="s">
        <v>779</v>
      </c>
      <c r="E965" s="793" t="s">
        <v>662</v>
      </c>
      <c r="F965" s="793" t="s">
        <v>818</v>
      </c>
      <c r="G965" s="793" t="s">
        <v>813</v>
      </c>
      <c r="H965" s="793" t="s">
        <v>814</v>
      </c>
      <c r="I965" s="794">
        <v>3.365041126423305E-2</v>
      </c>
      <c r="J965" s="794">
        <v>19.764895094386095</v>
      </c>
      <c r="K965" s="771"/>
    </row>
    <row r="966" spans="1:11" ht="18.75" customHeight="1" outlineLevel="2">
      <c r="A966" s="791" t="s">
        <v>776</v>
      </c>
      <c r="B966" s="791" t="s">
        <v>1023</v>
      </c>
      <c r="C966" s="791" t="s">
        <v>778</v>
      </c>
      <c r="D966" s="792" t="s">
        <v>779</v>
      </c>
      <c r="E966" s="793" t="s">
        <v>662</v>
      </c>
      <c r="F966" s="793" t="s">
        <v>819</v>
      </c>
      <c r="G966" s="793" t="s">
        <v>813</v>
      </c>
      <c r="H966" s="793" t="s">
        <v>814</v>
      </c>
      <c r="I966" s="794">
        <v>6.1707510391424851E-2</v>
      </c>
      <c r="J966" s="794">
        <v>31.195447249636231</v>
      </c>
      <c r="K966" s="771"/>
    </row>
    <row r="967" spans="1:11" ht="18.75" customHeight="1" outlineLevel="2">
      <c r="A967" s="791" t="s">
        <v>776</v>
      </c>
      <c r="B967" s="791" t="s">
        <v>1023</v>
      </c>
      <c r="C967" s="791" t="s">
        <v>778</v>
      </c>
      <c r="D967" s="792" t="s">
        <v>779</v>
      </c>
      <c r="E967" s="793" t="s">
        <v>662</v>
      </c>
      <c r="F967" s="793" t="s">
        <v>820</v>
      </c>
      <c r="G967" s="793" t="s">
        <v>813</v>
      </c>
      <c r="H967" s="793" t="s">
        <v>814</v>
      </c>
      <c r="I967" s="794">
        <v>2.3718353694271894E-2</v>
      </c>
      <c r="J967" s="794">
        <v>12.720641329899482</v>
      </c>
      <c r="K967" s="771"/>
    </row>
    <row r="968" spans="1:11" ht="18.75" customHeight="1" outlineLevel="2">
      <c r="A968" s="791" t="s">
        <v>776</v>
      </c>
      <c r="B968" s="791" t="s">
        <v>1023</v>
      </c>
      <c r="C968" s="791" t="s">
        <v>778</v>
      </c>
      <c r="D968" s="792" t="s">
        <v>779</v>
      </c>
      <c r="E968" s="793" t="s">
        <v>662</v>
      </c>
      <c r="F968" s="793" t="s">
        <v>821</v>
      </c>
      <c r="G968" s="793" t="s">
        <v>813</v>
      </c>
      <c r="H968" s="793" t="s">
        <v>814</v>
      </c>
      <c r="I968" s="794">
        <v>5.4462641534459399E-2</v>
      </c>
      <c r="J968" s="794">
        <v>29.129108010532505</v>
      </c>
      <c r="K968" s="771"/>
    </row>
    <row r="969" spans="1:11" ht="18.75" customHeight="1" outlineLevel="2">
      <c r="A969" s="791" t="s">
        <v>776</v>
      </c>
      <c r="B969" s="791" t="s">
        <v>1023</v>
      </c>
      <c r="C969" s="791" t="s">
        <v>778</v>
      </c>
      <c r="D969" s="792" t="s">
        <v>779</v>
      </c>
      <c r="E969" s="793" t="s">
        <v>662</v>
      </c>
      <c r="F969" s="793" t="s">
        <v>824</v>
      </c>
      <c r="G969" s="793" t="s">
        <v>813</v>
      </c>
      <c r="H969" s="793" t="s">
        <v>814</v>
      </c>
      <c r="I969" s="794">
        <v>3.1150510184114138E-5</v>
      </c>
      <c r="J969" s="794">
        <v>1.554351001565292E-2</v>
      </c>
      <c r="K969" s="771"/>
    </row>
    <row r="970" spans="1:11" ht="18.75" customHeight="1" outlineLevel="2">
      <c r="A970" s="791" t="s">
        <v>776</v>
      </c>
      <c r="B970" s="791" t="s">
        <v>1023</v>
      </c>
      <c r="C970" s="791" t="s">
        <v>778</v>
      </c>
      <c r="D970" s="792" t="s">
        <v>779</v>
      </c>
      <c r="E970" s="793" t="s">
        <v>662</v>
      </c>
      <c r="F970" s="793" t="s">
        <v>825</v>
      </c>
      <c r="G970" s="793" t="s">
        <v>791</v>
      </c>
      <c r="H970" s="793" t="s">
        <v>826</v>
      </c>
      <c r="I970" s="794">
        <v>1.0358237600299784E-3</v>
      </c>
      <c r="J970" s="794">
        <v>0.62990792509633853</v>
      </c>
      <c r="K970" s="771"/>
    </row>
    <row r="971" spans="1:11" ht="18.75" customHeight="1" outlineLevel="2">
      <c r="A971" s="791" t="s">
        <v>776</v>
      </c>
      <c r="B971" s="791" t="s">
        <v>1023</v>
      </c>
      <c r="C971" s="791" t="s">
        <v>778</v>
      </c>
      <c r="D971" s="792" t="s">
        <v>779</v>
      </c>
      <c r="E971" s="793" t="s">
        <v>662</v>
      </c>
      <c r="F971" s="793" t="s">
        <v>827</v>
      </c>
      <c r="G971" s="793" t="s">
        <v>794</v>
      </c>
      <c r="H971" s="793" t="s">
        <v>828</v>
      </c>
      <c r="I971" s="794">
        <v>2.295561898060077E-3</v>
      </c>
      <c r="J971" s="794">
        <v>1.1365554716875701</v>
      </c>
      <c r="K971" s="771"/>
    </row>
    <row r="972" spans="1:11" ht="18.75" customHeight="1" outlineLevel="2">
      <c r="A972" s="791" t="s">
        <v>776</v>
      </c>
      <c r="B972" s="791" t="s">
        <v>1023</v>
      </c>
      <c r="C972" s="791" t="s">
        <v>778</v>
      </c>
      <c r="D972" s="792" t="s">
        <v>779</v>
      </c>
      <c r="E972" s="793" t="s">
        <v>662</v>
      </c>
      <c r="F972" s="793" t="s">
        <v>829</v>
      </c>
      <c r="G972" s="793" t="s">
        <v>794</v>
      </c>
      <c r="H972" s="793" t="s">
        <v>828</v>
      </c>
      <c r="I972" s="794">
        <v>1.4649330239006974E-2</v>
      </c>
      <c r="J972" s="794">
        <v>7.5820947039386803</v>
      </c>
      <c r="K972" s="771"/>
    </row>
    <row r="973" spans="1:11" ht="18.75" customHeight="1" outlineLevel="2">
      <c r="A973" s="791" t="s">
        <v>776</v>
      </c>
      <c r="B973" s="791" t="s">
        <v>1023</v>
      </c>
      <c r="C973" s="791" t="s">
        <v>778</v>
      </c>
      <c r="D973" s="792" t="s">
        <v>779</v>
      </c>
      <c r="E973" s="793" t="s">
        <v>662</v>
      </c>
      <c r="F973" s="793" t="s">
        <v>830</v>
      </c>
      <c r="G973" s="793" t="s">
        <v>794</v>
      </c>
      <c r="H973" s="793" t="s">
        <v>828</v>
      </c>
      <c r="I973" s="794">
        <v>5.8758301684489849E-6</v>
      </c>
      <c r="J973" s="794">
        <v>2.6297055070157501E-3</v>
      </c>
      <c r="K973" s="771"/>
    </row>
    <row r="974" spans="1:11" ht="18.75" customHeight="1" outlineLevel="2">
      <c r="A974" s="791" t="s">
        <v>776</v>
      </c>
      <c r="B974" s="791" t="s">
        <v>1023</v>
      </c>
      <c r="C974" s="791" t="s">
        <v>778</v>
      </c>
      <c r="D974" s="792" t="s">
        <v>779</v>
      </c>
      <c r="E974" s="793" t="s">
        <v>662</v>
      </c>
      <c r="F974" s="793" t="s">
        <v>831</v>
      </c>
      <c r="G974" s="793" t="s">
        <v>794</v>
      </c>
      <c r="H974" s="793" t="s">
        <v>828</v>
      </c>
      <c r="I974" s="794">
        <v>1.0249302282108821E-4</v>
      </c>
      <c r="J974" s="794">
        <v>4.5870370212538182E-2</v>
      </c>
      <c r="K974" s="771"/>
    </row>
    <row r="975" spans="1:11" ht="18.75" customHeight="1" outlineLevel="2">
      <c r="A975" s="791" t="s">
        <v>776</v>
      </c>
      <c r="B975" s="791" t="s">
        <v>1023</v>
      </c>
      <c r="C975" s="791" t="s">
        <v>778</v>
      </c>
      <c r="D975" s="792" t="s">
        <v>779</v>
      </c>
      <c r="E975" s="793" t="s">
        <v>662</v>
      </c>
      <c r="F975" s="793" t="s">
        <v>832</v>
      </c>
      <c r="G975" s="793" t="s">
        <v>833</v>
      </c>
      <c r="H975" s="793" t="s">
        <v>834</v>
      </c>
      <c r="I975" s="794">
        <v>7.3218540878665006E-3</v>
      </c>
      <c r="J975" s="794">
        <v>4.2271227528330684</v>
      </c>
      <c r="K975" s="771"/>
    </row>
    <row r="976" spans="1:11" ht="18.75" customHeight="1" outlineLevel="2">
      <c r="A976" s="791" t="s">
        <v>776</v>
      </c>
      <c r="B976" s="791" t="s">
        <v>1023</v>
      </c>
      <c r="C976" s="791" t="s">
        <v>778</v>
      </c>
      <c r="D976" s="792" t="s">
        <v>779</v>
      </c>
      <c r="E976" s="793" t="s">
        <v>662</v>
      </c>
      <c r="F976" s="793" t="s">
        <v>835</v>
      </c>
      <c r="G976" s="793" t="s">
        <v>799</v>
      </c>
      <c r="H976" s="793" t="s">
        <v>800</v>
      </c>
      <c r="I976" s="794">
        <v>0.11859983623064607</v>
      </c>
      <c r="J976" s="794">
        <v>84.034096854422884</v>
      </c>
      <c r="K976" s="771"/>
    </row>
    <row r="977" spans="1:11" ht="18.75" customHeight="1" outlineLevel="2">
      <c r="A977" s="791" t="s">
        <v>776</v>
      </c>
      <c r="B977" s="791" t="s">
        <v>1023</v>
      </c>
      <c r="C977" s="791" t="s">
        <v>778</v>
      </c>
      <c r="D977" s="792" t="s">
        <v>779</v>
      </c>
      <c r="E977" s="793" t="s">
        <v>662</v>
      </c>
      <c r="F977" s="793" t="s">
        <v>836</v>
      </c>
      <c r="G977" s="793" t="s">
        <v>799</v>
      </c>
      <c r="H977" s="793" t="s">
        <v>800</v>
      </c>
      <c r="I977" s="794">
        <v>0.87398367681221056</v>
      </c>
      <c r="J977" s="794">
        <v>798.89408669602801</v>
      </c>
      <c r="K977" s="771"/>
    </row>
    <row r="978" spans="1:11" ht="18.75" customHeight="1" outlineLevel="2">
      <c r="A978" s="791" t="s">
        <v>776</v>
      </c>
      <c r="B978" s="791" t="s">
        <v>1023</v>
      </c>
      <c r="C978" s="791" t="s">
        <v>778</v>
      </c>
      <c r="D978" s="792" t="s">
        <v>779</v>
      </c>
      <c r="E978" s="793" t="s">
        <v>662</v>
      </c>
      <c r="F978" s="793" t="s">
        <v>837</v>
      </c>
      <c r="G978" s="793" t="s">
        <v>799</v>
      </c>
      <c r="H978" s="793" t="s">
        <v>800</v>
      </c>
      <c r="I978" s="794">
        <v>0.13681628887941288</v>
      </c>
      <c r="J978" s="794">
        <v>182.18545927328901</v>
      </c>
      <c r="K978" s="771"/>
    </row>
    <row r="979" spans="1:11" ht="18.75" customHeight="1" outlineLevel="2">
      <c r="A979" s="791" t="s">
        <v>776</v>
      </c>
      <c r="B979" s="791" t="s">
        <v>1023</v>
      </c>
      <c r="C979" s="791" t="s">
        <v>778</v>
      </c>
      <c r="D979" s="792" t="s">
        <v>779</v>
      </c>
      <c r="E979" s="793" t="s">
        <v>662</v>
      </c>
      <c r="F979" s="793" t="s">
        <v>838</v>
      </c>
      <c r="G979" s="793" t="s">
        <v>799</v>
      </c>
      <c r="H979" s="793" t="s">
        <v>800</v>
      </c>
      <c r="I979" s="794">
        <v>0.1174498178213623</v>
      </c>
      <c r="J979" s="794">
        <v>107.15204737313533</v>
      </c>
      <c r="K979" s="771"/>
    </row>
    <row r="980" spans="1:11" ht="18.75" customHeight="1" outlineLevel="2">
      <c r="A980" s="791" t="s">
        <v>776</v>
      </c>
      <c r="B980" s="791" t="s">
        <v>1023</v>
      </c>
      <c r="C980" s="791" t="s">
        <v>778</v>
      </c>
      <c r="D980" s="792" t="s">
        <v>779</v>
      </c>
      <c r="E980" s="793" t="s">
        <v>662</v>
      </c>
      <c r="F980" s="793" t="s">
        <v>839</v>
      </c>
      <c r="G980" s="793" t="s">
        <v>782</v>
      </c>
      <c r="H980" s="793" t="s">
        <v>804</v>
      </c>
      <c r="I980" s="794">
        <v>8.8708352370229918E-4</v>
      </c>
      <c r="J980" s="794">
        <v>1.4491298018114944</v>
      </c>
      <c r="K980" s="771"/>
    </row>
    <row r="981" spans="1:11" ht="18.75" customHeight="1" outlineLevel="2">
      <c r="A981" s="791" t="s">
        <v>776</v>
      </c>
      <c r="B981" s="791" t="s">
        <v>1023</v>
      </c>
      <c r="C981" s="791" t="s">
        <v>778</v>
      </c>
      <c r="D981" s="792" t="s">
        <v>779</v>
      </c>
      <c r="E981" s="793" t="s">
        <v>662</v>
      </c>
      <c r="F981" s="793" t="s">
        <v>840</v>
      </c>
      <c r="G981" s="793" t="s">
        <v>782</v>
      </c>
      <c r="H981" s="793" t="s">
        <v>804</v>
      </c>
      <c r="I981" s="794">
        <v>7.0882714278869301E-6</v>
      </c>
      <c r="J981" s="794">
        <v>1.0816491859587468E-2</v>
      </c>
      <c r="K981" s="771"/>
    </row>
    <row r="982" spans="1:11" ht="18.75" customHeight="1" outlineLevel="2">
      <c r="A982" s="791" t="s">
        <v>776</v>
      </c>
      <c r="B982" s="791" t="s">
        <v>1023</v>
      </c>
      <c r="C982" s="791" t="s">
        <v>778</v>
      </c>
      <c r="D982" s="792" t="s">
        <v>779</v>
      </c>
      <c r="E982" s="793" t="s">
        <v>662</v>
      </c>
      <c r="F982" s="793" t="s">
        <v>841</v>
      </c>
      <c r="G982" s="793" t="s">
        <v>782</v>
      </c>
      <c r="H982" s="793" t="s">
        <v>804</v>
      </c>
      <c r="I982" s="794">
        <v>1.9165590220221029E-3</v>
      </c>
      <c r="J982" s="794">
        <v>2.7223660434721881</v>
      </c>
      <c r="K982" s="771"/>
    </row>
    <row r="983" spans="1:11" ht="18.75" customHeight="1" outlineLevel="2">
      <c r="A983" s="791" t="s">
        <v>776</v>
      </c>
      <c r="B983" s="791" t="s">
        <v>1023</v>
      </c>
      <c r="C983" s="791" t="s">
        <v>778</v>
      </c>
      <c r="D983" s="792" t="s">
        <v>779</v>
      </c>
      <c r="E983" s="793" t="s">
        <v>662</v>
      </c>
      <c r="F983" s="793" t="s">
        <v>842</v>
      </c>
      <c r="G983" s="793" t="s">
        <v>782</v>
      </c>
      <c r="H983" s="793" t="s">
        <v>804</v>
      </c>
      <c r="I983" s="794">
        <v>1.5639814532827641E-3</v>
      </c>
      <c r="J983" s="794">
        <v>2.5630617615396472</v>
      </c>
      <c r="K983" s="771"/>
    </row>
    <row r="984" spans="1:11" ht="18.75" customHeight="1" outlineLevel="2">
      <c r="A984" s="791" t="s">
        <v>776</v>
      </c>
      <c r="B984" s="791" t="s">
        <v>1023</v>
      </c>
      <c r="C984" s="791" t="s">
        <v>778</v>
      </c>
      <c r="D984" s="792" t="s">
        <v>779</v>
      </c>
      <c r="E984" s="793" t="s">
        <v>662</v>
      </c>
      <c r="F984" s="793" t="s">
        <v>843</v>
      </c>
      <c r="G984" s="793" t="s">
        <v>782</v>
      </c>
      <c r="H984" s="793" t="s">
        <v>804</v>
      </c>
      <c r="I984" s="794">
        <v>3.4976034918155667E-3</v>
      </c>
      <c r="J984" s="794">
        <v>5.1150824318216239</v>
      </c>
      <c r="K984" s="771"/>
    </row>
    <row r="985" spans="1:11" ht="18.75" customHeight="1" outlineLevel="2">
      <c r="A985" s="791" t="s">
        <v>776</v>
      </c>
      <c r="B985" s="791" t="s">
        <v>1023</v>
      </c>
      <c r="C985" s="791" t="s">
        <v>778</v>
      </c>
      <c r="D985" s="792" t="s">
        <v>779</v>
      </c>
      <c r="E985" s="793" t="s">
        <v>662</v>
      </c>
      <c r="F985" s="793" t="s">
        <v>844</v>
      </c>
      <c r="G985" s="793" t="s">
        <v>782</v>
      </c>
      <c r="H985" s="793" t="s">
        <v>804</v>
      </c>
      <c r="I985" s="794">
        <v>1.5173304036256773E-3</v>
      </c>
      <c r="J985" s="794">
        <v>2.1538283367050401</v>
      </c>
      <c r="K985" s="771"/>
    </row>
    <row r="986" spans="1:11" ht="18.75" customHeight="1" outlineLevel="2">
      <c r="A986" s="791" t="s">
        <v>776</v>
      </c>
      <c r="B986" s="791" t="s">
        <v>1023</v>
      </c>
      <c r="C986" s="791" t="s">
        <v>778</v>
      </c>
      <c r="D986" s="792" t="s">
        <v>779</v>
      </c>
      <c r="E986" s="793" t="s">
        <v>662</v>
      </c>
      <c r="F986" s="793" t="s">
        <v>845</v>
      </c>
      <c r="G986" s="793" t="s">
        <v>782</v>
      </c>
      <c r="H986" s="793" t="s">
        <v>804</v>
      </c>
      <c r="I986" s="794">
        <v>8.2636114738175327E-5</v>
      </c>
      <c r="J986" s="794">
        <v>0.11225357314258591</v>
      </c>
      <c r="K986" s="771"/>
    </row>
    <row r="987" spans="1:11" ht="18.75" customHeight="1" outlineLevel="2">
      <c r="A987" s="791" t="s">
        <v>776</v>
      </c>
      <c r="B987" s="791" t="s">
        <v>1023</v>
      </c>
      <c r="C987" s="791" t="s">
        <v>778</v>
      </c>
      <c r="D987" s="792" t="s">
        <v>779</v>
      </c>
      <c r="E987" s="793" t="s">
        <v>662</v>
      </c>
      <c r="F987" s="793" t="s">
        <v>846</v>
      </c>
      <c r="G987" s="793" t="s">
        <v>782</v>
      </c>
      <c r="H987" s="793" t="s">
        <v>804</v>
      </c>
      <c r="I987" s="794">
        <v>2.8758246348948506E-3</v>
      </c>
      <c r="J987" s="794">
        <v>4.5073018149969251</v>
      </c>
      <c r="K987" s="771"/>
    </row>
    <row r="988" spans="1:11" ht="18.75" customHeight="1" outlineLevel="2">
      <c r="A988" s="791" t="s">
        <v>776</v>
      </c>
      <c r="B988" s="791" t="s">
        <v>1023</v>
      </c>
      <c r="C988" s="791" t="s">
        <v>778</v>
      </c>
      <c r="D988" s="792" t="s">
        <v>779</v>
      </c>
      <c r="E988" s="793" t="s">
        <v>662</v>
      </c>
      <c r="F988" s="793" t="s">
        <v>847</v>
      </c>
      <c r="G988" s="793" t="s">
        <v>782</v>
      </c>
      <c r="H988" s="793" t="s">
        <v>804</v>
      </c>
      <c r="I988" s="794">
        <v>1.3710323866094106E-3</v>
      </c>
      <c r="J988" s="794">
        <v>1.6716770314025848</v>
      </c>
      <c r="K988" s="771"/>
    </row>
    <row r="989" spans="1:11" ht="18.75" customHeight="1" outlineLevel="2">
      <c r="A989" s="791" t="s">
        <v>776</v>
      </c>
      <c r="B989" s="791" t="s">
        <v>1023</v>
      </c>
      <c r="C989" s="791" t="s">
        <v>778</v>
      </c>
      <c r="D989" s="792" t="s">
        <v>779</v>
      </c>
      <c r="E989" s="793" t="s">
        <v>662</v>
      </c>
      <c r="F989" s="793" t="s">
        <v>848</v>
      </c>
      <c r="G989" s="793" t="s">
        <v>782</v>
      </c>
      <c r="H989" s="793" t="s">
        <v>804</v>
      </c>
      <c r="I989" s="794">
        <v>6.4784578961992363E-3</v>
      </c>
      <c r="J989" s="794">
        <v>9.3922342566196733</v>
      </c>
      <c r="K989" s="771"/>
    </row>
    <row r="990" spans="1:11" ht="18.75" customHeight="1" outlineLevel="2">
      <c r="A990" s="791" t="s">
        <v>776</v>
      </c>
      <c r="B990" s="791" t="s">
        <v>1023</v>
      </c>
      <c r="C990" s="791" t="s">
        <v>778</v>
      </c>
      <c r="D990" s="792" t="s">
        <v>779</v>
      </c>
      <c r="E990" s="793" t="s">
        <v>662</v>
      </c>
      <c r="F990" s="793" t="s">
        <v>849</v>
      </c>
      <c r="G990" s="793" t="s">
        <v>782</v>
      </c>
      <c r="H990" s="793" t="s">
        <v>804</v>
      </c>
      <c r="I990" s="794">
        <v>3.2840922492032871E-3</v>
      </c>
      <c r="J990" s="794">
        <v>4.5104079795189209</v>
      </c>
      <c r="K990" s="771"/>
    </row>
    <row r="991" spans="1:11" ht="18.75" customHeight="1" outlineLevel="2">
      <c r="A991" s="791" t="s">
        <v>776</v>
      </c>
      <c r="B991" s="791" t="s">
        <v>1023</v>
      </c>
      <c r="C991" s="791" t="s">
        <v>778</v>
      </c>
      <c r="D991" s="792" t="s">
        <v>779</v>
      </c>
      <c r="E991" s="793" t="s">
        <v>662</v>
      </c>
      <c r="F991" s="793" t="s">
        <v>850</v>
      </c>
      <c r="G991" s="793" t="s">
        <v>782</v>
      </c>
      <c r="H991" s="793" t="s">
        <v>804</v>
      </c>
      <c r="I991" s="794">
        <v>2.5972723505932673E-4</v>
      </c>
      <c r="J991" s="794">
        <v>0.3633074802706962</v>
      </c>
      <c r="K991" s="771"/>
    </row>
    <row r="992" spans="1:11" ht="18.75" customHeight="1" outlineLevel="2">
      <c r="A992" s="791" t="s">
        <v>776</v>
      </c>
      <c r="B992" s="791" t="s">
        <v>1023</v>
      </c>
      <c r="C992" s="791" t="s">
        <v>778</v>
      </c>
      <c r="D992" s="792" t="s">
        <v>779</v>
      </c>
      <c r="E992" s="793" t="s">
        <v>662</v>
      </c>
      <c r="F992" s="793" t="s">
        <v>851</v>
      </c>
      <c r="G992" s="793" t="s">
        <v>782</v>
      </c>
      <c r="H992" s="793" t="s">
        <v>804</v>
      </c>
      <c r="I992" s="794">
        <v>4.2627113610917416E-4</v>
      </c>
      <c r="J992" s="794">
        <v>0.61008420955127918</v>
      </c>
      <c r="K992" s="771"/>
    </row>
    <row r="993" spans="1:11" ht="18.75" customHeight="1" outlineLevel="2">
      <c r="A993" s="791" t="s">
        <v>776</v>
      </c>
      <c r="B993" s="791" t="s">
        <v>1023</v>
      </c>
      <c r="C993" s="791" t="s">
        <v>778</v>
      </c>
      <c r="D993" s="792" t="s">
        <v>779</v>
      </c>
      <c r="E993" s="793" t="s">
        <v>662</v>
      </c>
      <c r="F993" s="793" t="s">
        <v>852</v>
      </c>
      <c r="G993" s="793" t="s">
        <v>782</v>
      </c>
      <c r="H993" s="793" t="s">
        <v>804</v>
      </c>
      <c r="I993" s="794">
        <v>1.8670451859420297E-4</v>
      </c>
      <c r="J993" s="794">
        <v>0.54516031490857453</v>
      </c>
      <c r="K993" s="771"/>
    </row>
    <row r="994" spans="1:11" ht="18.75" customHeight="1" outlineLevel="2">
      <c r="A994" s="791" t="s">
        <v>776</v>
      </c>
      <c r="B994" s="791" t="s">
        <v>1023</v>
      </c>
      <c r="C994" s="791" t="s">
        <v>778</v>
      </c>
      <c r="D994" s="792" t="s">
        <v>779</v>
      </c>
      <c r="E994" s="793" t="s">
        <v>662</v>
      </c>
      <c r="F994" s="793" t="s">
        <v>853</v>
      </c>
      <c r="G994" s="793" t="s">
        <v>782</v>
      </c>
      <c r="H994" s="793" t="s">
        <v>804</v>
      </c>
      <c r="I994" s="794">
        <v>1.502373581020471E-4</v>
      </c>
      <c r="J994" s="794">
        <v>1.2930262528343321</v>
      </c>
      <c r="K994" s="771"/>
    </row>
    <row r="995" spans="1:11" ht="18.75" customHeight="1" outlineLevel="2">
      <c r="A995" s="791" t="s">
        <v>776</v>
      </c>
      <c r="B995" s="791" t="s">
        <v>1023</v>
      </c>
      <c r="C995" s="791" t="s">
        <v>778</v>
      </c>
      <c r="D995" s="792" t="s">
        <v>779</v>
      </c>
      <c r="E995" s="793" t="s">
        <v>662</v>
      </c>
      <c r="F995" s="793" t="s">
        <v>854</v>
      </c>
      <c r="G995" s="793" t="s">
        <v>782</v>
      </c>
      <c r="H995" s="793" t="s">
        <v>804</v>
      </c>
      <c r="I995" s="794">
        <v>2.0439787956838124E-3</v>
      </c>
      <c r="J995" s="794">
        <v>3.0831260211995799</v>
      </c>
      <c r="K995" s="771"/>
    </row>
    <row r="996" spans="1:11" ht="18.75" customHeight="1" outlineLevel="2">
      <c r="A996" s="791" t="s">
        <v>776</v>
      </c>
      <c r="B996" s="791" t="s">
        <v>1023</v>
      </c>
      <c r="C996" s="791" t="s">
        <v>778</v>
      </c>
      <c r="D996" s="792" t="s">
        <v>779</v>
      </c>
      <c r="E996" s="793" t="s">
        <v>662</v>
      </c>
      <c r="F996" s="793" t="s">
        <v>855</v>
      </c>
      <c r="G996" s="793" t="s">
        <v>782</v>
      </c>
      <c r="H996" s="793" t="s">
        <v>804</v>
      </c>
      <c r="I996" s="794">
        <v>1.4596009440481395E-3</v>
      </c>
      <c r="J996" s="794">
        <v>2.148817310219103</v>
      </c>
      <c r="K996" s="771"/>
    </row>
    <row r="997" spans="1:11" ht="18.75" customHeight="1" outlineLevel="2">
      <c r="A997" s="791" t="s">
        <v>776</v>
      </c>
      <c r="B997" s="791" t="s">
        <v>1023</v>
      </c>
      <c r="C997" s="791" t="s">
        <v>778</v>
      </c>
      <c r="D997" s="792" t="s">
        <v>779</v>
      </c>
      <c r="E997" s="793" t="s">
        <v>662</v>
      </c>
      <c r="F997" s="793" t="s">
        <v>856</v>
      </c>
      <c r="G997" s="793" t="s">
        <v>782</v>
      </c>
      <c r="H997" s="793" t="s">
        <v>804</v>
      </c>
      <c r="I997" s="794">
        <v>5.7318454342049569E-4</v>
      </c>
      <c r="J997" s="794">
        <v>0.70409074477941491</v>
      </c>
      <c r="K997" s="771"/>
    </row>
    <row r="998" spans="1:11" ht="18.75" customHeight="1" outlineLevel="2">
      <c r="A998" s="791" t="s">
        <v>776</v>
      </c>
      <c r="B998" s="791" t="s">
        <v>1023</v>
      </c>
      <c r="C998" s="791" t="s">
        <v>778</v>
      </c>
      <c r="D998" s="792" t="s">
        <v>779</v>
      </c>
      <c r="E998" s="793" t="s">
        <v>662</v>
      </c>
      <c r="F998" s="793" t="s">
        <v>857</v>
      </c>
      <c r="G998" s="793" t="s">
        <v>782</v>
      </c>
      <c r="H998" s="793" t="s">
        <v>804</v>
      </c>
      <c r="I998" s="794">
        <v>4.7724928338769163E-4</v>
      </c>
      <c r="J998" s="794">
        <v>0.5144807524421795</v>
      </c>
      <c r="K998" s="771"/>
    </row>
    <row r="999" spans="1:11" ht="18.75" customHeight="1" outlineLevel="2">
      <c r="A999" s="791" t="s">
        <v>776</v>
      </c>
      <c r="B999" s="791" t="s">
        <v>1023</v>
      </c>
      <c r="C999" s="791" t="s">
        <v>778</v>
      </c>
      <c r="D999" s="792" t="s">
        <v>779</v>
      </c>
      <c r="E999" s="793" t="s">
        <v>662</v>
      </c>
      <c r="F999" s="793" t="s">
        <v>858</v>
      </c>
      <c r="G999" s="793" t="s">
        <v>785</v>
      </c>
      <c r="H999" s="793" t="s">
        <v>727</v>
      </c>
      <c r="I999" s="794">
        <v>1.7600045888190457E-2</v>
      </c>
      <c r="J999" s="794">
        <v>35.331805890647829</v>
      </c>
      <c r="K999" s="771"/>
    </row>
    <row r="1000" spans="1:11" ht="18.75" customHeight="1" outlineLevel="2">
      <c r="A1000" s="791" t="s">
        <v>776</v>
      </c>
      <c r="B1000" s="791" t="s">
        <v>1023</v>
      </c>
      <c r="C1000" s="791" t="s">
        <v>778</v>
      </c>
      <c r="D1000" s="792" t="s">
        <v>779</v>
      </c>
      <c r="E1000" s="793" t="s">
        <v>662</v>
      </c>
      <c r="F1000" s="793" t="s">
        <v>859</v>
      </c>
      <c r="G1000" s="793" t="s">
        <v>785</v>
      </c>
      <c r="H1000" s="793" t="s">
        <v>727</v>
      </c>
      <c r="I1000" s="794">
        <v>1.2643313867746503E-2</v>
      </c>
      <c r="J1000" s="794">
        <v>133.71324671987549</v>
      </c>
      <c r="K1000" s="771"/>
    </row>
    <row r="1001" spans="1:11" ht="18.75" customHeight="1" outlineLevel="2">
      <c r="A1001" s="791" t="s">
        <v>776</v>
      </c>
      <c r="B1001" s="791" t="s">
        <v>1023</v>
      </c>
      <c r="C1001" s="791" t="s">
        <v>778</v>
      </c>
      <c r="D1001" s="792" t="s">
        <v>779</v>
      </c>
      <c r="E1001" s="793" t="s">
        <v>662</v>
      </c>
      <c r="F1001" s="793" t="s">
        <v>860</v>
      </c>
      <c r="G1001" s="793" t="s">
        <v>785</v>
      </c>
      <c r="H1001" s="793" t="s">
        <v>727</v>
      </c>
      <c r="I1001" s="794">
        <v>1.0490193869924044E-2</v>
      </c>
      <c r="J1001" s="794">
        <v>28.732553578286812</v>
      </c>
      <c r="K1001" s="771"/>
    </row>
    <row r="1002" spans="1:11" ht="18.75" customHeight="1" outlineLevel="2">
      <c r="A1002" s="791" t="s">
        <v>776</v>
      </c>
      <c r="B1002" s="791" t="s">
        <v>1023</v>
      </c>
      <c r="C1002" s="791" t="s">
        <v>778</v>
      </c>
      <c r="D1002" s="792" t="s">
        <v>779</v>
      </c>
      <c r="E1002" s="793" t="s">
        <v>662</v>
      </c>
      <c r="F1002" s="793" t="s">
        <v>861</v>
      </c>
      <c r="G1002" s="793" t="s">
        <v>785</v>
      </c>
      <c r="H1002" s="793" t="s">
        <v>727</v>
      </c>
      <c r="I1002" s="794">
        <v>4.0351079500836301E-2</v>
      </c>
      <c r="J1002" s="794">
        <v>53.967633088624865</v>
      </c>
      <c r="K1002" s="771"/>
    </row>
    <row r="1003" spans="1:11" ht="18.75" customHeight="1" outlineLevel="2">
      <c r="A1003" s="791" t="s">
        <v>776</v>
      </c>
      <c r="B1003" s="791" t="s">
        <v>1023</v>
      </c>
      <c r="C1003" s="791" t="s">
        <v>778</v>
      </c>
      <c r="D1003" s="792" t="s">
        <v>779</v>
      </c>
      <c r="E1003" s="793" t="s">
        <v>662</v>
      </c>
      <c r="F1003" s="793" t="s">
        <v>862</v>
      </c>
      <c r="G1003" s="793" t="s">
        <v>785</v>
      </c>
      <c r="H1003" s="793" t="s">
        <v>727</v>
      </c>
      <c r="I1003" s="794">
        <v>1.1385648799031435E-3</v>
      </c>
      <c r="J1003" s="794">
        <v>2.4762651562358338</v>
      </c>
      <c r="K1003" s="771"/>
    </row>
    <row r="1004" spans="1:11" ht="18.75" customHeight="1" outlineLevel="2">
      <c r="A1004" s="791" t="s">
        <v>776</v>
      </c>
      <c r="B1004" s="791" t="s">
        <v>1023</v>
      </c>
      <c r="C1004" s="791" t="s">
        <v>778</v>
      </c>
      <c r="D1004" s="792" t="s">
        <v>779</v>
      </c>
      <c r="E1004" s="793" t="s">
        <v>662</v>
      </c>
      <c r="F1004" s="793" t="s">
        <v>863</v>
      </c>
      <c r="G1004" s="793" t="s">
        <v>785</v>
      </c>
      <c r="H1004" s="793" t="s">
        <v>727</v>
      </c>
      <c r="I1004" s="794">
        <v>6.6869086529836215E-4</v>
      </c>
      <c r="J1004" s="794">
        <v>0.99460407375107496</v>
      </c>
      <c r="K1004" s="771"/>
    </row>
    <row r="1005" spans="1:11" ht="18.75" customHeight="1" outlineLevel="2">
      <c r="A1005" s="791" t="s">
        <v>776</v>
      </c>
      <c r="B1005" s="791" t="s">
        <v>1023</v>
      </c>
      <c r="C1005" s="791" t="s">
        <v>778</v>
      </c>
      <c r="D1005" s="792" t="s">
        <v>779</v>
      </c>
      <c r="E1005" s="793" t="s">
        <v>662</v>
      </c>
      <c r="F1005" s="793" t="s">
        <v>864</v>
      </c>
      <c r="G1005" s="793" t="s">
        <v>785</v>
      </c>
      <c r="H1005" s="793" t="s">
        <v>727</v>
      </c>
      <c r="I1005" s="794">
        <v>8.2882191353621855E-4</v>
      </c>
      <c r="J1005" s="794">
        <v>11.808951601509783</v>
      </c>
      <c r="K1005" s="771"/>
    </row>
    <row r="1006" spans="1:11" ht="18.75" customHeight="1" outlineLevel="2">
      <c r="A1006" s="791" t="s">
        <v>776</v>
      </c>
      <c r="B1006" s="791" t="s">
        <v>1023</v>
      </c>
      <c r="C1006" s="791" t="s">
        <v>778</v>
      </c>
      <c r="D1006" s="792" t="s">
        <v>779</v>
      </c>
      <c r="E1006" s="793" t="s">
        <v>662</v>
      </c>
      <c r="F1006" s="793" t="s">
        <v>865</v>
      </c>
      <c r="G1006" s="793" t="s">
        <v>813</v>
      </c>
      <c r="H1006" s="793" t="s">
        <v>814</v>
      </c>
      <c r="I1006" s="794">
        <v>0.16795118812989421</v>
      </c>
      <c r="J1006" s="794">
        <v>179.78970834639424</v>
      </c>
      <c r="K1006" s="771"/>
    </row>
    <row r="1007" spans="1:11" ht="18.75" customHeight="1" outlineLevel="2">
      <c r="A1007" s="791" t="s">
        <v>776</v>
      </c>
      <c r="B1007" s="791" t="s">
        <v>1023</v>
      </c>
      <c r="C1007" s="791" t="s">
        <v>778</v>
      </c>
      <c r="D1007" s="792" t="s">
        <v>779</v>
      </c>
      <c r="E1007" s="793" t="s">
        <v>662</v>
      </c>
      <c r="F1007" s="793" t="s">
        <v>866</v>
      </c>
      <c r="G1007" s="793" t="s">
        <v>813</v>
      </c>
      <c r="H1007" s="793" t="s">
        <v>814</v>
      </c>
      <c r="I1007" s="794">
        <v>6.714487335048773E-2</v>
      </c>
      <c r="J1007" s="794">
        <v>91.18763231338751</v>
      </c>
      <c r="K1007" s="771"/>
    </row>
    <row r="1008" spans="1:11" ht="18.75" customHeight="1" outlineLevel="2">
      <c r="A1008" s="791" t="s">
        <v>776</v>
      </c>
      <c r="B1008" s="791" t="s">
        <v>1023</v>
      </c>
      <c r="C1008" s="791" t="s">
        <v>778</v>
      </c>
      <c r="D1008" s="792" t="s">
        <v>779</v>
      </c>
      <c r="E1008" s="793" t="s">
        <v>662</v>
      </c>
      <c r="F1008" s="793" t="s">
        <v>867</v>
      </c>
      <c r="G1008" s="793" t="s">
        <v>813</v>
      </c>
      <c r="H1008" s="793" t="s">
        <v>814</v>
      </c>
      <c r="I1008" s="794">
        <v>1.4458021318218042E-2</v>
      </c>
      <c r="J1008" s="794">
        <v>15.471214687081281</v>
      </c>
      <c r="K1008" s="771"/>
    </row>
    <row r="1009" spans="1:11" ht="18.75" customHeight="1" outlineLevel="2">
      <c r="A1009" s="791" t="s">
        <v>776</v>
      </c>
      <c r="B1009" s="791" t="s">
        <v>1023</v>
      </c>
      <c r="C1009" s="791" t="s">
        <v>778</v>
      </c>
      <c r="D1009" s="792" t="s">
        <v>779</v>
      </c>
      <c r="E1009" s="793" t="s">
        <v>662</v>
      </c>
      <c r="F1009" s="793" t="s">
        <v>868</v>
      </c>
      <c r="G1009" s="793" t="s">
        <v>813</v>
      </c>
      <c r="H1009" s="793" t="s">
        <v>814</v>
      </c>
      <c r="I1009" s="794">
        <v>4.2789525505585076E-2</v>
      </c>
      <c r="J1009" s="794">
        <v>54.089183097176829</v>
      </c>
      <c r="K1009" s="771"/>
    </row>
    <row r="1010" spans="1:11" ht="18.75" customHeight="1" outlineLevel="2">
      <c r="A1010" s="791" t="s">
        <v>776</v>
      </c>
      <c r="B1010" s="791" t="s">
        <v>1023</v>
      </c>
      <c r="C1010" s="791" t="s">
        <v>778</v>
      </c>
      <c r="D1010" s="792" t="s">
        <v>779</v>
      </c>
      <c r="E1010" s="793" t="s">
        <v>662</v>
      </c>
      <c r="F1010" s="793" t="s">
        <v>869</v>
      </c>
      <c r="G1010" s="793" t="s">
        <v>813</v>
      </c>
      <c r="H1010" s="793" t="s">
        <v>814</v>
      </c>
      <c r="I1010" s="794">
        <v>7.8760956161276062E-4</v>
      </c>
      <c r="J1010" s="794">
        <v>0.9994006431316832</v>
      </c>
      <c r="K1010" s="771"/>
    </row>
    <row r="1011" spans="1:11" ht="18.75" customHeight="1" outlineLevel="2">
      <c r="A1011" s="791" t="s">
        <v>776</v>
      </c>
      <c r="B1011" s="791" t="s">
        <v>1023</v>
      </c>
      <c r="C1011" s="791" t="s">
        <v>778</v>
      </c>
      <c r="D1011" s="792" t="s">
        <v>779</v>
      </c>
      <c r="E1011" s="793" t="s">
        <v>662</v>
      </c>
      <c r="F1011" s="793" t="s">
        <v>870</v>
      </c>
      <c r="G1011" s="793" t="s">
        <v>813</v>
      </c>
      <c r="H1011" s="793" t="s">
        <v>814</v>
      </c>
      <c r="I1011" s="794">
        <v>1.4907031283465358E-3</v>
      </c>
      <c r="J1011" s="794">
        <v>2.1121339288427805</v>
      </c>
      <c r="K1011" s="771"/>
    </row>
    <row r="1012" spans="1:11" ht="18.75" customHeight="1" outlineLevel="2">
      <c r="A1012" s="791" t="s">
        <v>776</v>
      </c>
      <c r="B1012" s="791" t="s">
        <v>1023</v>
      </c>
      <c r="C1012" s="791" t="s">
        <v>778</v>
      </c>
      <c r="D1012" s="792" t="s">
        <v>779</v>
      </c>
      <c r="E1012" s="793" t="s">
        <v>662</v>
      </c>
      <c r="F1012" s="793" t="s">
        <v>871</v>
      </c>
      <c r="G1012" s="793" t="s">
        <v>813</v>
      </c>
      <c r="H1012" s="793" t="s">
        <v>814</v>
      </c>
      <c r="I1012" s="794">
        <v>1.5000249812902769E-3</v>
      </c>
      <c r="J1012" s="794">
        <v>1.9066307875828763</v>
      </c>
      <c r="K1012" s="771"/>
    </row>
    <row r="1013" spans="1:11" ht="18.75" customHeight="1" outlineLevel="2">
      <c r="A1013" s="791" t="s">
        <v>776</v>
      </c>
      <c r="B1013" s="791" t="s">
        <v>1023</v>
      </c>
      <c r="C1013" s="791" t="s">
        <v>778</v>
      </c>
      <c r="D1013" s="792" t="s">
        <v>779</v>
      </c>
      <c r="E1013" s="793" t="s">
        <v>662</v>
      </c>
      <c r="F1013" s="793" t="s">
        <v>872</v>
      </c>
      <c r="G1013" s="793" t="s">
        <v>813</v>
      </c>
      <c r="H1013" s="793" t="s">
        <v>814</v>
      </c>
      <c r="I1013" s="794">
        <v>5.094663702844042E-2</v>
      </c>
      <c r="J1013" s="794">
        <v>86.670604434019623</v>
      </c>
      <c r="K1013" s="771"/>
    </row>
    <row r="1014" spans="1:11" ht="18.75" customHeight="1" outlineLevel="2">
      <c r="A1014" s="791" t="s">
        <v>776</v>
      </c>
      <c r="B1014" s="791" t="s">
        <v>1023</v>
      </c>
      <c r="C1014" s="791" t="s">
        <v>778</v>
      </c>
      <c r="D1014" s="792" t="s">
        <v>779</v>
      </c>
      <c r="E1014" s="793" t="s">
        <v>662</v>
      </c>
      <c r="F1014" s="793" t="s">
        <v>875</v>
      </c>
      <c r="G1014" s="793" t="s">
        <v>813</v>
      </c>
      <c r="H1014" s="793" t="s">
        <v>814</v>
      </c>
      <c r="I1014" s="794">
        <v>2.5024929037909642E-2</v>
      </c>
      <c r="J1014" s="794">
        <v>36.515852401884445</v>
      </c>
      <c r="K1014" s="771"/>
    </row>
    <row r="1015" spans="1:11" ht="18.75" customHeight="1" outlineLevel="2">
      <c r="A1015" s="791" t="s">
        <v>776</v>
      </c>
      <c r="B1015" s="791" t="s">
        <v>1023</v>
      </c>
      <c r="C1015" s="791" t="s">
        <v>778</v>
      </c>
      <c r="D1015" s="792" t="s">
        <v>779</v>
      </c>
      <c r="E1015" s="793" t="s">
        <v>662</v>
      </c>
      <c r="F1015" s="793" t="s">
        <v>876</v>
      </c>
      <c r="G1015" s="793" t="s">
        <v>813</v>
      </c>
      <c r="H1015" s="793" t="s">
        <v>814</v>
      </c>
      <c r="I1015" s="794">
        <v>7.6679635947919473E-3</v>
      </c>
      <c r="J1015" s="794">
        <v>11.585348663243501</v>
      </c>
      <c r="K1015" s="771"/>
    </row>
    <row r="1016" spans="1:11" ht="18.75" customHeight="1" outlineLevel="2">
      <c r="A1016" s="791" t="s">
        <v>776</v>
      </c>
      <c r="B1016" s="791" t="s">
        <v>1023</v>
      </c>
      <c r="C1016" s="791" t="s">
        <v>778</v>
      </c>
      <c r="D1016" s="792" t="s">
        <v>779</v>
      </c>
      <c r="E1016" s="793" t="s">
        <v>662</v>
      </c>
      <c r="F1016" s="793" t="s">
        <v>877</v>
      </c>
      <c r="G1016" s="793" t="s">
        <v>813</v>
      </c>
      <c r="H1016" s="793" t="s">
        <v>814</v>
      </c>
      <c r="I1016" s="794">
        <v>1.0116711765753652E-2</v>
      </c>
      <c r="J1016" s="794">
        <v>13.113475744044335</v>
      </c>
      <c r="K1016" s="771"/>
    </row>
    <row r="1017" spans="1:11" ht="18.75" customHeight="1" outlineLevel="2">
      <c r="A1017" s="791" t="s">
        <v>776</v>
      </c>
      <c r="B1017" s="791" t="s">
        <v>1023</v>
      </c>
      <c r="C1017" s="791" t="s">
        <v>778</v>
      </c>
      <c r="D1017" s="792" t="s">
        <v>779</v>
      </c>
      <c r="E1017" s="793" t="s">
        <v>662</v>
      </c>
      <c r="F1017" s="793" t="s">
        <v>878</v>
      </c>
      <c r="G1017" s="793" t="s">
        <v>813</v>
      </c>
      <c r="H1017" s="793" t="s">
        <v>814</v>
      </c>
      <c r="I1017" s="794">
        <v>5.1621827286124989E-3</v>
      </c>
      <c r="J1017" s="794">
        <v>6.2261982011538981</v>
      </c>
      <c r="K1017" s="771"/>
    </row>
    <row r="1018" spans="1:11" ht="18.75" customHeight="1" outlineLevel="2">
      <c r="A1018" s="791" t="s">
        <v>776</v>
      </c>
      <c r="B1018" s="791" t="s">
        <v>1023</v>
      </c>
      <c r="C1018" s="791" t="s">
        <v>778</v>
      </c>
      <c r="D1018" s="792" t="s">
        <v>779</v>
      </c>
      <c r="E1018" s="793" t="s">
        <v>662</v>
      </c>
      <c r="F1018" s="793" t="s">
        <v>879</v>
      </c>
      <c r="G1018" s="793" t="s">
        <v>813</v>
      </c>
      <c r="H1018" s="793" t="s">
        <v>814</v>
      </c>
      <c r="I1018" s="794">
        <v>0.33467660655635412</v>
      </c>
      <c r="J1018" s="794">
        <v>489.46535262470286</v>
      </c>
      <c r="K1018" s="771"/>
    </row>
    <row r="1019" spans="1:11" ht="18.75" customHeight="1" outlineLevel="2">
      <c r="A1019" s="791" t="s">
        <v>776</v>
      </c>
      <c r="B1019" s="791" t="s">
        <v>1023</v>
      </c>
      <c r="C1019" s="791" t="s">
        <v>778</v>
      </c>
      <c r="D1019" s="792" t="s">
        <v>779</v>
      </c>
      <c r="E1019" s="793" t="s">
        <v>662</v>
      </c>
      <c r="F1019" s="793" t="s">
        <v>880</v>
      </c>
      <c r="G1019" s="793" t="s">
        <v>813</v>
      </c>
      <c r="H1019" s="793" t="s">
        <v>814</v>
      </c>
      <c r="I1019" s="794">
        <v>0.10418445260198593</v>
      </c>
      <c r="J1019" s="794">
        <v>157.44535249415796</v>
      </c>
      <c r="K1019" s="771"/>
    </row>
    <row r="1020" spans="1:11" ht="18.75" customHeight="1" outlineLevel="2">
      <c r="A1020" s="791" t="s">
        <v>776</v>
      </c>
      <c r="B1020" s="791" t="s">
        <v>1023</v>
      </c>
      <c r="C1020" s="791" t="s">
        <v>778</v>
      </c>
      <c r="D1020" s="792" t="s">
        <v>779</v>
      </c>
      <c r="E1020" s="793" t="s">
        <v>662</v>
      </c>
      <c r="F1020" s="793" t="s">
        <v>881</v>
      </c>
      <c r="G1020" s="793" t="s">
        <v>813</v>
      </c>
      <c r="H1020" s="793" t="s">
        <v>814</v>
      </c>
      <c r="I1020" s="794">
        <v>1.1658105124004206E-2</v>
      </c>
      <c r="J1020" s="794">
        <v>26.289258922992804</v>
      </c>
      <c r="K1020" s="771"/>
    </row>
    <row r="1021" spans="1:11" ht="18.75" customHeight="1" outlineLevel="2">
      <c r="A1021" s="791" t="s">
        <v>776</v>
      </c>
      <c r="B1021" s="791" t="s">
        <v>1023</v>
      </c>
      <c r="C1021" s="791" t="s">
        <v>778</v>
      </c>
      <c r="D1021" s="792" t="s">
        <v>779</v>
      </c>
      <c r="E1021" s="793" t="s">
        <v>662</v>
      </c>
      <c r="F1021" s="793" t="s">
        <v>882</v>
      </c>
      <c r="G1021" s="793" t="s">
        <v>813</v>
      </c>
      <c r="H1021" s="793" t="s">
        <v>814</v>
      </c>
      <c r="I1021" s="794">
        <v>0.32089331499815216</v>
      </c>
      <c r="J1021" s="794">
        <v>508.24368150452312</v>
      </c>
      <c r="K1021" s="771"/>
    </row>
    <row r="1022" spans="1:11" ht="18.75" customHeight="1" outlineLevel="2">
      <c r="A1022" s="791" t="s">
        <v>776</v>
      </c>
      <c r="B1022" s="791" t="s">
        <v>1023</v>
      </c>
      <c r="C1022" s="791" t="s">
        <v>778</v>
      </c>
      <c r="D1022" s="792" t="s">
        <v>779</v>
      </c>
      <c r="E1022" s="793" t="s">
        <v>662</v>
      </c>
      <c r="F1022" s="793" t="s">
        <v>883</v>
      </c>
      <c r="G1022" s="793" t="s">
        <v>813</v>
      </c>
      <c r="H1022" s="793" t="s">
        <v>814</v>
      </c>
      <c r="I1022" s="794">
        <v>1.5236415742588164E-2</v>
      </c>
      <c r="J1022" s="794">
        <v>17.398743083952514</v>
      </c>
      <c r="K1022" s="771"/>
    </row>
    <row r="1023" spans="1:11" ht="18.75" customHeight="1" outlineLevel="2">
      <c r="A1023" s="791" t="s">
        <v>776</v>
      </c>
      <c r="B1023" s="791" t="s">
        <v>1023</v>
      </c>
      <c r="C1023" s="791" t="s">
        <v>778</v>
      </c>
      <c r="D1023" s="792" t="s">
        <v>779</v>
      </c>
      <c r="E1023" s="793" t="s">
        <v>662</v>
      </c>
      <c r="F1023" s="793" t="s">
        <v>884</v>
      </c>
      <c r="G1023" s="793" t="s">
        <v>813</v>
      </c>
      <c r="H1023" s="793" t="s">
        <v>814</v>
      </c>
      <c r="I1023" s="794">
        <v>1.3466046375947385E-2</v>
      </c>
      <c r="J1023" s="794">
        <v>15.617480828316022</v>
      </c>
      <c r="K1023" s="771"/>
    </row>
    <row r="1024" spans="1:11" ht="18.75" customHeight="1" outlineLevel="2">
      <c r="A1024" s="791" t="s">
        <v>776</v>
      </c>
      <c r="B1024" s="791" t="s">
        <v>1023</v>
      </c>
      <c r="C1024" s="791" t="s">
        <v>778</v>
      </c>
      <c r="D1024" s="792" t="s">
        <v>779</v>
      </c>
      <c r="E1024" s="793" t="s">
        <v>662</v>
      </c>
      <c r="F1024" s="793" t="s">
        <v>885</v>
      </c>
      <c r="G1024" s="793" t="s">
        <v>791</v>
      </c>
      <c r="H1024" s="793" t="s">
        <v>826</v>
      </c>
      <c r="I1024" s="794">
        <v>1.0381637070054593E-3</v>
      </c>
      <c r="J1024" s="794">
        <v>1.5323017049000931</v>
      </c>
      <c r="K1024" s="771"/>
    </row>
    <row r="1025" spans="1:11" ht="18.75" customHeight="1" outlineLevel="2">
      <c r="A1025" s="791" t="s">
        <v>776</v>
      </c>
      <c r="B1025" s="791" t="s">
        <v>1023</v>
      </c>
      <c r="C1025" s="791" t="s">
        <v>778</v>
      </c>
      <c r="D1025" s="792" t="s">
        <v>779</v>
      </c>
      <c r="E1025" s="793" t="s">
        <v>662</v>
      </c>
      <c r="F1025" s="793" t="s">
        <v>886</v>
      </c>
      <c r="G1025" s="793" t="s">
        <v>791</v>
      </c>
      <c r="H1025" s="793" t="s">
        <v>826</v>
      </c>
      <c r="I1025" s="794">
        <v>1.3586100179343702E-3</v>
      </c>
      <c r="J1025" s="794">
        <v>5.9294559781625082</v>
      </c>
      <c r="K1025" s="771"/>
    </row>
    <row r="1026" spans="1:11" ht="18.75" customHeight="1" outlineLevel="2">
      <c r="A1026" s="791" t="s">
        <v>776</v>
      </c>
      <c r="B1026" s="791" t="s">
        <v>1023</v>
      </c>
      <c r="C1026" s="791" t="s">
        <v>778</v>
      </c>
      <c r="D1026" s="792" t="s">
        <v>779</v>
      </c>
      <c r="E1026" s="793" t="s">
        <v>662</v>
      </c>
      <c r="F1026" s="793" t="s">
        <v>887</v>
      </c>
      <c r="G1026" s="793" t="s">
        <v>791</v>
      </c>
      <c r="H1026" s="793" t="s">
        <v>826</v>
      </c>
      <c r="I1026" s="794">
        <v>5.067916208156475E-5</v>
      </c>
      <c r="J1026" s="794">
        <v>4.7564505258489723E-2</v>
      </c>
      <c r="K1026" s="771"/>
    </row>
    <row r="1027" spans="1:11" ht="18.75" customHeight="1" outlineLevel="2">
      <c r="A1027" s="791" t="s">
        <v>776</v>
      </c>
      <c r="B1027" s="791" t="s">
        <v>1023</v>
      </c>
      <c r="C1027" s="791" t="s">
        <v>778</v>
      </c>
      <c r="D1027" s="792" t="s">
        <v>779</v>
      </c>
      <c r="E1027" s="793" t="s">
        <v>662</v>
      </c>
      <c r="F1027" s="793" t="s">
        <v>888</v>
      </c>
      <c r="G1027" s="793" t="s">
        <v>791</v>
      </c>
      <c r="H1027" s="793" t="s">
        <v>826</v>
      </c>
      <c r="I1027" s="794">
        <v>4.5458401688135332E-3</v>
      </c>
      <c r="J1027" s="794">
        <v>4.2579627486983664</v>
      </c>
      <c r="K1027" s="771"/>
    </row>
    <row r="1028" spans="1:11" ht="18.75" customHeight="1" outlineLevel="2">
      <c r="A1028" s="791" t="s">
        <v>776</v>
      </c>
      <c r="B1028" s="791" t="s">
        <v>1023</v>
      </c>
      <c r="C1028" s="791" t="s">
        <v>778</v>
      </c>
      <c r="D1028" s="792" t="s">
        <v>779</v>
      </c>
      <c r="E1028" s="793" t="s">
        <v>662</v>
      </c>
      <c r="F1028" s="793" t="s">
        <v>889</v>
      </c>
      <c r="G1028" s="793" t="s">
        <v>791</v>
      </c>
      <c r="H1028" s="793" t="s">
        <v>826</v>
      </c>
      <c r="I1028" s="794">
        <v>8.7344745097902015E-4</v>
      </c>
      <c r="J1028" s="794">
        <v>1.2597846714803631</v>
      </c>
      <c r="K1028" s="771"/>
    </row>
    <row r="1029" spans="1:11" ht="18.75" customHeight="1" outlineLevel="2">
      <c r="A1029" s="791" t="s">
        <v>776</v>
      </c>
      <c r="B1029" s="791" t="s">
        <v>1023</v>
      </c>
      <c r="C1029" s="791" t="s">
        <v>778</v>
      </c>
      <c r="D1029" s="792" t="s">
        <v>779</v>
      </c>
      <c r="E1029" s="793" t="s">
        <v>662</v>
      </c>
      <c r="F1029" s="793" t="s">
        <v>890</v>
      </c>
      <c r="G1029" s="793" t="s">
        <v>791</v>
      </c>
      <c r="H1029" s="793" t="s">
        <v>826</v>
      </c>
      <c r="I1029" s="794">
        <v>1.2483270348007804E-2</v>
      </c>
      <c r="J1029" s="794">
        <v>13.958346674989603</v>
      </c>
      <c r="K1029" s="771"/>
    </row>
    <row r="1030" spans="1:11" ht="18.75" customHeight="1" outlineLevel="2">
      <c r="A1030" s="791" t="s">
        <v>776</v>
      </c>
      <c r="B1030" s="791" t="s">
        <v>1023</v>
      </c>
      <c r="C1030" s="791" t="s">
        <v>778</v>
      </c>
      <c r="D1030" s="792" t="s">
        <v>779</v>
      </c>
      <c r="E1030" s="793" t="s">
        <v>662</v>
      </c>
      <c r="F1030" s="793" t="s">
        <v>891</v>
      </c>
      <c r="G1030" s="793" t="s">
        <v>791</v>
      </c>
      <c r="H1030" s="793" t="s">
        <v>826</v>
      </c>
      <c r="I1030" s="794">
        <v>6.3914743212280842E-2</v>
      </c>
      <c r="J1030" s="794">
        <v>31.29317002097325</v>
      </c>
      <c r="K1030" s="771"/>
    </row>
    <row r="1031" spans="1:11" ht="18.75" customHeight="1" outlineLevel="2">
      <c r="A1031" s="791" t="s">
        <v>776</v>
      </c>
      <c r="B1031" s="791" t="s">
        <v>1023</v>
      </c>
      <c r="C1031" s="791" t="s">
        <v>778</v>
      </c>
      <c r="D1031" s="792" t="s">
        <v>779</v>
      </c>
      <c r="E1031" s="793" t="s">
        <v>662</v>
      </c>
      <c r="F1031" s="793" t="s">
        <v>892</v>
      </c>
      <c r="G1031" s="793" t="s">
        <v>791</v>
      </c>
      <c r="H1031" s="793" t="s">
        <v>826</v>
      </c>
      <c r="I1031" s="794">
        <v>7.199211979099303E-3</v>
      </c>
      <c r="J1031" s="794">
        <v>6.7433046388839459</v>
      </c>
      <c r="K1031" s="771"/>
    </row>
    <row r="1032" spans="1:11" ht="18.75" customHeight="1" outlineLevel="2">
      <c r="A1032" s="791" t="s">
        <v>776</v>
      </c>
      <c r="B1032" s="791" t="s">
        <v>1023</v>
      </c>
      <c r="C1032" s="791" t="s">
        <v>778</v>
      </c>
      <c r="D1032" s="792" t="s">
        <v>779</v>
      </c>
      <c r="E1032" s="793" t="s">
        <v>662</v>
      </c>
      <c r="F1032" s="793" t="s">
        <v>893</v>
      </c>
      <c r="G1032" s="793" t="s">
        <v>791</v>
      </c>
      <c r="H1032" s="793" t="s">
        <v>826</v>
      </c>
      <c r="I1032" s="794">
        <v>9.4508712238456673E-3</v>
      </c>
      <c r="J1032" s="794">
        <v>9.6229370203399949</v>
      </c>
      <c r="K1032" s="771"/>
    </row>
    <row r="1033" spans="1:11" ht="18.75" customHeight="1" outlineLevel="2">
      <c r="A1033" s="791" t="s">
        <v>776</v>
      </c>
      <c r="B1033" s="791" t="s">
        <v>1023</v>
      </c>
      <c r="C1033" s="791" t="s">
        <v>778</v>
      </c>
      <c r="D1033" s="792" t="s">
        <v>779</v>
      </c>
      <c r="E1033" s="793" t="s">
        <v>662</v>
      </c>
      <c r="F1033" s="793" t="s">
        <v>894</v>
      </c>
      <c r="G1033" s="793" t="s">
        <v>791</v>
      </c>
      <c r="H1033" s="793" t="s">
        <v>826</v>
      </c>
      <c r="I1033" s="794">
        <v>1.1320304341381668E-3</v>
      </c>
      <c r="J1033" s="794">
        <v>10.284092190197097</v>
      </c>
      <c r="K1033" s="771"/>
    </row>
    <row r="1034" spans="1:11" ht="18.75" customHeight="1" outlineLevel="2">
      <c r="A1034" s="791" t="s">
        <v>776</v>
      </c>
      <c r="B1034" s="791" t="s">
        <v>1023</v>
      </c>
      <c r="C1034" s="791" t="s">
        <v>778</v>
      </c>
      <c r="D1034" s="792" t="s">
        <v>779</v>
      </c>
      <c r="E1034" s="793" t="s">
        <v>662</v>
      </c>
      <c r="F1034" s="793" t="s">
        <v>895</v>
      </c>
      <c r="G1034" s="793" t="s">
        <v>794</v>
      </c>
      <c r="H1034" s="793" t="s">
        <v>828</v>
      </c>
      <c r="I1034" s="794">
        <v>0.16840603089036427</v>
      </c>
      <c r="J1034" s="794">
        <v>233.85989098366122</v>
      </c>
      <c r="K1034" s="771"/>
    </row>
    <row r="1035" spans="1:11" ht="18.75" customHeight="1" outlineLevel="2">
      <c r="A1035" s="791" t="s">
        <v>776</v>
      </c>
      <c r="B1035" s="791" t="s">
        <v>1023</v>
      </c>
      <c r="C1035" s="791" t="s">
        <v>778</v>
      </c>
      <c r="D1035" s="792" t="s">
        <v>779</v>
      </c>
      <c r="E1035" s="793" t="s">
        <v>662</v>
      </c>
      <c r="F1035" s="793" t="s">
        <v>896</v>
      </c>
      <c r="G1035" s="793" t="s">
        <v>794</v>
      </c>
      <c r="H1035" s="793" t="s">
        <v>828</v>
      </c>
      <c r="I1035" s="794">
        <v>3.9556952856890912E-2</v>
      </c>
      <c r="J1035" s="794">
        <v>58.509630554540983</v>
      </c>
      <c r="K1035" s="771"/>
    </row>
    <row r="1036" spans="1:11" ht="18.75" customHeight="1" outlineLevel="2">
      <c r="A1036" s="791" t="s">
        <v>776</v>
      </c>
      <c r="B1036" s="791" t="s">
        <v>1023</v>
      </c>
      <c r="C1036" s="791" t="s">
        <v>778</v>
      </c>
      <c r="D1036" s="792" t="s">
        <v>779</v>
      </c>
      <c r="E1036" s="793" t="s">
        <v>662</v>
      </c>
      <c r="F1036" s="793" t="s">
        <v>897</v>
      </c>
      <c r="G1036" s="793" t="s">
        <v>794</v>
      </c>
      <c r="H1036" s="793" t="s">
        <v>828</v>
      </c>
      <c r="I1036" s="794">
        <v>1.8248428389271442E-2</v>
      </c>
      <c r="J1036" s="794">
        <v>30.937982203686474</v>
      </c>
      <c r="K1036" s="771"/>
    </row>
    <row r="1037" spans="1:11" ht="18.75" customHeight="1" outlineLevel="2">
      <c r="A1037" s="791" t="s">
        <v>776</v>
      </c>
      <c r="B1037" s="791" t="s">
        <v>1023</v>
      </c>
      <c r="C1037" s="791" t="s">
        <v>778</v>
      </c>
      <c r="D1037" s="792" t="s">
        <v>779</v>
      </c>
      <c r="E1037" s="793" t="s">
        <v>662</v>
      </c>
      <c r="F1037" s="793" t="s">
        <v>898</v>
      </c>
      <c r="G1037" s="793" t="s">
        <v>794</v>
      </c>
      <c r="H1037" s="793" t="s">
        <v>828</v>
      </c>
      <c r="I1037" s="794">
        <v>4.204829589423259E-2</v>
      </c>
      <c r="J1037" s="794">
        <v>66.508297455684641</v>
      </c>
      <c r="K1037" s="771"/>
    </row>
    <row r="1038" spans="1:11" ht="18.75" customHeight="1" outlineLevel="2">
      <c r="A1038" s="791" t="s">
        <v>776</v>
      </c>
      <c r="B1038" s="791" t="s">
        <v>1023</v>
      </c>
      <c r="C1038" s="791" t="s">
        <v>778</v>
      </c>
      <c r="D1038" s="792" t="s">
        <v>779</v>
      </c>
      <c r="E1038" s="793" t="s">
        <v>662</v>
      </c>
      <c r="F1038" s="793" t="s">
        <v>899</v>
      </c>
      <c r="G1038" s="793" t="s">
        <v>794</v>
      </c>
      <c r="H1038" s="793" t="s">
        <v>828</v>
      </c>
      <c r="I1038" s="794">
        <v>7.4073619502873653E-2</v>
      </c>
      <c r="J1038" s="794">
        <v>105.08129654916397</v>
      </c>
      <c r="K1038" s="771"/>
    </row>
    <row r="1039" spans="1:11" ht="18.75" customHeight="1" outlineLevel="2">
      <c r="A1039" s="791" t="s">
        <v>776</v>
      </c>
      <c r="B1039" s="791" t="s">
        <v>1023</v>
      </c>
      <c r="C1039" s="791" t="s">
        <v>778</v>
      </c>
      <c r="D1039" s="792" t="s">
        <v>779</v>
      </c>
      <c r="E1039" s="793" t="s">
        <v>662</v>
      </c>
      <c r="F1039" s="793" t="s">
        <v>900</v>
      </c>
      <c r="G1039" s="793" t="s">
        <v>794</v>
      </c>
      <c r="H1039" s="793" t="s">
        <v>828</v>
      </c>
      <c r="I1039" s="794">
        <v>3.4316369004911609E-3</v>
      </c>
      <c r="J1039" s="794">
        <v>4.930241985878391</v>
      </c>
      <c r="K1039" s="771"/>
    </row>
    <row r="1040" spans="1:11" ht="18.75" customHeight="1" outlineLevel="2">
      <c r="A1040" s="791" t="s">
        <v>776</v>
      </c>
      <c r="B1040" s="791" t="s">
        <v>1023</v>
      </c>
      <c r="C1040" s="791" t="s">
        <v>778</v>
      </c>
      <c r="D1040" s="792" t="s">
        <v>779</v>
      </c>
      <c r="E1040" s="793" t="s">
        <v>662</v>
      </c>
      <c r="F1040" s="793" t="s">
        <v>901</v>
      </c>
      <c r="G1040" s="793" t="s">
        <v>833</v>
      </c>
      <c r="H1040" s="793" t="s">
        <v>834</v>
      </c>
      <c r="I1040" s="794">
        <v>9.7454921288489902E-3</v>
      </c>
      <c r="J1040" s="794">
        <v>10.186705712882885</v>
      </c>
      <c r="K1040" s="771"/>
    </row>
    <row r="1041" spans="1:11" ht="18.75" customHeight="1" outlineLevel="2">
      <c r="A1041" s="791" t="s">
        <v>776</v>
      </c>
      <c r="B1041" s="791" t="s">
        <v>1023</v>
      </c>
      <c r="C1041" s="791" t="s">
        <v>778</v>
      </c>
      <c r="D1041" s="792" t="s">
        <v>779</v>
      </c>
      <c r="E1041" s="793" t="s">
        <v>662</v>
      </c>
      <c r="F1041" s="793" t="s">
        <v>902</v>
      </c>
      <c r="G1041" s="793" t="s">
        <v>833</v>
      </c>
      <c r="H1041" s="793" t="s">
        <v>834</v>
      </c>
      <c r="I1041" s="794">
        <v>8.4828895442024723E-5</v>
      </c>
      <c r="J1041" s="794">
        <v>0.10856634343670141</v>
      </c>
      <c r="K1041" s="771"/>
    </row>
    <row r="1042" spans="1:11" ht="18.75" customHeight="1" outlineLevel="2">
      <c r="A1042" s="791" t="s">
        <v>776</v>
      </c>
      <c r="B1042" s="791" t="s">
        <v>1023</v>
      </c>
      <c r="C1042" s="791" t="s">
        <v>778</v>
      </c>
      <c r="D1042" s="792" t="s">
        <v>779</v>
      </c>
      <c r="E1042" s="793" t="s">
        <v>662</v>
      </c>
      <c r="F1042" s="793" t="s">
        <v>903</v>
      </c>
      <c r="G1042" s="793" t="s">
        <v>904</v>
      </c>
      <c r="H1042" s="793" t="s">
        <v>905</v>
      </c>
      <c r="I1042" s="794">
        <v>0.82518708656231643</v>
      </c>
      <c r="J1042" s="794">
        <v>702.08464274990558</v>
      </c>
      <c r="K1042" s="771"/>
    </row>
    <row r="1043" spans="1:11" ht="18.75" customHeight="1" outlineLevel="2">
      <c r="A1043" s="791" t="s">
        <v>776</v>
      </c>
      <c r="B1043" s="791" t="s">
        <v>1023</v>
      </c>
      <c r="C1043" s="791" t="s">
        <v>778</v>
      </c>
      <c r="D1043" s="792" t="s">
        <v>779</v>
      </c>
      <c r="E1043" s="793" t="s">
        <v>662</v>
      </c>
      <c r="F1043" s="793" t="s">
        <v>906</v>
      </c>
      <c r="G1043" s="793" t="s">
        <v>904</v>
      </c>
      <c r="H1043" s="793" t="s">
        <v>905</v>
      </c>
      <c r="I1043" s="794">
        <v>0.34733173163472181</v>
      </c>
      <c r="J1043" s="794">
        <v>296.3122055726908</v>
      </c>
      <c r="K1043" s="771"/>
    </row>
    <row r="1044" spans="1:11" ht="18.75" customHeight="1" outlineLevel="2">
      <c r="A1044" s="791" t="s">
        <v>776</v>
      </c>
      <c r="B1044" s="791" t="s">
        <v>1023</v>
      </c>
      <c r="C1044" s="791" t="s">
        <v>778</v>
      </c>
      <c r="D1044" s="792" t="s">
        <v>779</v>
      </c>
      <c r="E1044" s="793" t="s">
        <v>662</v>
      </c>
      <c r="F1044" s="793" t="s">
        <v>907</v>
      </c>
      <c r="G1044" s="793" t="s">
        <v>908</v>
      </c>
      <c r="H1044" s="793" t="s">
        <v>905</v>
      </c>
      <c r="I1044" s="794">
        <v>0.13015493456602967</v>
      </c>
      <c r="J1044" s="794">
        <v>218.88047281890945</v>
      </c>
      <c r="K1044" s="771"/>
    </row>
    <row r="1045" spans="1:11" ht="18.75" customHeight="1" outlineLevel="2">
      <c r="A1045" s="791" t="s">
        <v>776</v>
      </c>
      <c r="B1045" s="791" t="s">
        <v>1023</v>
      </c>
      <c r="C1045" s="791" t="s">
        <v>778</v>
      </c>
      <c r="D1045" s="792" t="s">
        <v>779</v>
      </c>
      <c r="E1045" s="793" t="s">
        <v>763</v>
      </c>
      <c r="F1045" s="793" t="s">
        <v>912</v>
      </c>
      <c r="G1045" s="793" t="s">
        <v>799</v>
      </c>
      <c r="H1045" s="793" t="s">
        <v>913</v>
      </c>
      <c r="I1045" s="794">
        <v>3.8453088531034021E-3</v>
      </c>
      <c r="J1045" s="794">
        <v>7.3639532715053093</v>
      </c>
      <c r="K1045" s="771"/>
    </row>
    <row r="1046" spans="1:11" ht="18.75" customHeight="1" outlineLevel="2">
      <c r="A1046" s="791" t="s">
        <v>776</v>
      </c>
      <c r="B1046" s="791" t="s">
        <v>1023</v>
      </c>
      <c r="C1046" s="791" t="s">
        <v>778</v>
      </c>
      <c r="D1046" s="792" t="s">
        <v>779</v>
      </c>
      <c r="E1046" s="793" t="s">
        <v>763</v>
      </c>
      <c r="F1046" s="793" t="s">
        <v>914</v>
      </c>
      <c r="G1046" s="793" t="s">
        <v>782</v>
      </c>
      <c r="H1046" s="793" t="s">
        <v>913</v>
      </c>
      <c r="I1046" s="794">
        <v>4.5656813702964971E-5</v>
      </c>
      <c r="J1046" s="794">
        <v>0.21253230323545641</v>
      </c>
      <c r="K1046" s="771"/>
    </row>
    <row r="1047" spans="1:11" ht="18.75" customHeight="1" outlineLevel="2">
      <c r="A1047" s="791" t="s">
        <v>776</v>
      </c>
      <c r="B1047" s="791" t="s">
        <v>1023</v>
      </c>
      <c r="C1047" s="791" t="s">
        <v>778</v>
      </c>
      <c r="D1047" s="792" t="s">
        <v>779</v>
      </c>
      <c r="E1047" s="793" t="s">
        <v>763</v>
      </c>
      <c r="F1047" s="793" t="s">
        <v>915</v>
      </c>
      <c r="G1047" s="793" t="s">
        <v>782</v>
      </c>
      <c r="H1047" s="793" t="s">
        <v>913</v>
      </c>
      <c r="I1047" s="794">
        <v>2.4487214962415646E-5</v>
      </c>
      <c r="J1047" s="794">
        <v>0.35542851472270259</v>
      </c>
      <c r="K1047" s="771"/>
    </row>
    <row r="1048" spans="1:11" ht="18.75" customHeight="1" outlineLevel="2">
      <c r="A1048" s="791" t="s">
        <v>776</v>
      </c>
      <c r="B1048" s="791" t="s">
        <v>1023</v>
      </c>
      <c r="C1048" s="791" t="s">
        <v>778</v>
      </c>
      <c r="D1048" s="792" t="s">
        <v>779</v>
      </c>
      <c r="E1048" s="793" t="s">
        <v>763</v>
      </c>
      <c r="F1048" s="793" t="s">
        <v>916</v>
      </c>
      <c r="G1048" s="793" t="s">
        <v>782</v>
      </c>
      <c r="H1048" s="793" t="s">
        <v>913</v>
      </c>
      <c r="I1048" s="794">
        <v>3.6306128283204149E-5</v>
      </c>
      <c r="J1048" s="794">
        <v>6.2768348121245182E-2</v>
      </c>
      <c r="K1048" s="771"/>
    </row>
    <row r="1049" spans="1:11" ht="18.75" customHeight="1" outlineLevel="2">
      <c r="A1049" s="791" t="s">
        <v>776</v>
      </c>
      <c r="B1049" s="791" t="s">
        <v>1023</v>
      </c>
      <c r="C1049" s="791" t="s">
        <v>778</v>
      </c>
      <c r="D1049" s="792" t="s">
        <v>779</v>
      </c>
      <c r="E1049" s="793" t="s">
        <v>763</v>
      </c>
      <c r="F1049" s="793" t="s">
        <v>917</v>
      </c>
      <c r="G1049" s="793" t="s">
        <v>782</v>
      </c>
      <c r="H1049" s="793" t="s">
        <v>913</v>
      </c>
      <c r="I1049" s="794">
        <v>6.6468919583084594E-6</v>
      </c>
      <c r="J1049" s="794">
        <v>3.6389669513477461E-2</v>
      </c>
      <c r="K1049" s="771"/>
    </row>
    <row r="1050" spans="1:11" ht="18.75" customHeight="1" outlineLevel="2">
      <c r="A1050" s="791" t="s">
        <v>776</v>
      </c>
      <c r="B1050" s="791" t="s">
        <v>1023</v>
      </c>
      <c r="C1050" s="791" t="s">
        <v>778</v>
      </c>
      <c r="D1050" s="792" t="s">
        <v>779</v>
      </c>
      <c r="E1050" s="793" t="s">
        <v>763</v>
      </c>
      <c r="F1050" s="793" t="s">
        <v>918</v>
      </c>
      <c r="G1050" s="793" t="s">
        <v>782</v>
      </c>
      <c r="H1050" s="793" t="s">
        <v>913</v>
      </c>
      <c r="I1050" s="794">
        <v>1.4711875052758716E-4</v>
      </c>
      <c r="J1050" s="794">
        <v>0.65728045339089369</v>
      </c>
      <c r="K1050" s="771"/>
    </row>
    <row r="1051" spans="1:11" ht="18.75" customHeight="1" outlineLevel="2">
      <c r="A1051" s="791" t="s">
        <v>776</v>
      </c>
      <c r="B1051" s="791" t="s">
        <v>1023</v>
      </c>
      <c r="C1051" s="791" t="s">
        <v>778</v>
      </c>
      <c r="D1051" s="792" t="s">
        <v>779</v>
      </c>
      <c r="E1051" s="793" t="s">
        <v>763</v>
      </c>
      <c r="F1051" s="793" t="s">
        <v>919</v>
      </c>
      <c r="G1051" s="793" t="s">
        <v>782</v>
      </c>
      <c r="H1051" s="793" t="s">
        <v>913</v>
      </c>
      <c r="I1051" s="794">
        <v>2.8141184452560209E-4</v>
      </c>
      <c r="J1051" s="794">
        <v>0.33013793374158201</v>
      </c>
      <c r="K1051" s="771"/>
    </row>
    <row r="1052" spans="1:11" ht="18.75" customHeight="1" outlineLevel="2">
      <c r="A1052" s="791" t="s">
        <v>776</v>
      </c>
      <c r="B1052" s="791" t="s">
        <v>1023</v>
      </c>
      <c r="C1052" s="791" t="s">
        <v>778</v>
      </c>
      <c r="D1052" s="792" t="s">
        <v>779</v>
      </c>
      <c r="E1052" s="793" t="s">
        <v>763</v>
      </c>
      <c r="F1052" s="793" t="s">
        <v>920</v>
      </c>
      <c r="G1052" s="793" t="s">
        <v>782</v>
      </c>
      <c r="H1052" s="793" t="s">
        <v>913</v>
      </c>
      <c r="I1052" s="794">
        <v>3.0565016036651549E-5</v>
      </c>
      <c r="J1052" s="794">
        <v>0.60810542205785301</v>
      </c>
      <c r="K1052" s="771"/>
    </row>
    <row r="1053" spans="1:11" ht="18.75" customHeight="1" outlineLevel="2">
      <c r="A1053" s="791" t="s">
        <v>776</v>
      </c>
      <c r="B1053" s="791" t="s">
        <v>1023</v>
      </c>
      <c r="C1053" s="791" t="s">
        <v>778</v>
      </c>
      <c r="D1053" s="792" t="s">
        <v>779</v>
      </c>
      <c r="E1053" s="793" t="s">
        <v>763</v>
      </c>
      <c r="F1053" s="793" t="s">
        <v>921</v>
      </c>
      <c r="G1053" s="793" t="s">
        <v>782</v>
      </c>
      <c r="H1053" s="793" t="s">
        <v>913</v>
      </c>
      <c r="I1053" s="794">
        <v>1.4186008248358699E-4</v>
      </c>
      <c r="J1053" s="794">
        <v>0.24778305748228993</v>
      </c>
      <c r="K1053" s="771"/>
    </row>
    <row r="1054" spans="1:11" ht="18.75" customHeight="1" outlineLevel="2">
      <c r="A1054" s="791" t="s">
        <v>776</v>
      </c>
      <c r="B1054" s="791" t="s">
        <v>1023</v>
      </c>
      <c r="C1054" s="791" t="s">
        <v>778</v>
      </c>
      <c r="D1054" s="792" t="s">
        <v>779</v>
      </c>
      <c r="E1054" s="793" t="s">
        <v>763</v>
      </c>
      <c r="F1054" s="793" t="s">
        <v>922</v>
      </c>
      <c r="G1054" s="793" t="s">
        <v>782</v>
      </c>
      <c r="H1054" s="793" t="s">
        <v>913</v>
      </c>
      <c r="I1054" s="794">
        <v>2.1206449454603028E-5</v>
      </c>
      <c r="J1054" s="794">
        <v>4.0611657825220651E-2</v>
      </c>
      <c r="K1054" s="771"/>
    </row>
    <row r="1055" spans="1:11" ht="18.75" customHeight="1" outlineLevel="2">
      <c r="A1055" s="791" t="s">
        <v>776</v>
      </c>
      <c r="B1055" s="791" t="s">
        <v>1023</v>
      </c>
      <c r="C1055" s="791" t="s">
        <v>778</v>
      </c>
      <c r="D1055" s="792" t="s">
        <v>779</v>
      </c>
      <c r="E1055" s="793" t="s">
        <v>763</v>
      </c>
      <c r="F1055" s="793" t="s">
        <v>923</v>
      </c>
      <c r="G1055" s="793" t="s">
        <v>782</v>
      </c>
      <c r="H1055" s="793" t="s">
        <v>913</v>
      </c>
      <c r="I1055" s="794">
        <v>1.1622217387352547E-4</v>
      </c>
      <c r="J1055" s="794">
        <v>0.42229047503094808</v>
      </c>
      <c r="K1055" s="771"/>
    </row>
    <row r="1056" spans="1:11" ht="18.75" customHeight="1" outlineLevel="2">
      <c r="A1056" s="791" t="s">
        <v>776</v>
      </c>
      <c r="B1056" s="791" t="s">
        <v>1023</v>
      </c>
      <c r="C1056" s="791" t="s">
        <v>778</v>
      </c>
      <c r="D1056" s="792" t="s">
        <v>779</v>
      </c>
      <c r="E1056" s="793" t="s">
        <v>763</v>
      </c>
      <c r="F1056" s="793" t="s">
        <v>924</v>
      </c>
      <c r="G1056" s="793" t="s">
        <v>782</v>
      </c>
      <c r="H1056" s="793" t="s">
        <v>913</v>
      </c>
      <c r="I1056" s="794">
        <v>9.5748127559473393E-5</v>
      </c>
      <c r="J1056" s="794">
        <v>1.0197387952323533</v>
      </c>
      <c r="K1056" s="771"/>
    </row>
    <row r="1057" spans="1:11" ht="18.75" customHeight="1" outlineLevel="2">
      <c r="A1057" s="791" t="s">
        <v>776</v>
      </c>
      <c r="B1057" s="791" t="s">
        <v>1023</v>
      </c>
      <c r="C1057" s="791" t="s">
        <v>778</v>
      </c>
      <c r="D1057" s="792" t="s">
        <v>779</v>
      </c>
      <c r="E1057" s="793" t="s">
        <v>763</v>
      </c>
      <c r="F1057" s="793" t="s">
        <v>925</v>
      </c>
      <c r="G1057" s="793" t="s">
        <v>782</v>
      </c>
      <c r="H1057" s="793" t="s">
        <v>913</v>
      </c>
      <c r="I1057" s="794">
        <v>6.7372723853393315E-6</v>
      </c>
      <c r="J1057" s="794">
        <v>0.10728985416513566</v>
      </c>
      <c r="K1057" s="771"/>
    </row>
    <row r="1058" spans="1:11" ht="18.75" customHeight="1" outlineLevel="2">
      <c r="A1058" s="791" t="s">
        <v>776</v>
      </c>
      <c r="B1058" s="791" t="s">
        <v>1023</v>
      </c>
      <c r="C1058" s="791" t="s">
        <v>778</v>
      </c>
      <c r="D1058" s="792" t="s">
        <v>779</v>
      </c>
      <c r="E1058" s="793" t="s">
        <v>763</v>
      </c>
      <c r="F1058" s="793" t="s">
        <v>926</v>
      </c>
      <c r="G1058" s="793" t="s">
        <v>782</v>
      </c>
      <c r="H1058" s="793" t="s">
        <v>913</v>
      </c>
      <c r="I1058" s="794">
        <v>4.9963403019574542E-4</v>
      </c>
      <c r="J1058" s="794">
        <v>0.9185290283866373</v>
      </c>
      <c r="K1058" s="771"/>
    </row>
    <row r="1059" spans="1:11" ht="18.75" customHeight="1" outlineLevel="2">
      <c r="A1059" s="791" t="s">
        <v>776</v>
      </c>
      <c r="B1059" s="791" t="s">
        <v>1023</v>
      </c>
      <c r="C1059" s="791" t="s">
        <v>778</v>
      </c>
      <c r="D1059" s="792" t="s">
        <v>779</v>
      </c>
      <c r="E1059" s="793" t="s">
        <v>763</v>
      </c>
      <c r="F1059" s="793" t="s">
        <v>927</v>
      </c>
      <c r="G1059" s="793" t="s">
        <v>782</v>
      </c>
      <c r="H1059" s="793" t="s">
        <v>913</v>
      </c>
      <c r="I1059" s="794">
        <v>2.7849541764817464E-4</v>
      </c>
      <c r="J1059" s="794">
        <v>0.38548108493657329</v>
      </c>
      <c r="K1059" s="771"/>
    </row>
    <row r="1060" spans="1:11" ht="18.75" customHeight="1" outlineLevel="2">
      <c r="A1060" s="791" t="s">
        <v>776</v>
      </c>
      <c r="B1060" s="791" t="s">
        <v>1023</v>
      </c>
      <c r="C1060" s="791" t="s">
        <v>778</v>
      </c>
      <c r="D1060" s="792" t="s">
        <v>779</v>
      </c>
      <c r="E1060" s="793" t="s">
        <v>763</v>
      </c>
      <c r="F1060" s="793" t="s">
        <v>928</v>
      </c>
      <c r="G1060" s="793" t="s">
        <v>785</v>
      </c>
      <c r="H1060" s="793" t="s">
        <v>913</v>
      </c>
      <c r="I1060" s="794">
        <v>6.2139938751026719E-3</v>
      </c>
      <c r="J1060" s="794">
        <v>19.129096584122532</v>
      </c>
      <c r="K1060" s="771"/>
    </row>
    <row r="1061" spans="1:11" ht="18.75" customHeight="1" outlineLevel="2">
      <c r="A1061" s="791" t="s">
        <v>776</v>
      </c>
      <c r="B1061" s="791" t="s">
        <v>1023</v>
      </c>
      <c r="C1061" s="791" t="s">
        <v>778</v>
      </c>
      <c r="D1061" s="792" t="s">
        <v>779</v>
      </c>
      <c r="E1061" s="793" t="s">
        <v>763</v>
      </c>
      <c r="F1061" s="793" t="s">
        <v>929</v>
      </c>
      <c r="G1061" s="793" t="s">
        <v>785</v>
      </c>
      <c r="H1061" s="793" t="s">
        <v>913</v>
      </c>
      <c r="I1061" s="794">
        <v>0.12353834563848566</v>
      </c>
      <c r="J1061" s="794">
        <v>1740.0004707273974</v>
      </c>
      <c r="K1061" s="771"/>
    </row>
    <row r="1062" spans="1:11" ht="18.75" customHeight="1" outlineLevel="2">
      <c r="A1062" s="791" t="s">
        <v>776</v>
      </c>
      <c r="B1062" s="791" t="s">
        <v>1023</v>
      </c>
      <c r="C1062" s="791" t="s">
        <v>778</v>
      </c>
      <c r="D1062" s="792" t="s">
        <v>779</v>
      </c>
      <c r="E1062" s="793" t="s">
        <v>763</v>
      </c>
      <c r="F1062" s="793" t="s">
        <v>930</v>
      </c>
      <c r="G1062" s="793" t="s">
        <v>785</v>
      </c>
      <c r="H1062" s="793" t="s">
        <v>913</v>
      </c>
      <c r="I1062" s="794">
        <v>7.3548579668799847E-4</v>
      </c>
      <c r="J1062" s="794">
        <v>12.962332443950574</v>
      </c>
      <c r="K1062" s="771"/>
    </row>
    <row r="1063" spans="1:11" ht="18.75" customHeight="1" outlineLevel="2">
      <c r="A1063" s="791" t="s">
        <v>776</v>
      </c>
      <c r="B1063" s="791" t="s">
        <v>1023</v>
      </c>
      <c r="C1063" s="791" t="s">
        <v>778</v>
      </c>
      <c r="D1063" s="792" t="s">
        <v>779</v>
      </c>
      <c r="E1063" s="793" t="s">
        <v>763</v>
      </c>
      <c r="F1063" s="793" t="s">
        <v>931</v>
      </c>
      <c r="G1063" s="793" t="s">
        <v>785</v>
      </c>
      <c r="H1063" s="793" t="s">
        <v>913</v>
      </c>
      <c r="I1063" s="794">
        <v>2.460347536836834E-4</v>
      </c>
      <c r="J1063" s="794">
        <v>4.0887817248554441</v>
      </c>
      <c r="K1063" s="771"/>
    </row>
    <row r="1064" spans="1:11" ht="18.75" customHeight="1" outlineLevel="2">
      <c r="A1064" s="791" t="s">
        <v>776</v>
      </c>
      <c r="B1064" s="791" t="s">
        <v>1023</v>
      </c>
      <c r="C1064" s="791" t="s">
        <v>778</v>
      </c>
      <c r="D1064" s="792" t="s">
        <v>779</v>
      </c>
      <c r="E1064" s="793" t="s">
        <v>763</v>
      </c>
      <c r="F1064" s="793" t="s">
        <v>932</v>
      </c>
      <c r="G1064" s="793" t="s">
        <v>785</v>
      </c>
      <c r="H1064" s="793" t="s">
        <v>913</v>
      </c>
      <c r="I1064" s="794">
        <v>2.627036531523384E-4</v>
      </c>
      <c r="J1064" s="794">
        <v>1.009807035913167</v>
      </c>
      <c r="K1064" s="771"/>
    </row>
    <row r="1065" spans="1:11" ht="18.75" customHeight="1" outlineLevel="2">
      <c r="A1065" s="791" t="s">
        <v>776</v>
      </c>
      <c r="B1065" s="791" t="s">
        <v>1023</v>
      </c>
      <c r="C1065" s="791" t="s">
        <v>778</v>
      </c>
      <c r="D1065" s="792" t="s">
        <v>779</v>
      </c>
      <c r="E1065" s="793" t="s">
        <v>763</v>
      </c>
      <c r="F1065" s="793" t="s">
        <v>933</v>
      </c>
      <c r="G1065" s="793" t="s">
        <v>785</v>
      </c>
      <c r="H1065" s="793" t="s">
        <v>913</v>
      </c>
      <c r="I1065" s="794">
        <v>3.6873719176314275E-4</v>
      </c>
      <c r="J1065" s="794">
        <v>8.0307648528013793</v>
      </c>
      <c r="K1065" s="771"/>
    </row>
    <row r="1066" spans="1:11" ht="18.75" customHeight="1" outlineLevel="2">
      <c r="A1066" s="791" t="s">
        <v>776</v>
      </c>
      <c r="B1066" s="791" t="s">
        <v>1023</v>
      </c>
      <c r="C1066" s="791" t="s">
        <v>778</v>
      </c>
      <c r="D1066" s="792" t="s">
        <v>779</v>
      </c>
      <c r="E1066" s="793" t="s">
        <v>763</v>
      </c>
      <c r="F1066" s="793" t="s">
        <v>934</v>
      </c>
      <c r="G1066" s="793" t="s">
        <v>813</v>
      </c>
      <c r="H1066" s="793" t="s">
        <v>913</v>
      </c>
      <c r="I1066" s="794">
        <v>5.7178567413264316E-4</v>
      </c>
      <c r="J1066" s="794">
        <v>8.6650103579645368</v>
      </c>
      <c r="K1066" s="771"/>
    </row>
    <row r="1067" spans="1:11" ht="18.75" customHeight="1" outlineLevel="2">
      <c r="A1067" s="791" t="s">
        <v>776</v>
      </c>
      <c r="B1067" s="791" t="s">
        <v>1023</v>
      </c>
      <c r="C1067" s="791" t="s">
        <v>778</v>
      </c>
      <c r="D1067" s="792" t="s">
        <v>779</v>
      </c>
      <c r="E1067" s="793" t="s">
        <v>763</v>
      </c>
      <c r="F1067" s="793" t="s">
        <v>935</v>
      </c>
      <c r="G1067" s="793" t="s">
        <v>791</v>
      </c>
      <c r="H1067" s="793" t="s">
        <v>913</v>
      </c>
      <c r="I1067" s="794">
        <v>4.8244318994652674E-5</v>
      </c>
      <c r="J1067" s="794">
        <v>6.0791802773974182E-2</v>
      </c>
      <c r="K1067" s="771"/>
    </row>
    <row r="1068" spans="1:11" ht="18.75" customHeight="1" outlineLevel="2">
      <c r="A1068" s="791" t="s">
        <v>776</v>
      </c>
      <c r="B1068" s="791" t="s">
        <v>1023</v>
      </c>
      <c r="C1068" s="791" t="s">
        <v>778</v>
      </c>
      <c r="D1068" s="792" t="s">
        <v>779</v>
      </c>
      <c r="E1068" s="793" t="s">
        <v>763</v>
      </c>
      <c r="F1068" s="793" t="s">
        <v>936</v>
      </c>
      <c r="G1068" s="793" t="s">
        <v>791</v>
      </c>
      <c r="H1068" s="793" t="s">
        <v>913</v>
      </c>
      <c r="I1068" s="794">
        <v>6.9901585230415029E-6</v>
      </c>
      <c r="J1068" s="794">
        <v>0.11840533656487238</v>
      </c>
      <c r="K1068" s="771"/>
    </row>
    <row r="1069" spans="1:11" ht="18.75" customHeight="1" outlineLevel="2">
      <c r="A1069" s="791" t="s">
        <v>776</v>
      </c>
      <c r="B1069" s="791" t="s">
        <v>1023</v>
      </c>
      <c r="C1069" s="791" t="s">
        <v>778</v>
      </c>
      <c r="D1069" s="792" t="s">
        <v>779</v>
      </c>
      <c r="E1069" s="793" t="s">
        <v>763</v>
      </c>
      <c r="F1069" s="793" t="s">
        <v>937</v>
      </c>
      <c r="G1069" s="793" t="s">
        <v>794</v>
      </c>
      <c r="H1069" s="793" t="s">
        <v>913</v>
      </c>
      <c r="I1069" s="794">
        <v>9.1532004378511184E-3</v>
      </c>
      <c r="J1069" s="794">
        <v>22.47406034975803</v>
      </c>
      <c r="K1069" s="771"/>
    </row>
    <row r="1070" spans="1:11" ht="18.75" customHeight="1" outlineLevel="2">
      <c r="A1070" s="791" t="s">
        <v>776</v>
      </c>
      <c r="B1070" s="791" t="s">
        <v>1023</v>
      </c>
      <c r="C1070" s="791" t="s">
        <v>778</v>
      </c>
      <c r="D1070" s="792" t="s">
        <v>779</v>
      </c>
      <c r="E1070" s="793" t="s">
        <v>763</v>
      </c>
      <c r="F1070" s="793" t="s">
        <v>938</v>
      </c>
      <c r="G1070" s="793" t="s">
        <v>794</v>
      </c>
      <c r="H1070" s="793" t="s">
        <v>913</v>
      </c>
      <c r="I1070" s="794">
        <v>1.0770233488410455E-3</v>
      </c>
      <c r="J1070" s="794">
        <v>4.9192901663015647</v>
      </c>
      <c r="K1070" s="771"/>
    </row>
    <row r="1071" spans="1:11" ht="18.75" customHeight="1" outlineLevel="2">
      <c r="A1071" s="791" t="s">
        <v>776</v>
      </c>
      <c r="B1071" s="791" t="s">
        <v>1023</v>
      </c>
      <c r="C1071" s="791" t="s">
        <v>778</v>
      </c>
      <c r="D1071" s="792" t="s">
        <v>779</v>
      </c>
      <c r="E1071" s="793" t="s">
        <v>763</v>
      </c>
      <c r="F1071" s="793" t="s">
        <v>939</v>
      </c>
      <c r="G1071" s="793" t="s">
        <v>794</v>
      </c>
      <c r="H1071" s="793" t="s">
        <v>913</v>
      </c>
      <c r="I1071" s="794">
        <v>5.6156941036479655E-4</v>
      </c>
      <c r="J1071" s="794">
        <v>5.7441266669452249</v>
      </c>
      <c r="K1071" s="771"/>
    </row>
    <row r="1072" spans="1:11" ht="18.75" customHeight="1" outlineLevel="2">
      <c r="A1072" s="791" t="s">
        <v>776</v>
      </c>
      <c r="B1072" s="791" t="s">
        <v>1023</v>
      </c>
      <c r="C1072" s="791" t="s">
        <v>778</v>
      </c>
      <c r="D1072" s="792" t="s">
        <v>779</v>
      </c>
      <c r="E1072" s="793" t="s">
        <v>763</v>
      </c>
      <c r="F1072" s="793" t="s">
        <v>940</v>
      </c>
      <c r="G1072" s="793" t="s">
        <v>794</v>
      </c>
      <c r="H1072" s="793" t="s">
        <v>913</v>
      </c>
      <c r="I1072" s="794">
        <v>9.2967485743689971E-4</v>
      </c>
      <c r="J1072" s="794">
        <v>7.1391124571663944</v>
      </c>
      <c r="K1072" s="771"/>
    </row>
    <row r="1073" spans="1:11" ht="18.75" customHeight="1" outlineLevel="2">
      <c r="A1073" s="791" t="s">
        <v>776</v>
      </c>
      <c r="B1073" s="791" t="s">
        <v>1023</v>
      </c>
      <c r="C1073" s="791" t="s">
        <v>778</v>
      </c>
      <c r="D1073" s="792" t="s">
        <v>779</v>
      </c>
      <c r="E1073" s="793" t="s">
        <v>763</v>
      </c>
      <c r="F1073" s="793" t="s">
        <v>941</v>
      </c>
      <c r="G1073" s="793" t="s">
        <v>794</v>
      </c>
      <c r="H1073" s="793" t="s">
        <v>913</v>
      </c>
      <c r="I1073" s="794">
        <v>3.2181759521180421E-5</v>
      </c>
      <c r="J1073" s="794">
        <v>9.7095820424722978E-2</v>
      </c>
      <c r="K1073" s="771"/>
    </row>
    <row r="1074" spans="1:11" ht="18.75" customHeight="1" outlineLevel="2">
      <c r="A1074" s="791" t="s">
        <v>776</v>
      </c>
      <c r="B1074" s="791" t="s">
        <v>1023</v>
      </c>
      <c r="C1074" s="791" t="s">
        <v>778</v>
      </c>
      <c r="D1074" s="792" t="s">
        <v>779</v>
      </c>
      <c r="E1074" s="793" t="s">
        <v>763</v>
      </c>
      <c r="F1074" s="793" t="s">
        <v>942</v>
      </c>
      <c r="G1074" s="793" t="s">
        <v>794</v>
      </c>
      <c r="H1074" s="793" t="s">
        <v>913</v>
      </c>
      <c r="I1074" s="794">
        <v>7.6286277615495909E-6</v>
      </c>
      <c r="J1074" s="794">
        <v>8.8154638690187526E-2</v>
      </c>
      <c r="K1074" s="771"/>
    </row>
    <row r="1075" spans="1:11" ht="18.75" customHeight="1" outlineLevel="2">
      <c r="A1075" s="791" t="s">
        <v>776</v>
      </c>
      <c r="B1075" s="791" t="s">
        <v>1023</v>
      </c>
      <c r="C1075" s="791" t="s">
        <v>778</v>
      </c>
      <c r="D1075" s="792" t="s">
        <v>779</v>
      </c>
      <c r="E1075" s="793" t="s">
        <v>764</v>
      </c>
      <c r="F1075" s="793" t="s">
        <v>945</v>
      </c>
      <c r="G1075" s="793" t="s">
        <v>244</v>
      </c>
      <c r="H1075" s="793" t="s">
        <v>905</v>
      </c>
      <c r="I1075" s="794">
        <v>4.6211123752033165E-3</v>
      </c>
      <c r="J1075" s="794">
        <v>166.31743905821773</v>
      </c>
      <c r="K1075" s="771"/>
    </row>
    <row r="1076" spans="1:11" ht="18.75" customHeight="1" outlineLevel="2">
      <c r="A1076" s="791" t="s">
        <v>776</v>
      </c>
      <c r="B1076" s="791" t="s">
        <v>1023</v>
      </c>
      <c r="C1076" s="791" t="s">
        <v>778</v>
      </c>
      <c r="D1076" s="792" t="s">
        <v>779</v>
      </c>
      <c r="E1076" s="793" t="s">
        <v>764</v>
      </c>
      <c r="F1076" s="793" t="s">
        <v>946</v>
      </c>
      <c r="G1076" s="793" t="s">
        <v>244</v>
      </c>
      <c r="H1076" s="793" t="s">
        <v>905</v>
      </c>
      <c r="I1076" s="794">
        <v>7.323574006301094E-5</v>
      </c>
      <c r="J1076" s="794">
        <v>1.3892405874892275</v>
      </c>
      <c r="K1076" s="771"/>
    </row>
    <row r="1077" spans="1:11" ht="18.75" customHeight="1" outlineLevel="2">
      <c r="A1077" s="791" t="s">
        <v>776</v>
      </c>
      <c r="B1077" s="791" t="s">
        <v>1023</v>
      </c>
      <c r="C1077" s="791" t="s">
        <v>778</v>
      </c>
      <c r="D1077" s="792" t="s">
        <v>779</v>
      </c>
      <c r="E1077" s="793" t="s">
        <v>947</v>
      </c>
      <c r="F1077" s="793" t="s">
        <v>948</v>
      </c>
      <c r="G1077" s="793" t="s">
        <v>799</v>
      </c>
      <c r="H1077" s="793" t="s">
        <v>800</v>
      </c>
      <c r="I1077" s="794">
        <v>4.6617266909343121E-3</v>
      </c>
      <c r="J1077" s="794">
        <v>115.24447296446012</v>
      </c>
      <c r="K1077" s="771"/>
    </row>
    <row r="1078" spans="1:11" ht="18.75" customHeight="1" outlineLevel="2">
      <c r="A1078" s="791" t="s">
        <v>776</v>
      </c>
      <c r="B1078" s="791" t="s">
        <v>1023</v>
      </c>
      <c r="C1078" s="791" t="s">
        <v>778</v>
      </c>
      <c r="D1078" s="792" t="s">
        <v>779</v>
      </c>
      <c r="E1078" s="793" t="s">
        <v>947</v>
      </c>
      <c r="F1078" s="793" t="s">
        <v>949</v>
      </c>
      <c r="G1078" s="793" t="s">
        <v>782</v>
      </c>
      <c r="H1078" s="793" t="s">
        <v>804</v>
      </c>
      <c r="I1078" s="794">
        <v>4.3584633183231227E-4</v>
      </c>
      <c r="J1078" s="794">
        <v>25.418745923807389</v>
      </c>
      <c r="K1078" s="771"/>
    </row>
    <row r="1079" spans="1:11" ht="18.75" customHeight="1" outlineLevel="2">
      <c r="A1079" s="791" t="s">
        <v>776</v>
      </c>
      <c r="B1079" s="791" t="s">
        <v>1023</v>
      </c>
      <c r="C1079" s="791" t="s">
        <v>778</v>
      </c>
      <c r="D1079" s="792" t="s">
        <v>779</v>
      </c>
      <c r="E1079" s="793" t="s">
        <v>947</v>
      </c>
      <c r="F1079" s="793" t="s">
        <v>950</v>
      </c>
      <c r="G1079" s="793" t="s">
        <v>782</v>
      </c>
      <c r="H1079" s="793" t="s">
        <v>804</v>
      </c>
      <c r="I1079" s="794">
        <v>3.7475369446954571E-6</v>
      </c>
      <c r="J1079" s="794">
        <v>4.1393880663538739E-2</v>
      </c>
      <c r="K1079" s="771"/>
    </row>
    <row r="1080" spans="1:11" ht="18.75" customHeight="1" outlineLevel="2">
      <c r="A1080" s="791" t="s">
        <v>776</v>
      </c>
      <c r="B1080" s="791" t="s">
        <v>1023</v>
      </c>
      <c r="C1080" s="791" t="s">
        <v>778</v>
      </c>
      <c r="D1080" s="792" t="s">
        <v>779</v>
      </c>
      <c r="E1080" s="793" t="s">
        <v>947</v>
      </c>
      <c r="F1080" s="793" t="s">
        <v>951</v>
      </c>
      <c r="G1080" s="793" t="s">
        <v>782</v>
      </c>
      <c r="H1080" s="793" t="s">
        <v>804</v>
      </c>
      <c r="I1080" s="794">
        <v>5.4348914610395668E-5</v>
      </c>
      <c r="J1080" s="794">
        <v>0.68187018879961947</v>
      </c>
      <c r="K1080" s="771"/>
    </row>
    <row r="1081" spans="1:11" ht="18.75" customHeight="1" outlineLevel="2">
      <c r="A1081" s="791" t="s">
        <v>776</v>
      </c>
      <c r="B1081" s="791" t="s">
        <v>1023</v>
      </c>
      <c r="C1081" s="791" t="s">
        <v>778</v>
      </c>
      <c r="D1081" s="792" t="s">
        <v>779</v>
      </c>
      <c r="E1081" s="793" t="s">
        <v>947</v>
      </c>
      <c r="F1081" s="793" t="s">
        <v>952</v>
      </c>
      <c r="G1081" s="793" t="s">
        <v>782</v>
      </c>
      <c r="H1081" s="793" t="s">
        <v>804</v>
      </c>
      <c r="I1081" s="794">
        <v>1.2411138327965273E-3</v>
      </c>
      <c r="J1081" s="794">
        <v>63.626962327270491</v>
      </c>
      <c r="K1081" s="771"/>
    </row>
    <row r="1082" spans="1:11" ht="18.75" customHeight="1" outlineLevel="2">
      <c r="A1082" s="791" t="s">
        <v>776</v>
      </c>
      <c r="B1082" s="791" t="s">
        <v>1023</v>
      </c>
      <c r="C1082" s="791" t="s">
        <v>778</v>
      </c>
      <c r="D1082" s="792" t="s">
        <v>779</v>
      </c>
      <c r="E1082" s="793" t="s">
        <v>947</v>
      </c>
      <c r="F1082" s="793" t="s">
        <v>953</v>
      </c>
      <c r="G1082" s="793" t="s">
        <v>782</v>
      </c>
      <c r="H1082" s="793" t="s">
        <v>804</v>
      </c>
      <c r="I1082" s="794">
        <v>9.4216327670036345E-4</v>
      </c>
      <c r="J1082" s="794">
        <v>69.230450330718924</v>
      </c>
      <c r="K1082" s="771"/>
    </row>
    <row r="1083" spans="1:11" ht="18.75" customHeight="1" outlineLevel="2">
      <c r="A1083" s="791" t="s">
        <v>776</v>
      </c>
      <c r="B1083" s="791" t="s">
        <v>1023</v>
      </c>
      <c r="C1083" s="791" t="s">
        <v>778</v>
      </c>
      <c r="D1083" s="792" t="s">
        <v>779</v>
      </c>
      <c r="E1083" s="793" t="s">
        <v>947</v>
      </c>
      <c r="F1083" s="793" t="s">
        <v>954</v>
      </c>
      <c r="G1083" s="793" t="s">
        <v>782</v>
      </c>
      <c r="H1083" s="793" t="s">
        <v>804</v>
      </c>
      <c r="I1083" s="794">
        <v>1.0644475263577777E-4</v>
      </c>
      <c r="J1083" s="794">
        <v>3.8227756779002724</v>
      </c>
      <c r="K1083" s="771"/>
    </row>
    <row r="1084" spans="1:11" ht="18.75" customHeight="1" outlineLevel="2">
      <c r="A1084" s="791" t="s">
        <v>776</v>
      </c>
      <c r="B1084" s="791" t="s">
        <v>1023</v>
      </c>
      <c r="C1084" s="791" t="s">
        <v>778</v>
      </c>
      <c r="D1084" s="792" t="s">
        <v>779</v>
      </c>
      <c r="E1084" s="793" t="s">
        <v>947</v>
      </c>
      <c r="F1084" s="793" t="s">
        <v>955</v>
      </c>
      <c r="G1084" s="793" t="s">
        <v>782</v>
      </c>
      <c r="H1084" s="793" t="s">
        <v>804</v>
      </c>
      <c r="I1084" s="794">
        <v>5.6616997760041663E-5</v>
      </c>
      <c r="J1084" s="794">
        <v>2.6031453209191642</v>
      </c>
      <c r="K1084" s="771"/>
    </row>
    <row r="1085" spans="1:11" ht="18.75" customHeight="1" outlineLevel="2">
      <c r="A1085" s="791" t="s">
        <v>776</v>
      </c>
      <c r="B1085" s="791" t="s">
        <v>1023</v>
      </c>
      <c r="C1085" s="791" t="s">
        <v>778</v>
      </c>
      <c r="D1085" s="792" t="s">
        <v>779</v>
      </c>
      <c r="E1085" s="793" t="s">
        <v>947</v>
      </c>
      <c r="F1085" s="793" t="s">
        <v>956</v>
      </c>
      <c r="G1085" s="793" t="s">
        <v>782</v>
      </c>
      <c r="H1085" s="793" t="s">
        <v>804</v>
      </c>
      <c r="I1085" s="794">
        <v>3.0091718065377291E-4</v>
      </c>
      <c r="J1085" s="794">
        <v>7.1484889934714451</v>
      </c>
      <c r="K1085" s="771"/>
    </row>
    <row r="1086" spans="1:11" ht="18.75" customHeight="1" outlineLevel="2">
      <c r="A1086" s="791" t="s">
        <v>776</v>
      </c>
      <c r="B1086" s="791" t="s">
        <v>1023</v>
      </c>
      <c r="C1086" s="791" t="s">
        <v>778</v>
      </c>
      <c r="D1086" s="792" t="s">
        <v>779</v>
      </c>
      <c r="E1086" s="793" t="s">
        <v>947</v>
      </c>
      <c r="F1086" s="793" t="s">
        <v>957</v>
      </c>
      <c r="G1086" s="793" t="s">
        <v>782</v>
      </c>
      <c r="H1086" s="793" t="s">
        <v>804</v>
      </c>
      <c r="I1086" s="794">
        <v>8.6264342483615179E-4</v>
      </c>
      <c r="J1086" s="794">
        <v>30.590275043827123</v>
      </c>
      <c r="K1086" s="771"/>
    </row>
    <row r="1087" spans="1:11" ht="18.75" customHeight="1" outlineLevel="2">
      <c r="A1087" s="791" t="s">
        <v>776</v>
      </c>
      <c r="B1087" s="791" t="s">
        <v>1023</v>
      </c>
      <c r="C1087" s="791" t="s">
        <v>778</v>
      </c>
      <c r="D1087" s="792" t="s">
        <v>779</v>
      </c>
      <c r="E1087" s="793" t="s">
        <v>947</v>
      </c>
      <c r="F1087" s="793" t="s">
        <v>958</v>
      </c>
      <c r="G1087" s="793" t="s">
        <v>782</v>
      </c>
      <c r="H1087" s="793" t="s">
        <v>804</v>
      </c>
      <c r="I1087" s="794">
        <v>6.0986059953990204E-4</v>
      </c>
      <c r="J1087" s="794">
        <v>33.58622452202173</v>
      </c>
      <c r="K1087" s="771"/>
    </row>
    <row r="1088" spans="1:11" ht="18.75" customHeight="1" outlineLevel="2">
      <c r="A1088" s="791" t="s">
        <v>776</v>
      </c>
      <c r="B1088" s="791" t="s">
        <v>1023</v>
      </c>
      <c r="C1088" s="791" t="s">
        <v>778</v>
      </c>
      <c r="D1088" s="792" t="s">
        <v>779</v>
      </c>
      <c r="E1088" s="793" t="s">
        <v>947</v>
      </c>
      <c r="F1088" s="793" t="s">
        <v>959</v>
      </c>
      <c r="G1088" s="793" t="s">
        <v>782</v>
      </c>
      <c r="H1088" s="793" t="s">
        <v>804</v>
      </c>
      <c r="I1088" s="794">
        <v>3.3435387290836373E-3</v>
      </c>
      <c r="J1088" s="794">
        <v>257.89104222320259</v>
      </c>
      <c r="K1088" s="771"/>
    </row>
    <row r="1089" spans="1:11" ht="18.75" customHeight="1" outlineLevel="2">
      <c r="A1089" s="791" t="s">
        <v>776</v>
      </c>
      <c r="B1089" s="791" t="s">
        <v>1023</v>
      </c>
      <c r="C1089" s="791" t="s">
        <v>778</v>
      </c>
      <c r="D1089" s="792" t="s">
        <v>779</v>
      </c>
      <c r="E1089" s="793" t="s">
        <v>947</v>
      </c>
      <c r="F1089" s="793" t="s">
        <v>960</v>
      </c>
      <c r="G1089" s="793" t="s">
        <v>782</v>
      </c>
      <c r="H1089" s="793" t="s">
        <v>804</v>
      </c>
      <c r="I1089" s="794">
        <v>7.0718349353772429E-5</v>
      </c>
      <c r="J1089" s="794">
        <v>2.1443946297975245</v>
      </c>
      <c r="K1089" s="771"/>
    </row>
    <row r="1090" spans="1:11" ht="18.75" customHeight="1" outlineLevel="2">
      <c r="A1090" s="791" t="s">
        <v>776</v>
      </c>
      <c r="B1090" s="791" t="s">
        <v>1023</v>
      </c>
      <c r="C1090" s="791" t="s">
        <v>778</v>
      </c>
      <c r="D1090" s="792" t="s">
        <v>779</v>
      </c>
      <c r="E1090" s="793" t="s">
        <v>947</v>
      </c>
      <c r="F1090" s="793" t="s">
        <v>961</v>
      </c>
      <c r="G1090" s="793" t="s">
        <v>782</v>
      </c>
      <c r="H1090" s="793" t="s">
        <v>804</v>
      </c>
      <c r="I1090" s="794">
        <v>2.7849667782706678E-5</v>
      </c>
      <c r="J1090" s="794">
        <v>1.3130173357470676</v>
      </c>
      <c r="K1090" s="771"/>
    </row>
    <row r="1091" spans="1:11" ht="18.75" customHeight="1" outlineLevel="2">
      <c r="A1091" s="791" t="s">
        <v>776</v>
      </c>
      <c r="B1091" s="791" t="s">
        <v>1023</v>
      </c>
      <c r="C1091" s="791" t="s">
        <v>778</v>
      </c>
      <c r="D1091" s="792" t="s">
        <v>779</v>
      </c>
      <c r="E1091" s="793" t="s">
        <v>947</v>
      </c>
      <c r="F1091" s="793" t="s">
        <v>962</v>
      </c>
      <c r="G1091" s="793" t="s">
        <v>782</v>
      </c>
      <c r="H1091" s="793" t="s">
        <v>804</v>
      </c>
      <c r="I1091" s="794">
        <v>9.8662621623268193E-4</v>
      </c>
      <c r="J1091" s="794">
        <v>58.947276052861085</v>
      </c>
      <c r="K1091" s="771"/>
    </row>
    <row r="1092" spans="1:11" ht="18.75" customHeight="1" outlineLevel="2">
      <c r="A1092" s="791" t="s">
        <v>776</v>
      </c>
      <c r="B1092" s="791" t="s">
        <v>1023</v>
      </c>
      <c r="C1092" s="791" t="s">
        <v>778</v>
      </c>
      <c r="D1092" s="792" t="s">
        <v>779</v>
      </c>
      <c r="E1092" s="793" t="s">
        <v>947</v>
      </c>
      <c r="F1092" s="793" t="s">
        <v>963</v>
      </c>
      <c r="G1092" s="793" t="s">
        <v>782</v>
      </c>
      <c r="H1092" s="793" t="s">
        <v>804</v>
      </c>
      <c r="I1092" s="794">
        <v>8.4821665420412821E-4</v>
      </c>
      <c r="J1092" s="794">
        <v>64.16487155526022</v>
      </c>
      <c r="K1092" s="771"/>
    </row>
    <row r="1093" spans="1:11" ht="18.75" customHeight="1" outlineLevel="2">
      <c r="A1093" s="791" t="s">
        <v>776</v>
      </c>
      <c r="B1093" s="791" t="s">
        <v>1023</v>
      </c>
      <c r="C1093" s="791" t="s">
        <v>778</v>
      </c>
      <c r="D1093" s="792" t="s">
        <v>779</v>
      </c>
      <c r="E1093" s="793" t="s">
        <v>947</v>
      </c>
      <c r="F1093" s="793" t="s">
        <v>964</v>
      </c>
      <c r="G1093" s="793" t="s">
        <v>782</v>
      </c>
      <c r="H1093" s="793" t="s">
        <v>804</v>
      </c>
      <c r="I1093" s="794">
        <v>3.0969185131895873E-3</v>
      </c>
      <c r="J1093" s="794">
        <v>220.71805882546252</v>
      </c>
      <c r="K1093" s="771"/>
    </row>
    <row r="1094" spans="1:11" ht="18.75" customHeight="1" outlineLevel="2">
      <c r="A1094" s="791" t="s">
        <v>776</v>
      </c>
      <c r="B1094" s="791" t="s">
        <v>1023</v>
      </c>
      <c r="C1094" s="791" t="s">
        <v>778</v>
      </c>
      <c r="D1094" s="792" t="s">
        <v>779</v>
      </c>
      <c r="E1094" s="793" t="s">
        <v>947</v>
      </c>
      <c r="F1094" s="793" t="s">
        <v>965</v>
      </c>
      <c r="G1094" s="793" t="s">
        <v>782</v>
      </c>
      <c r="H1094" s="793" t="s">
        <v>804</v>
      </c>
      <c r="I1094" s="794">
        <v>2.1317670773151302E-4</v>
      </c>
      <c r="J1094" s="794">
        <v>10.378551648943558</v>
      </c>
      <c r="K1094" s="771"/>
    </row>
    <row r="1095" spans="1:11" ht="18.75" customHeight="1" outlineLevel="2">
      <c r="A1095" s="791" t="s">
        <v>776</v>
      </c>
      <c r="B1095" s="791" t="s">
        <v>1023</v>
      </c>
      <c r="C1095" s="791" t="s">
        <v>778</v>
      </c>
      <c r="D1095" s="792" t="s">
        <v>779</v>
      </c>
      <c r="E1095" s="793" t="s">
        <v>947</v>
      </c>
      <c r="F1095" s="793" t="s">
        <v>966</v>
      </c>
      <c r="G1095" s="793" t="s">
        <v>782</v>
      </c>
      <c r="H1095" s="793" t="s">
        <v>804</v>
      </c>
      <c r="I1095" s="794">
        <v>1.7925427854152004E-3</v>
      </c>
      <c r="J1095" s="794">
        <v>82.555782261599234</v>
      </c>
      <c r="K1095" s="771"/>
    </row>
    <row r="1096" spans="1:11" ht="18.75" customHeight="1" outlineLevel="2">
      <c r="A1096" s="791" t="s">
        <v>776</v>
      </c>
      <c r="B1096" s="791" t="s">
        <v>1023</v>
      </c>
      <c r="C1096" s="791" t="s">
        <v>778</v>
      </c>
      <c r="D1096" s="792" t="s">
        <v>779</v>
      </c>
      <c r="E1096" s="793" t="s">
        <v>947</v>
      </c>
      <c r="F1096" s="793" t="s">
        <v>967</v>
      </c>
      <c r="G1096" s="793" t="s">
        <v>782</v>
      </c>
      <c r="H1096" s="793" t="s">
        <v>804</v>
      </c>
      <c r="I1096" s="794">
        <v>4.379731629975187E-3</v>
      </c>
      <c r="J1096" s="794">
        <v>280.67390117599643</v>
      </c>
      <c r="K1096" s="771"/>
    </row>
    <row r="1097" spans="1:11" ht="18.75" customHeight="1" outlineLevel="2">
      <c r="A1097" s="791" t="s">
        <v>776</v>
      </c>
      <c r="B1097" s="791" t="s">
        <v>1023</v>
      </c>
      <c r="C1097" s="791" t="s">
        <v>778</v>
      </c>
      <c r="D1097" s="792" t="s">
        <v>779</v>
      </c>
      <c r="E1097" s="793" t="s">
        <v>947</v>
      </c>
      <c r="F1097" s="793" t="s">
        <v>968</v>
      </c>
      <c r="G1097" s="793" t="s">
        <v>782</v>
      </c>
      <c r="H1097" s="793" t="s">
        <v>804</v>
      </c>
      <c r="I1097" s="794">
        <v>9.5926877077652708E-3</v>
      </c>
      <c r="J1097" s="794">
        <v>188.29381793683586</v>
      </c>
      <c r="K1097" s="771"/>
    </row>
    <row r="1098" spans="1:11" ht="18.75" customHeight="1" outlineLevel="2">
      <c r="A1098" s="791" t="s">
        <v>776</v>
      </c>
      <c r="B1098" s="791" t="s">
        <v>1023</v>
      </c>
      <c r="C1098" s="791" t="s">
        <v>778</v>
      </c>
      <c r="D1098" s="792" t="s">
        <v>779</v>
      </c>
      <c r="E1098" s="793" t="s">
        <v>947</v>
      </c>
      <c r="F1098" s="793" t="s">
        <v>969</v>
      </c>
      <c r="G1098" s="793" t="s">
        <v>782</v>
      </c>
      <c r="H1098" s="793" t="s">
        <v>804</v>
      </c>
      <c r="I1098" s="794">
        <v>3.5270037449468892E-3</v>
      </c>
      <c r="J1098" s="794">
        <v>256.75726763499131</v>
      </c>
      <c r="K1098" s="771"/>
    </row>
    <row r="1099" spans="1:11" ht="18.75" customHeight="1" outlineLevel="2">
      <c r="A1099" s="791" t="s">
        <v>776</v>
      </c>
      <c r="B1099" s="791" t="s">
        <v>1023</v>
      </c>
      <c r="C1099" s="791" t="s">
        <v>778</v>
      </c>
      <c r="D1099" s="792" t="s">
        <v>779</v>
      </c>
      <c r="E1099" s="793" t="s">
        <v>947</v>
      </c>
      <c r="F1099" s="793" t="s">
        <v>970</v>
      </c>
      <c r="G1099" s="793" t="s">
        <v>782</v>
      </c>
      <c r="H1099" s="793" t="s">
        <v>804</v>
      </c>
      <c r="I1099" s="794">
        <v>6.4219873747985842E-3</v>
      </c>
      <c r="J1099" s="794">
        <v>147.80101746035913</v>
      </c>
      <c r="K1099" s="771"/>
    </row>
    <row r="1100" spans="1:11" ht="18.75" customHeight="1" outlineLevel="2">
      <c r="A1100" s="791" t="s">
        <v>776</v>
      </c>
      <c r="B1100" s="791" t="s">
        <v>1023</v>
      </c>
      <c r="C1100" s="791" t="s">
        <v>778</v>
      </c>
      <c r="D1100" s="792" t="s">
        <v>779</v>
      </c>
      <c r="E1100" s="793" t="s">
        <v>947</v>
      </c>
      <c r="F1100" s="793" t="s">
        <v>971</v>
      </c>
      <c r="G1100" s="793" t="s">
        <v>782</v>
      </c>
      <c r="H1100" s="793" t="s">
        <v>804</v>
      </c>
      <c r="I1100" s="794">
        <v>3.7698324460311343E-4</v>
      </c>
      <c r="J1100" s="794">
        <v>27.550368776444451</v>
      </c>
      <c r="K1100" s="771"/>
    </row>
    <row r="1101" spans="1:11" ht="18.75" customHeight="1" outlineLevel="2">
      <c r="A1101" s="791" t="s">
        <v>776</v>
      </c>
      <c r="B1101" s="791" t="s">
        <v>1023</v>
      </c>
      <c r="C1101" s="791" t="s">
        <v>778</v>
      </c>
      <c r="D1101" s="792" t="s">
        <v>779</v>
      </c>
      <c r="E1101" s="793" t="s">
        <v>947</v>
      </c>
      <c r="F1101" s="793" t="s">
        <v>972</v>
      </c>
      <c r="G1101" s="793" t="s">
        <v>782</v>
      </c>
      <c r="H1101" s="793" t="s">
        <v>804</v>
      </c>
      <c r="I1101" s="794">
        <v>1.9580192257628812E-5</v>
      </c>
      <c r="J1101" s="794">
        <v>0.45200024187403515</v>
      </c>
      <c r="K1101" s="771"/>
    </row>
    <row r="1102" spans="1:11" ht="18.75" customHeight="1" outlineLevel="2">
      <c r="A1102" s="791" t="s">
        <v>776</v>
      </c>
      <c r="B1102" s="791" t="s">
        <v>1023</v>
      </c>
      <c r="C1102" s="791" t="s">
        <v>778</v>
      </c>
      <c r="D1102" s="792" t="s">
        <v>779</v>
      </c>
      <c r="E1102" s="793" t="s">
        <v>947</v>
      </c>
      <c r="F1102" s="793" t="s">
        <v>973</v>
      </c>
      <c r="G1102" s="793" t="s">
        <v>782</v>
      </c>
      <c r="H1102" s="793" t="s">
        <v>804</v>
      </c>
      <c r="I1102" s="794">
        <v>5.3455717662520628E-4</v>
      </c>
      <c r="J1102" s="794">
        <v>28.73773942780819</v>
      </c>
      <c r="K1102" s="771"/>
    </row>
    <row r="1103" spans="1:11" ht="18.75" customHeight="1" outlineLevel="2">
      <c r="A1103" s="791" t="s">
        <v>776</v>
      </c>
      <c r="B1103" s="791" t="s">
        <v>1023</v>
      </c>
      <c r="C1103" s="791" t="s">
        <v>778</v>
      </c>
      <c r="D1103" s="792" t="s">
        <v>779</v>
      </c>
      <c r="E1103" s="793" t="s">
        <v>947</v>
      </c>
      <c r="F1103" s="793" t="s">
        <v>974</v>
      </c>
      <c r="G1103" s="793" t="s">
        <v>785</v>
      </c>
      <c r="H1103" s="793" t="s">
        <v>727</v>
      </c>
      <c r="I1103" s="794">
        <v>1.2929225753383876E-3</v>
      </c>
      <c r="J1103" s="794">
        <v>31.279230567928522</v>
      </c>
      <c r="K1103" s="771"/>
    </row>
    <row r="1104" spans="1:11" ht="18.75" customHeight="1" outlineLevel="2">
      <c r="A1104" s="791" t="s">
        <v>776</v>
      </c>
      <c r="B1104" s="791" t="s">
        <v>1023</v>
      </c>
      <c r="C1104" s="791" t="s">
        <v>778</v>
      </c>
      <c r="D1104" s="792" t="s">
        <v>779</v>
      </c>
      <c r="E1104" s="793" t="s">
        <v>947</v>
      </c>
      <c r="F1104" s="793" t="s">
        <v>975</v>
      </c>
      <c r="G1104" s="793" t="s">
        <v>785</v>
      </c>
      <c r="H1104" s="793" t="s">
        <v>727</v>
      </c>
      <c r="I1104" s="794">
        <v>6.434396356762997E-3</v>
      </c>
      <c r="J1104" s="794">
        <v>453.78655783557201</v>
      </c>
      <c r="K1104" s="771"/>
    </row>
    <row r="1105" spans="1:11" ht="18.75" customHeight="1" outlineLevel="2">
      <c r="A1105" s="791" t="s">
        <v>776</v>
      </c>
      <c r="B1105" s="791" t="s">
        <v>1023</v>
      </c>
      <c r="C1105" s="791" t="s">
        <v>778</v>
      </c>
      <c r="D1105" s="792" t="s">
        <v>779</v>
      </c>
      <c r="E1105" s="793" t="s">
        <v>947</v>
      </c>
      <c r="F1105" s="793" t="s">
        <v>976</v>
      </c>
      <c r="G1105" s="793" t="s">
        <v>785</v>
      </c>
      <c r="H1105" s="793" t="s">
        <v>727</v>
      </c>
      <c r="I1105" s="794">
        <v>3.7798701152815862E-3</v>
      </c>
      <c r="J1105" s="794">
        <v>198.20462499235512</v>
      </c>
      <c r="K1105" s="771"/>
    </row>
    <row r="1106" spans="1:11" ht="18.75" customHeight="1" outlineLevel="2">
      <c r="A1106" s="791" t="s">
        <v>776</v>
      </c>
      <c r="B1106" s="791" t="s">
        <v>1023</v>
      </c>
      <c r="C1106" s="791" t="s">
        <v>778</v>
      </c>
      <c r="D1106" s="792" t="s">
        <v>779</v>
      </c>
      <c r="E1106" s="793" t="s">
        <v>947</v>
      </c>
      <c r="F1106" s="793" t="s">
        <v>977</v>
      </c>
      <c r="G1106" s="793" t="s">
        <v>785</v>
      </c>
      <c r="H1106" s="793" t="s">
        <v>727</v>
      </c>
      <c r="I1106" s="794">
        <v>4.4741419624841619E-3</v>
      </c>
      <c r="J1106" s="794">
        <v>200.98722845589791</v>
      </c>
      <c r="K1106" s="771"/>
    </row>
    <row r="1107" spans="1:11" ht="18.75" customHeight="1" outlineLevel="2">
      <c r="A1107" s="791" t="s">
        <v>776</v>
      </c>
      <c r="B1107" s="791" t="s">
        <v>1023</v>
      </c>
      <c r="C1107" s="791" t="s">
        <v>778</v>
      </c>
      <c r="D1107" s="792" t="s">
        <v>779</v>
      </c>
      <c r="E1107" s="793" t="s">
        <v>947</v>
      </c>
      <c r="F1107" s="793" t="s">
        <v>978</v>
      </c>
      <c r="G1107" s="793" t="s">
        <v>785</v>
      </c>
      <c r="H1107" s="793" t="s">
        <v>727</v>
      </c>
      <c r="I1107" s="794">
        <v>2.8337177199029686E-4</v>
      </c>
      <c r="J1107" s="794">
        <v>7.751307752776083</v>
      </c>
      <c r="K1107" s="771"/>
    </row>
    <row r="1108" spans="1:11" ht="18.75" customHeight="1" outlineLevel="2">
      <c r="A1108" s="791" t="s">
        <v>776</v>
      </c>
      <c r="B1108" s="791" t="s">
        <v>1023</v>
      </c>
      <c r="C1108" s="791" t="s">
        <v>778</v>
      </c>
      <c r="D1108" s="792" t="s">
        <v>779</v>
      </c>
      <c r="E1108" s="793" t="s">
        <v>947</v>
      </c>
      <c r="F1108" s="793" t="s">
        <v>979</v>
      </c>
      <c r="G1108" s="793" t="s">
        <v>785</v>
      </c>
      <c r="H1108" s="793" t="s">
        <v>727</v>
      </c>
      <c r="I1108" s="794">
        <v>1.6256578395910652E-2</v>
      </c>
      <c r="J1108" s="794">
        <v>534.29500149677438</v>
      </c>
      <c r="K1108" s="771"/>
    </row>
    <row r="1109" spans="1:11" ht="18.75" customHeight="1" outlineLevel="2">
      <c r="A1109" s="791" t="s">
        <v>776</v>
      </c>
      <c r="B1109" s="791" t="s">
        <v>1023</v>
      </c>
      <c r="C1109" s="791" t="s">
        <v>778</v>
      </c>
      <c r="D1109" s="792" t="s">
        <v>779</v>
      </c>
      <c r="E1109" s="793" t="s">
        <v>947</v>
      </c>
      <c r="F1109" s="793" t="s">
        <v>980</v>
      </c>
      <c r="G1109" s="793" t="s">
        <v>785</v>
      </c>
      <c r="H1109" s="793" t="s">
        <v>727</v>
      </c>
      <c r="I1109" s="794">
        <v>3.528008147741585E-3</v>
      </c>
      <c r="J1109" s="794">
        <v>286.00533013930192</v>
      </c>
      <c r="K1109" s="771"/>
    </row>
    <row r="1110" spans="1:11" ht="18.75" customHeight="1" outlineLevel="2">
      <c r="A1110" s="791" t="s">
        <v>776</v>
      </c>
      <c r="B1110" s="791" t="s">
        <v>1023</v>
      </c>
      <c r="C1110" s="791" t="s">
        <v>778</v>
      </c>
      <c r="D1110" s="792" t="s">
        <v>779</v>
      </c>
      <c r="E1110" s="793" t="s">
        <v>947</v>
      </c>
      <c r="F1110" s="793" t="s">
        <v>981</v>
      </c>
      <c r="G1110" s="793" t="s">
        <v>813</v>
      </c>
      <c r="H1110" s="793" t="s">
        <v>814</v>
      </c>
      <c r="I1110" s="794">
        <v>4.0592303439815251E-7</v>
      </c>
      <c r="J1110" s="794">
        <v>1.0174006265373363E-2</v>
      </c>
      <c r="K1110" s="771"/>
    </row>
    <row r="1111" spans="1:11" ht="18.75" customHeight="1" outlineLevel="2">
      <c r="A1111" s="791" t="s">
        <v>776</v>
      </c>
      <c r="B1111" s="791" t="s">
        <v>1023</v>
      </c>
      <c r="C1111" s="791" t="s">
        <v>778</v>
      </c>
      <c r="D1111" s="792" t="s">
        <v>779</v>
      </c>
      <c r="E1111" s="793" t="s">
        <v>947</v>
      </c>
      <c r="F1111" s="793" t="s">
        <v>983</v>
      </c>
      <c r="G1111" s="793" t="s">
        <v>813</v>
      </c>
      <c r="H1111" s="793" t="s">
        <v>814</v>
      </c>
      <c r="I1111" s="794">
        <v>3.2102999792306174E-3</v>
      </c>
      <c r="J1111" s="794">
        <v>71.317271707695241</v>
      </c>
      <c r="K1111" s="771"/>
    </row>
    <row r="1112" spans="1:11" ht="18.75" customHeight="1" outlineLevel="2">
      <c r="A1112" s="791" t="s">
        <v>776</v>
      </c>
      <c r="B1112" s="791" t="s">
        <v>1023</v>
      </c>
      <c r="C1112" s="791" t="s">
        <v>778</v>
      </c>
      <c r="D1112" s="792" t="s">
        <v>779</v>
      </c>
      <c r="E1112" s="793" t="s">
        <v>947</v>
      </c>
      <c r="F1112" s="793" t="s">
        <v>984</v>
      </c>
      <c r="G1112" s="793" t="s">
        <v>813</v>
      </c>
      <c r="H1112" s="793" t="s">
        <v>814</v>
      </c>
      <c r="I1112" s="794">
        <v>8.442517219722208E-4</v>
      </c>
      <c r="J1112" s="794">
        <v>14.722157605831267</v>
      </c>
      <c r="K1112" s="771"/>
    </row>
    <row r="1113" spans="1:11" ht="18.75" customHeight="1" outlineLevel="2">
      <c r="A1113" s="791" t="s">
        <v>776</v>
      </c>
      <c r="B1113" s="791" t="s">
        <v>1023</v>
      </c>
      <c r="C1113" s="791" t="s">
        <v>778</v>
      </c>
      <c r="D1113" s="792" t="s">
        <v>779</v>
      </c>
      <c r="E1113" s="793" t="s">
        <v>947</v>
      </c>
      <c r="F1113" s="793" t="s">
        <v>985</v>
      </c>
      <c r="G1113" s="793" t="s">
        <v>813</v>
      </c>
      <c r="H1113" s="793" t="s">
        <v>814</v>
      </c>
      <c r="I1113" s="794">
        <v>1.99548091011598E-3</v>
      </c>
      <c r="J1113" s="794">
        <v>97.219664335232949</v>
      </c>
      <c r="K1113" s="771"/>
    </row>
    <row r="1114" spans="1:11" ht="18.75" customHeight="1" outlineLevel="2">
      <c r="A1114" s="791" t="s">
        <v>776</v>
      </c>
      <c r="B1114" s="791" t="s">
        <v>1023</v>
      </c>
      <c r="C1114" s="791" t="s">
        <v>778</v>
      </c>
      <c r="D1114" s="792" t="s">
        <v>779</v>
      </c>
      <c r="E1114" s="793" t="s">
        <v>947</v>
      </c>
      <c r="F1114" s="793" t="s">
        <v>986</v>
      </c>
      <c r="G1114" s="793" t="s">
        <v>813</v>
      </c>
      <c r="H1114" s="793" t="s">
        <v>814</v>
      </c>
      <c r="I1114" s="794">
        <v>3.4221646005989188E-4</v>
      </c>
      <c r="J1114" s="794">
        <v>11.45492475138262</v>
      </c>
      <c r="K1114" s="771"/>
    </row>
    <row r="1115" spans="1:11" ht="18.75" customHeight="1" outlineLevel="2">
      <c r="A1115" s="791" t="s">
        <v>776</v>
      </c>
      <c r="B1115" s="791" t="s">
        <v>1023</v>
      </c>
      <c r="C1115" s="791" t="s">
        <v>778</v>
      </c>
      <c r="D1115" s="792" t="s">
        <v>779</v>
      </c>
      <c r="E1115" s="793" t="s">
        <v>947</v>
      </c>
      <c r="F1115" s="793" t="s">
        <v>987</v>
      </c>
      <c r="G1115" s="793" t="s">
        <v>813</v>
      </c>
      <c r="H1115" s="793" t="s">
        <v>814</v>
      </c>
      <c r="I1115" s="794">
        <v>9.6213685489953312E-6</v>
      </c>
      <c r="J1115" s="794">
        <v>0.29086567882922831</v>
      </c>
      <c r="K1115" s="771"/>
    </row>
    <row r="1116" spans="1:11" ht="18.75" customHeight="1" outlineLevel="2">
      <c r="A1116" s="791" t="s">
        <v>776</v>
      </c>
      <c r="B1116" s="791" t="s">
        <v>1023</v>
      </c>
      <c r="C1116" s="791" t="s">
        <v>778</v>
      </c>
      <c r="D1116" s="792" t="s">
        <v>779</v>
      </c>
      <c r="E1116" s="793" t="s">
        <v>947</v>
      </c>
      <c r="F1116" s="793" t="s">
        <v>988</v>
      </c>
      <c r="G1116" s="793" t="s">
        <v>791</v>
      </c>
      <c r="H1116" s="793" t="s">
        <v>826</v>
      </c>
      <c r="I1116" s="794">
        <v>1.3881030956992716E-5</v>
      </c>
      <c r="J1116" s="794">
        <v>0.11864679304873313</v>
      </c>
      <c r="K1116" s="771"/>
    </row>
    <row r="1117" spans="1:11" ht="18.75" customHeight="1" outlineLevel="2">
      <c r="A1117" s="791" t="s">
        <v>776</v>
      </c>
      <c r="B1117" s="791" t="s">
        <v>1023</v>
      </c>
      <c r="C1117" s="791" t="s">
        <v>778</v>
      </c>
      <c r="D1117" s="792" t="s">
        <v>779</v>
      </c>
      <c r="E1117" s="793" t="s">
        <v>947</v>
      </c>
      <c r="F1117" s="793" t="s">
        <v>989</v>
      </c>
      <c r="G1117" s="793" t="s">
        <v>791</v>
      </c>
      <c r="H1117" s="793" t="s">
        <v>826</v>
      </c>
      <c r="I1117" s="794">
        <v>8.3966717794745363E-2</v>
      </c>
      <c r="J1117" s="794">
        <v>4926.4730178377968</v>
      </c>
      <c r="K1117" s="771"/>
    </row>
    <row r="1118" spans="1:11" ht="18.75" customHeight="1" outlineLevel="2">
      <c r="A1118" s="791" t="s">
        <v>776</v>
      </c>
      <c r="B1118" s="791" t="s">
        <v>1023</v>
      </c>
      <c r="C1118" s="791" t="s">
        <v>778</v>
      </c>
      <c r="D1118" s="792" t="s">
        <v>779</v>
      </c>
      <c r="E1118" s="793" t="s">
        <v>947</v>
      </c>
      <c r="F1118" s="793" t="s">
        <v>990</v>
      </c>
      <c r="G1118" s="793" t="s">
        <v>791</v>
      </c>
      <c r="H1118" s="793" t="s">
        <v>826</v>
      </c>
      <c r="I1118" s="794">
        <v>4.0076473913244022E-3</v>
      </c>
      <c r="J1118" s="794">
        <v>441.70039576566614</v>
      </c>
      <c r="K1118" s="771"/>
    </row>
    <row r="1119" spans="1:11" ht="18.75" customHeight="1" outlineLevel="2">
      <c r="A1119" s="791" t="s">
        <v>776</v>
      </c>
      <c r="B1119" s="791" t="s">
        <v>1023</v>
      </c>
      <c r="C1119" s="791" t="s">
        <v>778</v>
      </c>
      <c r="D1119" s="792" t="s">
        <v>779</v>
      </c>
      <c r="E1119" s="793" t="s">
        <v>947</v>
      </c>
      <c r="F1119" s="793" t="s">
        <v>991</v>
      </c>
      <c r="G1119" s="793" t="s">
        <v>791</v>
      </c>
      <c r="H1119" s="793" t="s">
        <v>826</v>
      </c>
      <c r="I1119" s="794">
        <v>3.183303220093594E-5</v>
      </c>
      <c r="J1119" s="794">
        <v>2.4448422725120107</v>
      </c>
      <c r="K1119" s="771"/>
    </row>
    <row r="1120" spans="1:11" ht="18.75" customHeight="1" outlineLevel="2">
      <c r="A1120" s="791" t="s">
        <v>776</v>
      </c>
      <c r="B1120" s="791" t="s">
        <v>1023</v>
      </c>
      <c r="C1120" s="791" t="s">
        <v>778</v>
      </c>
      <c r="D1120" s="792" t="s">
        <v>779</v>
      </c>
      <c r="E1120" s="793" t="s">
        <v>947</v>
      </c>
      <c r="F1120" s="793" t="s">
        <v>992</v>
      </c>
      <c r="G1120" s="793" t="s">
        <v>791</v>
      </c>
      <c r="H1120" s="793" t="s">
        <v>826</v>
      </c>
      <c r="I1120" s="794">
        <v>6.2053925901533828E-6</v>
      </c>
      <c r="J1120" s="794">
        <v>0.51358675319453373</v>
      </c>
      <c r="K1120" s="771"/>
    </row>
    <row r="1121" spans="1:11" ht="18.75" customHeight="1" outlineLevel="2">
      <c r="A1121" s="791" t="s">
        <v>776</v>
      </c>
      <c r="B1121" s="791" t="s">
        <v>1023</v>
      </c>
      <c r="C1121" s="791" t="s">
        <v>778</v>
      </c>
      <c r="D1121" s="792" t="s">
        <v>779</v>
      </c>
      <c r="E1121" s="793" t="s">
        <v>947</v>
      </c>
      <c r="F1121" s="793" t="s">
        <v>993</v>
      </c>
      <c r="G1121" s="793" t="s">
        <v>791</v>
      </c>
      <c r="H1121" s="793" t="s">
        <v>826</v>
      </c>
      <c r="I1121" s="794">
        <v>4.0738350968457947E-4</v>
      </c>
      <c r="J1121" s="794">
        <v>37.458115148522928</v>
      </c>
      <c r="K1121" s="771"/>
    </row>
    <row r="1122" spans="1:11" ht="18.75" customHeight="1" outlineLevel="2">
      <c r="A1122" s="791" t="s">
        <v>776</v>
      </c>
      <c r="B1122" s="791" t="s">
        <v>1023</v>
      </c>
      <c r="C1122" s="791" t="s">
        <v>778</v>
      </c>
      <c r="D1122" s="792" t="s">
        <v>779</v>
      </c>
      <c r="E1122" s="793" t="s">
        <v>947</v>
      </c>
      <c r="F1122" s="793" t="s">
        <v>994</v>
      </c>
      <c r="G1122" s="793" t="s">
        <v>791</v>
      </c>
      <c r="H1122" s="793" t="s">
        <v>826</v>
      </c>
      <c r="I1122" s="794">
        <v>8.6131279937990419E-7</v>
      </c>
      <c r="J1122" s="794">
        <v>0.10363508278689418</v>
      </c>
      <c r="K1122" s="771"/>
    </row>
    <row r="1123" spans="1:11" ht="18.75" customHeight="1" outlineLevel="2">
      <c r="A1123" s="791" t="s">
        <v>776</v>
      </c>
      <c r="B1123" s="791" t="s">
        <v>1023</v>
      </c>
      <c r="C1123" s="791" t="s">
        <v>778</v>
      </c>
      <c r="D1123" s="792" t="s">
        <v>779</v>
      </c>
      <c r="E1123" s="793" t="s">
        <v>947</v>
      </c>
      <c r="F1123" s="793" t="s">
        <v>995</v>
      </c>
      <c r="G1123" s="793" t="s">
        <v>791</v>
      </c>
      <c r="H1123" s="793" t="s">
        <v>826</v>
      </c>
      <c r="I1123" s="794">
        <v>3.666706568989276E-4</v>
      </c>
      <c r="J1123" s="794">
        <v>34.634982137090581</v>
      </c>
      <c r="K1123" s="771"/>
    </row>
    <row r="1124" spans="1:11" ht="18.75" customHeight="1" outlineLevel="2">
      <c r="A1124" s="791" t="s">
        <v>776</v>
      </c>
      <c r="B1124" s="791" t="s">
        <v>1023</v>
      </c>
      <c r="C1124" s="791" t="s">
        <v>778</v>
      </c>
      <c r="D1124" s="792" t="s">
        <v>779</v>
      </c>
      <c r="E1124" s="793" t="s">
        <v>947</v>
      </c>
      <c r="F1124" s="793" t="s">
        <v>996</v>
      </c>
      <c r="G1124" s="793" t="s">
        <v>791</v>
      </c>
      <c r="H1124" s="793" t="s">
        <v>826</v>
      </c>
      <c r="I1124" s="794">
        <v>1.0841269863019747E-3</v>
      </c>
      <c r="J1124" s="794">
        <v>96.383445470553582</v>
      </c>
      <c r="K1124" s="771"/>
    </row>
    <row r="1125" spans="1:11" ht="18.75" customHeight="1" outlineLevel="2">
      <c r="A1125" s="791" t="s">
        <v>776</v>
      </c>
      <c r="B1125" s="791" t="s">
        <v>1023</v>
      </c>
      <c r="C1125" s="791" t="s">
        <v>778</v>
      </c>
      <c r="D1125" s="792" t="s">
        <v>779</v>
      </c>
      <c r="E1125" s="793" t="s">
        <v>947</v>
      </c>
      <c r="F1125" s="793" t="s">
        <v>997</v>
      </c>
      <c r="G1125" s="793" t="s">
        <v>791</v>
      </c>
      <c r="H1125" s="793" t="s">
        <v>826</v>
      </c>
      <c r="I1125" s="794">
        <v>1.6442067021162634E-3</v>
      </c>
      <c r="J1125" s="794">
        <v>71.070418391639734</v>
      </c>
      <c r="K1125" s="771"/>
    </row>
    <row r="1126" spans="1:11" ht="18.75" customHeight="1" outlineLevel="2">
      <c r="A1126" s="791" t="s">
        <v>776</v>
      </c>
      <c r="B1126" s="791" t="s">
        <v>1023</v>
      </c>
      <c r="C1126" s="791" t="s">
        <v>778</v>
      </c>
      <c r="D1126" s="792" t="s">
        <v>779</v>
      </c>
      <c r="E1126" s="793" t="s">
        <v>947</v>
      </c>
      <c r="F1126" s="793" t="s">
        <v>998</v>
      </c>
      <c r="G1126" s="793" t="s">
        <v>794</v>
      </c>
      <c r="H1126" s="793" t="s">
        <v>828</v>
      </c>
      <c r="I1126" s="794">
        <v>4.6735665225370411E-3</v>
      </c>
      <c r="J1126" s="794">
        <v>170.89813759177216</v>
      </c>
      <c r="K1126" s="771"/>
    </row>
    <row r="1127" spans="1:11" ht="18.75" customHeight="1" outlineLevel="2">
      <c r="A1127" s="791" t="s">
        <v>776</v>
      </c>
      <c r="B1127" s="791" t="s">
        <v>1023</v>
      </c>
      <c r="C1127" s="791" t="s">
        <v>778</v>
      </c>
      <c r="D1127" s="792" t="s">
        <v>779</v>
      </c>
      <c r="E1127" s="793" t="s">
        <v>947</v>
      </c>
      <c r="F1127" s="793" t="s">
        <v>999</v>
      </c>
      <c r="G1127" s="793" t="s">
        <v>794</v>
      </c>
      <c r="H1127" s="793" t="s">
        <v>828</v>
      </c>
      <c r="I1127" s="794">
        <v>1.1021704749279316E-3</v>
      </c>
      <c r="J1127" s="794">
        <v>40.335079130894826</v>
      </c>
      <c r="K1127" s="771"/>
    </row>
    <row r="1128" spans="1:11" ht="18.75" customHeight="1" outlineLevel="2">
      <c r="A1128" s="791" t="s">
        <v>776</v>
      </c>
      <c r="B1128" s="791" t="s">
        <v>1023</v>
      </c>
      <c r="C1128" s="791" t="s">
        <v>778</v>
      </c>
      <c r="D1128" s="792" t="s">
        <v>779</v>
      </c>
      <c r="E1128" s="793" t="s">
        <v>947</v>
      </c>
      <c r="F1128" s="793" t="s">
        <v>1000</v>
      </c>
      <c r="G1128" s="793" t="s">
        <v>794</v>
      </c>
      <c r="H1128" s="793" t="s">
        <v>828</v>
      </c>
      <c r="I1128" s="794">
        <v>3.0933294060441104E-3</v>
      </c>
      <c r="J1128" s="794">
        <v>111.9047545747664</v>
      </c>
      <c r="K1128" s="771"/>
    </row>
    <row r="1129" spans="1:11" ht="18.75" customHeight="1" outlineLevel="2">
      <c r="A1129" s="791" t="s">
        <v>776</v>
      </c>
      <c r="B1129" s="791" t="s">
        <v>1023</v>
      </c>
      <c r="C1129" s="791" t="s">
        <v>778</v>
      </c>
      <c r="D1129" s="792" t="s">
        <v>779</v>
      </c>
      <c r="E1129" s="793" t="s">
        <v>947</v>
      </c>
      <c r="F1129" s="793" t="s">
        <v>1001</v>
      </c>
      <c r="G1129" s="793" t="s">
        <v>794</v>
      </c>
      <c r="H1129" s="793" t="s">
        <v>828</v>
      </c>
      <c r="I1129" s="794">
        <v>2.6120591040639999E-3</v>
      </c>
      <c r="J1129" s="794">
        <v>56.817457829285473</v>
      </c>
      <c r="K1129" s="771"/>
    </row>
    <row r="1130" spans="1:11" ht="18.75" customHeight="1" outlineLevel="2">
      <c r="A1130" s="791" t="s">
        <v>776</v>
      </c>
      <c r="B1130" s="791" t="s">
        <v>1023</v>
      </c>
      <c r="C1130" s="791" t="s">
        <v>778</v>
      </c>
      <c r="D1130" s="792" t="s">
        <v>779</v>
      </c>
      <c r="E1130" s="793" t="s">
        <v>947</v>
      </c>
      <c r="F1130" s="793" t="s">
        <v>1002</v>
      </c>
      <c r="G1130" s="793" t="s">
        <v>794</v>
      </c>
      <c r="H1130" s="793" t="s">
        <v>828</v>
      </c>
      <c r="I1130" s="794">
        <v>1.2993527940618102E-4</v>
      </c>
      <c r="J1130" s="794">
        <v>5.4644144526139007</v>
      </c>
      <c r="K1130" s="771"/>
    </row>
    <row r="1131" spans="1:11" ht="18.75" customHeight="1" outlineLevel="2">
      <c r="A1131" s="791" t="s">
        <v>776</v>
      </c>
      <c r="B1131" s="791" t="s">
        <v>1023</v>
      </c>
      <c r="C1131" s="791" t="s">
        <v>778</v>
      </c>
      <c r="D1131" s="792" t="s">
        <v>779</v>
      </c>
      <c r="E1131" s="793" t="s">
        <v>947</v>
      </c>
      <c r="F1131" s="793" t="s">
        <v>1003</v>
      </c>
      <c r="G1131" s="793" t="s">
        <v>794</v>
      </c>
      <c r="H1131" s="793" t="s">
        <v>828</v>
      </c>
      <c r="I1131" s="794">
        <v>1.5032028706012628E-4</v>
      </c>
      <c r="J1131" s="794">
        <v>4.836444484017127</v>
      </c>
      <c r="K1131" s="771"/>
    </row>
    <row r="1132" spans="1:11" ht="18.75" customHeight="1" outlineLevel="2">
      <c r="A1132" s="791" t="s">
        <v>776</v>
      </c>
      <c r="B1132" s="791" t="s">
        <v>1023</v>
      </c>
      <c r="C1132" s="791" t="s">
        <v>778</v>
      </c>
      <c r="D1132" s="792" t="s">
        <v>779</v>
      </c>
      <c r="E1132" s="793" t="s">
        <v>947</v>
      </c>
      <c r="F1132" s="793" t="s">
        <v>1004</v>
      </c>
      <c r="G1132" s="793" t="s">
        <v>833</v>
      </c>
      <c r="H1132" s="793" t="s">
        <v>834</v>
      </c>
      <c r="I1132" s="794">
        <v>3.549050855103271E-3</v>
      </c>
      <c r="J1132" s="794">
        <v>232.59736816066734</v>
      </c>
      <c r="K1132" s="771"/>
    </row>
    <row r="1133" spans="1:11" ht="18.75" customHeight="1" outlineLevel="2">
      <c r="A1133" s="791" t="s">
        <v>776</v>
      </c>
      <c r="B1133" s="791" t="s">
        <v>1024</v>
      </c>
      <c r="C1133" s="791" t="s">
        <v>1009</v>
      </c>
      <c r="D1133" s="792" t="s">
        <v>779</v>
      </c>
      <c r="E1133" s="793" t="s">
        <v>780</v>
      </c>
      <c r="F1133" s="793" t="s">
        <v>781</v>
      </c>
      <c r="G1133" s="793" t="s">
        <v>782</v>
      </c>
      <c r="H1133" s="793" t="s">
        <v>783</v>
      </c>
      <c r="I1133" s="794">
        <v>7.1892737779610571E-3</v>
      </c>
      <c r="J1133" s="794">
        <v>0.10575588799415162</v>
      </c>
      <c r="K1133" s="771"/>
    </row>
    <row r="1134" spans="1:11" ht="18.75" customHeight="1" outlineLevel="2">
      <c r="A1134" s="791" t="s">
        <v>776</v>
      </c>
      <c r="B1134" s="791" t="s">
        <v>1024</v>
      </c>
      <c r="C1134" s="791" t="s">
        <v>1009</v>
      </c>
      <c r="D1134" s="792" t="s">
        <v>779</v>
      </c>
      <c r="E1134" s="793" t="s">
        <v>780</v>
      </c>
      <c r="F1134" s="793" t="s">
        <v>784</v>
      </c>
      <c r="G1134" s="793" t="s">
        <v>785</v>
      </c>
      <c r="H1134" s="793" t="s">
        <v>783</v>
      </c>
      <c r="I1134" s="794">
        <v>1.5458902327502673</v>
      </c>
      <c r="J1134" s="794">
        <v>251.04325744455423</v>
      </c>
      <c r="K1134" s="771"/>
    </row>
    <row r="1135" spans="1:11" ht="18.75" customHeight="1" outlineLevel="2">
      <c r="A1135" s="791" t="s">
        <v>776</v>
      </c>
      <c r="B1135" s="791" t="s">
        <v>1024</v>
      </c>
      <c r="C1135" s="791" t="s">
        <v>1009</v>
      </c>
      <c r="D1135" s="792" t="s">
        <v>779</v>
      </c>
      <c r="E1135" s="793" t="s">
        <v>780</v>
      </c>
      <c r="F1135" s="793" t="s">
        <v>786</v>
      </c>
      <c r="G1135" s="793" t="s">
        <v>785</v>
      </c>
      <c r="H1135" s="793" t="s">
        <v>783</v>
      </c>
      <c r="I1135" s="794">
        <v>1.2554159881057361E-3</v>
      </c>
      <c r="J1135" s="794">
        <v>0.21267811113253277</v>
      </c>
      <c r="K1135" s="771"/>
    </row>
    <row r="1136" spans="1:11" ht="18.75" customHeight="1" outlineLevel="2">
      <c r="A1136" s="791" t="s">
        <v>776</v>
      </c>
      <c r="B1136" s="791" t="s">
        <v>1024</v>
      </c>
      <c r="C1136" s="791" t="s">
        <v>1009</v>
      </c>
      <c r="D1136" s="792" t="s">
        <v>779</v>
      </c>
      <c r="E1136" s="793" t="s">
        <v>780</v>
      </c>
      <c r="F1136" s="793" t="s">
        <v>787</v>
      </c>
      <c r="G1136" s="793" t="s">
        <v>785</v>
      </c>
      <c r="H1136" s="793" t="s">
        <v>783</v>
      </c>
      <c r="I1136" s="794">
        <v>6.3087969856777881E-4</v>
      </c>
      <c r="J1136" s="794">
        <v>0.11589514687046366</v>
      </c>
      <c r="K1136" s="771"/>
    </row>
    <row r="1137" spans="1:11" ht="18.75" customHeight="1" outlineLevel="2">
      <c r="A1137" s="791" t="s">
        <v>776</v>
      </c>
      <c r="B1137" s="791" t="s">
        <v>1024</v>
      </c>
      <c r="C1137" s="791" t="s">
        <v>1009</v>
      </c>
      <c r="D1137" s="792" t="s">
        <v>779</v>
      </c>
      <c r="E1137" s="793" t="s">
        <v>780</v>
      </c>
      <c r="F1137" s="793" t="s">
        <v>788</v>
      </c>
      <c r="G1137" s="793" t="s">
        <v>785</v>
      </c>
      <c r="H1137" s="793" t="s">
        <v>783</v>
      </c>
      <c r="I1137" s="794">
        <v>6.7464312421050112E-3</v>
      </c>
      <c r="J1137" s="794">
        <v>1.0746462484891015</v>
      </c>
      <c r="K1137" s="771"/>
    </row>
    <row r="1138" spans="1:11" ht="18.75" customHeight="1" outlineLevel="2">
      <c r="A1138" s="791" t="s">
        <v>776</v>
      </c>
      <c r="B1138" s="791" t="s">
        <v>1024</v>
      </c>
      <c r="C1138" s="791" t="s">
        <v>1009</v>
      </c>
      <c r="D1138" s="792" t="s">
        <v>779</v>
      </c>
      <c r="E1138" s="793" t="s">
        <v>780</v>
      </c>
      <c r="F1138" s="793" t="s">
        <v>789</v>
      </c>
      <c r="G1138" s="793" t="s">
        <v>785</v>
      </c>
      <c r="H1138" s="793" t="s">
        <v>783</v>
      </c>
      <c r="I1138" s="794">
        <v>5.7745922418837425E-3</v>
      </c>
      <c r="J1138" s="794">
        <v>1.4205011075542591</v>
      </c>
      <c r="K1138" s="771"/>
    </row>
    <row r="1139" spans="1:11" ht="18.75" customHeight="1" outlineLevel="2">
      <c r="A1139" s="791" t="s">
        <v>776</v>
      </c>
      <c r="B1139" s="791" t="s">
        <v>1024</v>
      </c>
      <c r="C1139" s="791" t="s">
        <v>1009</v>
      </c>
      <c r="D1139" s="792" t="s">
        <v>779</v>
      </c>
      <c r="E1139" s="793" t="s">
        <v>780</v>
      </c>
      <c r="F1139" s="793" t="s">
        <v>790</v>
      </c>
      <c r="G1139" s="793" t="s">
        <v>791</v>
      </c>
      <c r="H1139" s="793" t="s">
        <v>783</v>
      </c>
      <c r="I1139" s="794">
        <v>9.4396840368393149E-3</v>
      </c>
      <c r="J1139" s="794">
        <v>0.12538644796068876</v>
      </c>
      <c r="K1139" s="771"/>
    </row>
    <row r="1140" spans="1:11" ht="18.75" customHeight="1" outlineLevel="2">
      <c r="A1140" s="791" t="s">
        <v>776</v>
      </c>
      <c r="B1140" s="791" t="s">
        <v>1024</v>
      </c>
      <c r="C1140" s="791" t="s">
        <v>1009</v>
      </c>
      <c r="D1140" s="792" t="s">
        <v>779</v>
      </c>
      <c r="E1140" s="793" t="s">
        <v>780</v>
      </c>
      <c r="F1140" s="793" t="s">
        <v>792</v>
      </c>
      <c r="G1140" s="793" t="s">
        <v>791</v>
      </c>
      <c r="H1140" s="793" t="s">
        <v>783</v>
      </c>
      <c r="I1140" s="794">
        <v>7.0069270799854422E-2</v>
      </c>
      <c r="J1140" s="794">
        <v>13.6081267444739</v>
      </c>
      <c r="K1140" s="771"/>
    </row>
    <row r="1141" spans="1:11" ht="18.75" customHeight="1" outlineLevel="2">
      <c r="A1141" s="791" t="s">
        <v>776</v>
      </c>
      <c r="B1141" s="791" t="s">
        <v>1024</v>
      </c>
      <c r="C1141" s="791" t="s">
        <v>1009</v>
      </c>
      <c r="D1141" s="792" t="s">
        <v>779</v>
      </c>
      <c r="E1141" s="793" t="s">
        <v>780</v>
      </c>
      <c r="F1141" s="793" t="s">
        <v>793</v>
      </c>
      <c r="G1141" s="793" t="s">
        <v>794</v>
      </c>
      <c r="H1141" s="793" t="s">
        <v>783</v>
      </c>
      <c r="I1141" s="794">
        <v>1.6630776324913243</v>
      </c>
      <c r="J1141" s="794">
        <v>43.161279919728031</v>
      </c>
      <c r="K1141" s="771"/>
    </row>
    <row r="1142" spans="1:11" ht="18.75" customHeight="1" outlineLevel="2">
      <c r="A1142" s="791" t="s">
        <v>776</v>
      </c>
      <c r="B1142" s="791" t="s">
        <v>1024</v>
      </c>
      <c r="C1142" s="791" t="s">
        <v>1009</v>
      </c>
      <c r="D1142" s="792" t="s">
        <v>779</v>
      </c>
      <c r="E1142" s="793" t="s">
        <v>780</v>
      </c>
      <c r="F1142" s="793" t="s">
        <v>795</v>
      </c>
      <c r="G1142" s="793" t="s">
        <v>794</v>
      </c>
      <c r="H1142" s="793" t="s">
        <v>783</v>
      </c>
      <c r="I1142" s="794">
        <v>5.0291221839798381E-2</v>
      </c>
      <c r="J1142" s="794">
        <v>2.0605932353502108</v>
      </c>
      <c r="K1142" s="771"/>
    </row>
    <row r="1143" spans="1:11" ht="18.75" customHeight="1" outlineLevel="2">
      <c r="A1143" s="791" t="s">
        <v>776</v>
      </c>
      <c r="B1143" s="791" t="s">
        <v>1024</v>
      </c>
      <c r="C1143" s="791" t="s">
        <v>1009</v>
      </c>
      <c r="D1143" s="792" t="s">
        <v>779</v>
      </c>
      <c r="E1143" s="793" t="s">
        <v>780</v>
      </c>
      <c r="F1143" s="793" t="s">
        <v>796</v>
      </c>
      <c r="G1143" s="793" t="s">
        <v>794</v>
      </c>
      <c r="H1143" s="793" t="s">
        <v>783</v>
      </c>
      <c r="I1143" s="794">
        <v>2.6140146609416652E-2</v>
      </c>
      <c r="J1143" s="794">
        <v>3.0123540225706229</v>
      </c>
      <c r="K1143" s="771"/>
    </row>
    <row r="1144" spans="1:11" ht="18.75" customHeight="1" outlineLevel="2">
      <c r="A1144" s="791" t="s">
        <v>776</v>
      </c>
      <c r="B1144" s="791" t="s">
        <v>1024</v>
      </c>
      <c r="C1144" s="791" t="s">
        <v>1009</v>
      </c>
      <c r="D1144" s="792" t="s">
        <v>779</v>
      </c>
      <c r="E1144" s="793" t="s">
        <v>780</v>
      </c>
      <c r="F1144" s="793" t="s">
        <v>797</v>
      </c>
      <c r="G1144" s="793" t="s">
        <v>794</v>
      </c>
      <c r="H1144" s="793" t="s">
        <v>783</v>
      </c>
      <c r="I1144" s="794">
        <v>0.51118374911763442</v>
      </c>
      <c r="J1144" s="794">
        <v>106.973205324468</v>
      </c>
      <c r="K1144" s="771"/>
    </row>
    <row r="1145" spans="1:11" ht="18.75" customHeight="1" outlineLevel="2">
      <c r="A1145" s="791" t="s">
        <v>776</v>
      </c>
      <c r="B1145" s="791" t="s">
        <v>1024</v>
      </c>
      <c r="C1145" s="791" t="s">
        <v>1009</v>
      </c>
      <c r="D1145" s="792" t="s">
        <v>779</v>
      </c>
      <c r="E1145" s="793" t="s">
        <v>780</v>
      </c>
      <c r="F1145" s="793" t="s">
        <v>1017</v>
      </c>
      <c r="G1145" s="793" t="s">
        <v>785</v>
      </c>
      <c r="H1145" s="793" t="s">
        <v>783</v>
      </c>
      <c r="I1145" s="794">
        <v>3.2298052061064723E-2</v>
      </c>
      <c r="J1145" s="794">
        <v>7.3396805580313718</v>
      </c>
      <c r="K1145" s="771"/>
    </row>
    <row r="1146" spans="1:11" ht="18.75" customHeight="1" outlineLevel="2">
      <c r="A1146" s="791" t="s">
        <v>776</v>
      </c>
      <c r="B1146" s="791" t="s">
        <v>1024</v>
      </c>
      <c r="C1146" s="791" t="s">
        <v>1009</v>
      </c>
      <c r="D1146" s="792" t="s">
        <v>779</v>
      </c>
      <c r="E1146" s="793" t="s">
        <v>662</v>
      </c>
      <c r="F1146" s="793" t="s">
        <v>798</v>
      </c>
      <c r="G1146" s="793" t="s">
        <v>799</v>
      </c>
      <c r="H1146" s="793" t="s">
        <v>800</v>
      </c>
      <c r="I1146" s="794">
        <v>0.62709222247279706</v>
      </c>
      <c r="J1146" s="794">
        <v>180.183873799563</v>
      </c>
      <c r="K1146" s="771"/>
    </row>
    <row r="1147" spans="1:11" ht="18.75" customHeight="1" outlineLevel="2">
      <c r="A1147" s="791" t="s">
        <v>776</v>
      </c>
      <c r="B1147" s="791" t="s">
        <v>1024</v>
      </c>
      <c r="C1147" s="791" t="s">
        <v>1009</v>
      </c>
      <c r="D1147" s="792" t="s">
        <v>779</v>
      </c>
      <c r="E1147" s="793" t="s">
        <v>662</v>
      </c>
      <c r="F1147" s="793" t="s">
        <v>801</v>
      </c>
      <c r="G1147" s="793" t="s">
        <v>799</v>
      </c>
      <c r="H1147" s="793" t="s">
        <v>800</v>
      </c>
      <c r="I1147" s="794">
        <v>0.19155200138827844</v>
      </c>
      <c r="J1147" s="794">
        <v>77.381798849913579</v>
      </c>
      <c r="K1147" s="771"/>
    </row>
    <row r="1148" spans="1:11" ht="18.75" customHeight="1" outlineLevel="2">
      <c r="A1148" s="791" t="s">
        <v>776</v>
      </c>
      <c r="B1148" s="791" t="s">
        <v>1024</v>
      </c>
      <c r="C1148" s="791" t="s">
        <v>1009</v>
      </c>
      <c r="D1148" s="792" t="s">
        <v>779</v>
      </c>
      <c r="E1148" s="793" t="s">
        <v>662</v>
      </c>
      <c r="F1148" s="793" t="s">
        <v>802</v>
      </c>
      <c r="G1148" s="793" t="s">
        <v>799</v>
      </c>
      <c r="H1148" s="793" t="s">
        <v>800</v>
      </c>
      <c r="I1148" s="794">
        <v>8.7185679491838933E-2</v>
      </c>
      <c r="J1148" s="794">
        <v>112.12724707176623</v>
      </c>
      <c r="K1148" s="771"/>
    </row>
    <row r="1149" spans="1:11" ht="18.75" customHeight="1" outlineLevel="2">
      <c r="A1149" s="791" t="s">
        <v>776</v>
      </c>
      <c r="B1149" s="791" t="s">
        <v>1024</v>
      </c>
      <c r="C1149" s="791" t="s">
        <v>1009</v>
      </c>
      <c r="D1149" s="792" t="s">
        <v>779</v>
      </c>
      <c r="E1149" s="793" t="s">
        <v>662</v>
      </c>
      <c r="F1149" s="793" t="s">
        <v>803</v>
      </c>
      <c r="G1149" s="793" t="s">
        <v>782</v>
      </c>
      <c r="H1149" s="793" t="s">
        <v>804</v>
      </c>
      <c r="I1149" s="794">
        <v>2.2222445658920627E-2</v>
      </c>
      <c r="J1149" s="794">
        <v>13.788577628814565</v>
      </c>
      <c r="K1149" s="771"/>
    </row>
    <row r="1150" spans="1:11" ht="18.75" customHeight="1" outlineLevel="2">
      <c r="A1150" s="791" t="s">
        <v>776</v>
      </c>
      <c r="B1150" s="791" t="s">
        <v>1024</v>
      </c>
      <c r="C1150" s="791" t="s">
        <v>1009</v>
      </c>
      <c r="D1150" s="792" t="s">
        <v>779</v>
      </c>
      <c r="E1150" s="793" t="s">
        <v>662</v>
      </c>
      <c r="F1150" s="793" t="s">
        <v>805</v>
      </c>
      <c r="G1150" s="793" t="s">
        <v>782</v>
      </c>
      <c r="H1150" s="793" t="s">
        <v>804</v>
      </c>
      <c r="I1150" s="794">
        <v>1.8442266206627762E-3</v>
      </c>
      <c r="J1150" s="794">
        <v>0.89317094948267695</v>
      </c>
      <c r="K1150" s="771"/>
    </row>
    <row r="1151" spans="1:11" ht="18.75" customHeight="1" outlineLevel="2">
      <c r="A1151" s="791" t="s">
        <v>776</v>
      </c>
      <c r="B1151" s="791" t="s">
        <v>1024</v>
      </c>
      <c r="C1151" s="791" t="s">
        <v>1009</v>
      </c>
      <c r="D1151" s="792" t="s">
        <v>779</v>
      </c>
      <c r="E1151" s="793" t="s">
        <v>662</v>
      </c>
      <c r="F1151" s="793" t="s">
        <v>806</v>
      </c>
      <c r="G1151" s="793" t="s">
        <v>782</v>
      </c>
      <c r="H1151" s="793" t="s">
        <v>804</v>
      </c>
      <c r="I1151" s="794">
        <v>2.2349620641850046E-3</v>
      </c>
      <c r="J1151" s="794">
        <v>1.0675931955705165</v>
      </c>
      <c r="K1151" s="771"/>
    </row>
    <row r="1152" spans="1:11" ht="18.75" customHeight="1" outlineLevel="2">
      <c r="A1152" s="791" t="s">
        <v>776</v>
      </c>
      <c r="B1152" s="791" t="s">
        <v>1024</v>
      </c>
      <c r="C1152" s="791" t="s">
        <v>1009</v>
      </c>
      <c r="D1152" s="792" t="s">
        <v>779</v>
      </c>
      <c r="E1152" s="793" t="s">
        <v>662</v>
      </c>
      <c r="F1152" s="793" t="s">
        <v>807</v>
      </c>
      <c r="G1152" s="793" t="s">
        <v>782</v>
      </c>
      <c r="H1152" s="793" t="s">
        <v>804</v>
      </c>
      <c r="I1152" s="794">
        <v>1.6528518929275867E-5</v>
      </c>
      <c r="J1152" s="794">
        <v>7.3972727552922895E-3</v>
      </c>
      <c r="K1152" s="771"/>
    </row>
    <row r="1153" spans="1:11" ht="18.75" customHeight="1" outlineLevel="2">
      <c r="A1153" s="791" t="s">
        <v>776</v>
      </c>
      <c r="B1153" s="791" t="s">
        <v>1024</v>
      </c>
      <c r="C1153" s="791" t="s">
        <v>1009</v>
      </c>
      <c r="D1153" s="792" t="s">
        <v>779</v>
      </c>
      <c r="E1153" s="793" t="s">
        <v>662</v>
      </c>
      <c r="F1153" s="793" t="s">
        <v>808</v>
      </c>
      <c r="G1153" s="793" t="s">
        <v>782</v>
      </c>
      <c r="H1153" s="793" t="s">
        <v>804</v>
      </c>
      <c r="I1153" s="794">
        <v>6.3709368426463353E-2</v>
      </c>
      <c r="J1153" s="794">
        <v>35.574314277497365</v>
      </c>
      <c r="K1153" s="771"/>
    </row>
    <row r="1154" spans="1:11" ht="18.75" customHeight="1" outlineLevel="2">
      <c r="A1154" s="791" t="s">
        <v>776</v>
      </c>
      <c r="B1154" s="791" t="s">
        <v>1024</v>
      </c>
      <c r="C1154" s="791" t="s">
        <v>1009</v>
      </c>
      <c r="D1154" s="792" t="s">
        <v>779</v>
      </c>
      <c r="E1154" s="793" t="s">
        <v>662</v>
      </c>
      <c r="F1154" s="793" t="s">
        <v>809</v>
      </c>
      <c r="G1154" s="793" t="s">
        <v>782</v>
      </c>
      <c r="H1154" s="793" t="s">
        <v>804</v>
      </c>
      <c r="I1154" s="794">
        <v>4.6582217491437851E-4</v>
      </c>
      <c r="J1154" s="794">
        <v>0.20847716364410904</v>
      </c>
      <c r="K1154" s="771"/>
    </row>
    <row r="1155" spans="1:11" ht="18.75" customHeight="1" outlineLevel="2">
      <c r="A1155" s="791" t="s">
        <v>776</v>
      </c>
      <c r="B1155" s="791" t="s">
        <v>1024</v>
      </c>
      <c r="C1155" s="791" t="s">
        <v>1009</v>
      </c>
      <c r="D1155" s="792" t="s">
        <v>779</v>
      </c>
      <c r="E1155" s="793" t="s">
        <v>662</v>
      </c>
      <c r="F1155" s="793" t="s">
        <v>810</v>
      </c>
      <c r="G1155" s="793" t="s">
        <v>785</v>
      </c>
      <c r="H1155" s="793" t="s">
        <v>727</v>
      </c>
      <c r="I1155" s="794">
        <v>1.5310502373871101E-3</v>
      </c>
      <c r="J1155" s="794">
        <v>0.68521502387582645</v>
      </c>
      <c r="K1155" s="771"/>
    </row>
    <row r="1156" spans="1:11" ht="18.75" customHeight="1" outlineLevel="2">
      <c r="A1156" s="791" t="s">
        <v>776</v>
      </c>
      <c r="B1156" s="791" t="s">
        <v>1024</v>
      </c>
      <c r="C1156" s="791" t="s">
        <v>1009</v>
      </c>
      <c r="D1156" s="792" t="s">
        <v>779</v>
      </c>
      <c r="E1156" s="793" t="s">
        <v>662</v>
      </c>
      <c r="F1156" s="793" t="s">
        <v>811</v>
      </c>
      <c r="G1156" s="793" t="s">
        <v>785</v>
      </c>
      <c r="H1156" s="793" t="s">
        <v>727</v>
      </c>
      <c r="I1156" s="794">
        <v>1.1715818598351932E-4</v>
      </c>
      <c r="J1156" s="794">
        <v>5.2433723536621561E-2</v>
      </c>
      <c r="K1156" s="771"/>
    </row>
    <row r="1157" spans="1:11" ht="18.75" customHeight="1" outlineLevel="2">
      <c r="A1157" s="791" t="s">
        <v>776</v>
      </c>
      <c r="B1157" s="791" t="s">
        <v>1024</v>
      </c>
      <c r="C1157" s="791" t="s">
        <v>1009</v>
      </c>
      <c r="D1157" s="792" t="s">
        <v>779</v>
      </c>
      <c r="E1157" s="793" t="s">
        <v>662</v>
      </c>
      <c r="F1157" s="793" t="s">
        <v>812</v>
      </c>
      <c r="G1157" s="793" t="s">
        <v>813</v>
      </c>
      <c r="H1157" s="793" t="s">
        <v>814</v>
      </c>
      <c r="I1157" s="794">
        <v>9.0209417420708399E-3</v>
      </c>
      <c r="J1157" s="794">
        <v>4.9404655489587626</v>
      </c>
      <c r="K1157" s="771"/>
    </row>
    <row r="1158" spans="1:11" ht="18.75" customHeight="1" outlineLevel="2">
      <c r="A1158" s="791" t="s">
        <v>776</v>
      </c>
      <c r="B1158" s="791" t="s">
        <v>1024</v>
      </c>
      <c r="C1158" s="791" t="s">
        <v>1009</v>
      </c>
      <c r="D1158" s="792" t="s">
        <v>779</v>
      </c>
      <c r="E1158" s="793" t="s">
        <v>662</v>
      </c>
      <c r="F1158" s="793" t="s">
        <v>815</v>
      </c>
      <c r="G1158" s="793" t="s">
        <v>813</v>
      </c>
      <c r="H1158" s="793" t="s">
        <v>814</v>
      </c>
      <c r="I1158" s="794">
        <v>0.11596933196877086</v>
      </c>
      <c r="J1158" s="794">
        <v>62.327150505426978</v>
      </c>
      <c r="K1158" s="771"/>
    </row>
    <row r="1159" spans="1:11" ht="18.75" customHeight="1" outlineLevel="2">
      <c r="A1159" s="791" t="s">
        <v>776</v>
      </c>
      <c r="B1159" s="791" t="s">
        <v>1024</v>
      </c>
      <c r="C1159" s="791" t="s">
        <v>1009</v>
      </c>
      <c r="D1159" s="792" t="s">
        <v>779</v>
      </c>
      <c r="E1159" s="793" t="s">
        <v>662</v>
      </c>
      <c r="F1159" s="793" t="s">
        <v>816</v>
      </c>
      <c r="G1159" s="793" t="s">
        <v>813</v>
      </c>
      <c r="H1159" s="793" t="s">
        <v>814</v>
      </c>
      <c r="I1159" s="794">
        <v>0.12696540416709265</v>
      </c>
      <c r="J1159" s="794">
        <v>65.964532634616347</v>
      </c>
      <c r="K1159" s="771"/>
    </row>
    <row r="1160" spans="1:11" ht="18.75" customHeight="1" outlineLevel="2">
      <c r="A1160" s="791" t="s">
        <v>776</v>
      </c>
      <c r="B1160" s="791" t="s">
        <v>1024</v>
      </c>
      <c r="C1160" s="791" t="s">
        <v>1009</v>
      </c>
      <c r="D1160" s="792" t="s">
        <v>779</v>
      </c>
      <c r="E1160" s="793" t="s">
        <v>662</v>
      </c>
      <c r="F1160" s="793" t="s">
        <v>817</v>
      </c>
      <c r="G1160" s="793" t="s">
        <v>813</v>
      </c>
      <c r="H1160" s="793" t="s">
        <v>814</v>
      </c>
      <c r="I1160" s="794">
        <v>1.0965573301828953</v>
      </c>
      <c r="J1160" s="794">
        <v>600.25874238564893</v>
      </c>
      <c r="K1160" s="771"/>
    </row>
    <row r="1161" spans="1:11" ht="18.75" customHeight="1" outlineLevel="2">
      <c r="A1161" s="791" t="s">
        <v>776</v>
      </c>
      <c r="B1161" s="791" t="s">
        <v>1024</v>
      </c>
      <c r="C1161" s="791" t="s">
        <v>1009</v>
      </c>
      <c r="D1161" s="792" t="s">
        <v>779</v>
      </c>
      <c r="E1161" s="793" t="s">
        <v>662</v>
      </c>
      <c r="F1161" s="793" t="s">
        <v>818</v>
      </c>
      <c r="G1161" s="793" t="s">
        <v>813</v>
      </c>
      <c r="H1161" s="793" t="s">
        <v>814</v>
      </c>
      <c r="I1161" s="794">
        <v>0.15596989572086586</v>
      </c>
      <c r="J1161" s="794">
        <v>91.610433840380608</v>
      </c>
      <c r="K1161" s="771"/>
    </row>
    <row r="1162" spans="1:11" ht="18.75" customHeight="1" outlineLevel="2">
      <c r="A1162" s="791" t="s">
        <v>776</v>
      </c>
      <c r="B1162" s="791" t="s">
        <v>1024</v>
      </c>
      <c r="C1162" s="791" t="s">
        <v>1009</v>
      </c>
      <c r="D1162" s="792" t="s">
        <v>779</v>
      </c>
      <c r="E1162" s="793" t="s">
        <v>662</v>
      </c>
      <c r="F1162" s="793" t="s">
        <v>819</v>
      </c>
      <c r="G1162" s="793" t="s">
        <v>813</v>
      </c>
      <c r="H1162" s="793" t="s">
        <v>814</v>
      </c>
      <c r="I1162" s="794">
        <v>1.0376005716851819</v>
      </c>
      <c r="J1162" s="794">
        <v>524.54564967405395</v>
      </c>
      <c r="K1162" s="771"/>
    </row>
    <row r="1163" spans="1:11" ht="18.75" customHeight="1" outlineLevel="2">
      <c r="A1163" s="791" t="s">
        <v>776</v>
      </c>
      <c r="B1163" s="791" t="s">
        <v>1024</v>
      </c>
      <c r="C1163" s="791" t="s">
        <v>1009</v>
      </c>
      <c r="D1163" s="792" t="s">
        <v>779</v>
      </c>
      <c r="E1163" s="793" t="s">
        <v>662</v>
      </c>
      <c r="F1163" s="793" t="s">
        <v>820</v>
      </c>
      <c r="G1163" s="793" t="s">
        <v>813</v>
      </c>
      <c r="H1163" s="793" t="s">
        <v>814</v>
      </c>
      <c r="I1163" s="794">
        <v>0.10993472591283203</v>
      </c>
      <c r="J1163" s="794">
        <v>58.96027866975124</v>
      </c>
      <c r="K1163" s="771"/>
    </row>
    <row r="1164" spans="1:11" ht="18.75" customHeight="1" outlineLevel="2">
      <c r="A1164" s="791" t="s">
        <v>776</v>
      </c>
      <c r="B1164" s="791" t="s">
        <v>1024</v>
      </c>
      <c r="C1164" s="791" t="s">
        <v>1009</v>
      </c>
      <c r="D1164" s="792" t="s">
        <v>779</v>
      </c>
      <c r="E1164" s="793" t="s">
        <v>662</v>
      </c>
      <c r="F1164" s="793" t="s">
        <v>821</v>
      </c>
      <c r="G1164" s="793" t="s">
        <v>813</v>
      </c>
      <c r="H1164" s="793" t="s">
        <v>814</v>
      </c>
      <c r="I1164" s="794">
        <v>0.91577936608157628</v>
      </c>
      <c r="J1164" s="794">
        <v>489.80012059047658</v>
      </c>
      <c r="K1164" s="771"/>
    </row>
    <row r="1165" spans="1:11" ht="18.75" customHeight="1" outlineLevel="2">
      <c r="A1165" s="791" t="s">
        <v>776</v>
      </c>
      <c r="B1165" s="791" t="s">
        <v>1024</v>
      </c>
      <c r="C1165" s="791" t="s">
        <v>1009</v>
      </c>
      <c r="D1165" s="792" t="s">
        <v>779</v>
      </c>
      <c r="E1165" s="793" t="s">
        <v>662</v>
      </c>
      <c r="F1165" s="793" t="s">
        <v>822</v>
      </c>
      <c r="G1165" s="793" t="s">
        <v>813</v>
      </c>
      <c r="H1165" s="793" t="s">
        <v>814</v>
      </c>
      <c r="I1165" s="794">
        <v>0.19924521037714396</v>
      </c>
      <c r="J1165" s="794">
        <v>29.17211416208858</v>
      </c>
      <c r="K1165" s="771"/>
    </row>
    <row r="1166" spans="1:11" ht="18.75" customHeight="1" outlineLevel="2">
      <c r="A1166" s="791" t="s">
        <v>776</v>
      </c>
      <c r="B1166" s="791" t="s">
        <v>1024</v>
      </c>
      <c r="C1166" s="791" t="s">
        <v>1009</v>
      </c>
      <c r="D1166" s="792" t="s">
        <v>779</v>
      </c>
      <c r="E1166" s="793" t="s">
        <v>662</v>
      </c>
      <c r="F1166" s="793" t="s">
        <v>823</v>
      </c>
      <c r="G1166" s="793" t="s">
        <v>813</v>
      </c>
      <c r="H1166" s="793" t="s">
        <v>814</v>
      </c>
      <c r="I1166" s="794">
        <v>1.2181017245084531</v>
      </c>
      <c r="J1166" s="794">
        <v>178.341092514282</v>
      </c>
      <c r="K1166" s="771"/>
    </row>
    <row r="1167" spans="1:11" ht="18.75" customHeight="1" outlineLevel="2">
      <c r="A1167" s="791" t="s">
        <v>776</v>
      </c>
      <c r="B1167" s="791" t="s">
        <v>1024</v>
      </c>
      <c r="C1167" s="791" t="s">
        <v>1009</v>
      </c>
      <c r="D1167" s="792" t="s">
        <v>779</v>
      </c>
      <c r="E1167" s="793" t="s">
        <v>662</v>
      </c>
      <c r="F1167" s="793" t="s">
        <v>824</v>
      </c>
      <c r="G1167" s="793" t="s">
        <v>813</v>
      </c>
      <c r="H1167" s="793" t="s">
        <v>814</v>
      </c>
      <c r="I1167" s="794">
        <v>5.237900146499503E-4</v>
      </c>
      <c r="J1167" s="794">
        <v>0.26136114785293074</v>
      </c>
      <c r="K1167" s="771"/>
    </row>
    <row r="1168" spans="1:11" ht="18.75" customHeight="1" outlineLevel="2">
      <c r="A1168" s="791" t="s">
        <v>776</v>
      </c>
      <c r="B1168" s="791" t="s">
        <v>1024</v>
      </c>
      <c r="C1168" s="791" t="s">
        <v>1009</v>
      </c>
      <c r="D1168" s="792" t="s">
        <v>779</v>
      </c>
      <c r="E1168" s="793" t="s">
        <v>662</v>
      </c>
      <c r="F1168" s="793" t="s">
        <v>825</v>
      </c>
      <c r="G1168" s="793" t="s">
        <v>791</v>
      </c>
      <c r="H1168" s="793" t="s">
        <v>826</v>
      </c>
      <c r="I1168" s="794">
        <v>1.1722824879322824E-3</v>
      </c>
      <c r="J1168" s="794">
        <v>0.71289153210327227</v>
      </c>
      <c r="K1168" s="771"/>
    </row>
    <row r="1169" spans="1:11" ht="18.75" customHeight="1" outlineLevel="2">
      <c r="A1169" s="791" t="s">
        <v>776</v>
      </c>
      <c r="B1169" s="791" t="s">
        <v>1024</v>
      </c>
      <c r="C1169" s="791" t="s">
        <v>1009</v>
      </c>
      <c r="D1169" s="792" t="s">
        <v>779</v>
      </c>
      <c r="E1169" s="793" t="s">
        <v>662</v>
      </c>
      <c r="F1169" s="793" t="s">
        <v>827</v>
      </c>
      <c r="G1169" s="793" t="s">
        <v>794</v>
      </c>
      <c r="H1169" s="793" t="s">
        <v>828</v>
      </c>
      <c r="I1169" s="794">
        <v>1.4656274200764392E-2</v>
      </c>
      <c r="J1169" s="794">
        <v>7.2564622246753849</v>
      </c>
      <c r="K1169" s="771"/>
    </row>
    <row r="1170" spans="1:11" ht="18.75" customHeight="1" outlineLevel="2">
      <c r="A1170" s="791" t="s">
        <v>776</v>
      </c>
      <c r="B1170" s="791" t="s">
        <v>1024</v>
      </c>
      <c r="C1170" s="791" t="s">
        <v>1009</v>
      </c>
      <c r="D1170" s="792" t="s">
        <v>779</v>
      </c>
      <c r="E1170" s="793" t="s">
        <v>662</v>
      </c>
      <c r="F1170" s="793" t="s">
        <v>829</v>
      </c>
      <c r="G1170" s="793" t="s">
        <v>794</v>
      </c>
      <c r="H1170" s="793" t="s">
        <v>828</v>
      </c>
      <c r="I1170" s="794">
        <v>9.3530445398326098E-2</v>
      </c>
      <c r="J1170" s="794">
        <v>48.408751540177647</v>
      </c>
      <c r="K1170" s="771"/>
    </row>
    <row r="1171" spans="1:11" ht="18.75" customHeight="1" outlineLevel="2">
      <c r="A1171" s="791" t="s">
        <v>776</v>
      </c>
      <c r="B1171" s="791" t="s">
        <v>1024</v>
      </c>
      <c r="C1171" s="791" t="s">
        <v>1009</v>
      </c>
      <c r="D1171" s="792" t="s">
        <v>779</v>
      </c>
      <c r="E1171" s="793" t="s">
        <v>662</v>
      </c>
      <c r="F1171" s="793" t="s">
        <v>830</v>
      </c>
      <c r="G1171" s="793" t="s">
        <v>794</v>
      </c>
      <c r="H1171" s="793" t="s">
        <v>828</v>
      </c>
      <c r="I1171" s="794">
        <v>3.7514887533267353E-5</v>
      </c>
      <c r="J1171" s="794">
        <v>1.6789652025868147E-2</v>
      </c>
      <c r="K1171" s="771"/>
    </row>
    <row r="1172" spans="1:11" ht="18.75" customHeight="1" outlineLevel="2">
      <c r="A1172" s="791" t="s">
        <v>776</v>
      </c>
      <c r="B1172" s="791" t="s">
        <v>1024</v>
      </c>
      <c r="C1172" s="791" t="s">
        <v>1009</v>
      </c>
      <c r="D1172" s="792" t="s">
        <v>779</v>
      </c>
      <c r="E1172" s="793" t="s">
        <v>662</v>
      </c>
      <c r="F1172" s="793" t="s">
        <v>831</v>
      </c>
      <c r="G1172" s="793" t="s">
        <v>794</v>
      </c>
      <c r="H1172" s="793" t="s">
        <v>828</v>
      </c>
      <c r="I1172" s="794">
        <v>6.5437876952945833E-4</v>
      </c>
      <c r="J1172" s="794">
        <v>0.29286478148218448</v>
      </c>
      <c r="K1172" s="771"/>
    </row>
    <row r="1173" spans="1:11" ht="18.75" customHeight="1" outlineLevel="2">
      <c r="A1173" s="791" t="s">
        <v>776</v>
      </c>
      <c r="B1173" s="791" t="s">
        <v>1024</v>
      </c>
      <c r="C1173" s="791" t="s">
        <v>1009</v>
      </c>
      <c r="D1173" s="792" t="s">
        <v>779</v>
      </c>
      <c r="E1173" s="793" t="s">
        <v>662</v>
      </c>
      <c r="F1173" s="793" t="s">
        <v>832</v>
      </c>
      <c r="G1173" s="793" t="s">
        <v>833</v>
      </c>
      <c r="H1173" s="793" t="s">
        <v>834</v>
      </c>
      <c r="I1173" s="794">
        <v>6.8312703004349039E-3</v>
      </c>
      <c r="J1173" s="794">
        <v>3.9438818718660555</v>
      </c>
      <c r="K1173" s="771"/>
    </row>
    <row r="1174" spans="1:11" ht="18.75" customHeight="1" outlineLevel="2">
      <c r="A1174" s="791" t="s">
        <v>776</v>
      </c>
      <c r="B1174" s="791" t="s">
        <v>1024</v>
      </c>
      <c r="C1174" s="791" t="s">
        <v>1009</v>
      </c>
      <c r="D1174" s="792" t="s">
        <v>779</v>
      </c>
      <c r="E1174" s="793" t="s">
        <v>662</v>
      </c>
      <c r="F1174" s="793" t="s">
        <v>835</v>
      </c>
      <c r="G1174" s="793" t="s">
        <v>799</v>
      </c>
      <c r="H1174" s="793" t="s">
        <v>800</v>
      </c>
      <c r="I1174" s="794">
        <v>0.11901909785006681</v>
      </c>
      <c r="J1174" s="794">
        <v>84.034096854422884</v>
      </c>
      <c r="K1174" s="771"/>
    </row>
    <row r="1175" spans="1:11" ht="18.75" customHeight="1" outlineLevel="2">
      <c r="A1175" s="791" t="s">
        <v>776</v>
      </c>
      <c r="B1175" s="791" t="s">
        <v>1024</v>
      </c>
      <c r="C1175" s="791" t="s">
        <v>1009</v>
      </c>
      <c r="D1175" s="792" t="s">
        <v>779</v>
      </c>
      <c r="E1175" s="793" t="s">
        <v>662</v>
      </c>
      <c r="F1175" s="793" t="s">
        <v>836</v>
      </c>
      <c r="G1175" s="793" t="s">
        <v>799</v>
      </c>
      <c r="H1175" s="793" t="s">
        <v>800</v>
      </c>
      <c r="I1175" s="794">
        <v>0.87704532032905336</v>
      </c>
      <c r="J1175" s="794">
        <v>798.8940866960279</v>
      </c>
      <c r="K1175" s="771"/>
    </row>
    <row r="1176" spans="1:11" ht="18.75" customHeight="1" outlineLevel="2">
      <c r="A1176" s="791" t="s">
        <v>776</v>
      </c>
      <c r="B1176" s="791" t="s">
        <v>1024</v>
      </c>
      <c r="C1176" s="791" t="s">
        <v>1009</v>
      </c>
      <c r="D1176" s="792" t="s">
        <v>779</v>
      </c>
      <c r="E1176" s="793" t="s">
        <v>662</v>
      </c>
      <c r="F1176" s="793" t="s">
        <v>837</v>
      </c>
      <c r="G1176" s="793" t="s">
        <v>799</v>
      </c>
      <c r="H1176" s="793" t="s">
        <v>800</v>
      </c>
      <c r="I1176" s="794">
        <v>0.48057823645898345</v>
      </c>
      <c r="J1176" s="794">
        <v>637.64921600996877</v>
      </c>
      <c r="K1176" s="771"/>
    </row>
    <row r="1177" spans="1:11" ht="18.75" customHeight="1" outlineLevel="2">
      <c r="A1177" s="791" t="s">
        <v>776</v>
      </c>
      <c r="B1177" s="791" t="s">
        <v>1024</v>
      </c>
      <c r="C1177" s="791" t="s">
        <v>1009</v>
      </c>
      <c r="D1177" s="792" t="s">
        <v>779</v>
      </c>
      <c r="E1177" s="793" t="s">
        <v>662</v>
      </c>
      <c r="F1177" s="793" t="s">
        <v>838</v>
      </c>
      <c r="G1177" s="793" t="s">
        <v>799</v>
      </c>
      <c r="H1177" s="793" t="s">
        <v>800</v>
      </c>
      <c r="I1177" s="794">
        <v>0.11783767142957073</v>
      </c>
      <c r="J1177" s="794">
        <v>107.15204737313535</v>
      </c>
      <c r="K1177" s="771"/>
    </row>
    <row r="1178" spans="1:11" ht="18.75" customHeight="1" outlineLevel="2">
      <c r="A1178" s="791" t="s">
        <v>776</v>
      </c>
      <c r="B1178" s="791" t="s">
        <v>1024</v>
      </c>
      <c r="C1178" s="791" t="s">
        <v>1009</v>
      </c>
      <c r="D1178" s="792" t="s">
        <v>779</v>
      </c>
      <c r="E1178" s="793" t="s">
        <v>662</v>
      </c>
      <c r="F1178" s="793" t="s">
        <v>839</v>
      </c>
      <c r="G1178" s="793" t="s">
        <v>782</v>
      </c>
      <c r="H1178" s="793" t="s">
        <v>804</v>
      </c>
      <c r="I1178" s="794">
        <v>7.5191536588303035E-3</v>
      </c>
      <c r="J1178" s="794">
        <v>12.222949255327453</v>
      </c>
      <c r="K1178" s="771"/>
    </row>
    <row r="1179" spans="1:11" ht="18.75" customHeight="1" outlineLevel="2">
      <c r="A1179" s="791" t="s">
        <v>776</v>
      </c>
      <c r="B1179" s="791" t="s">
        <v>1024</v>
      </c>
      <c r="C1179" s="791" t="s">
        <v>1009</v>
      </c>
      <c r="D1179" s="792" t="s">
        <v>779</v>
      </c>
      <c r="E1179" s="793" t="s">
        <v>662</v>
      </c>
      <c r="F1179" s="793" t="s">
        <v>840</v>
      </c>
      <c r="G1179" s="793" t="s">
        <v>782</v>
      </c>
      <c r="H1179" s="793" t="s">
        <v>804</v>
      </c>
      <c r="I1179" s="794">
        <v>6.0086553207802518E-5</v>
      </c>
      <c r="J1179" s="794">
        <v>9.1233665442809461E-2</v>
      </c>
      <c r="K1179" s="771"/>
    </row>
    <row r="1180" spans="1:11" ht="18.75" customHeight="1" outlineLevel="2">
      <c r="A1180" s="791" t="s">
        <v>776</v>
      </c>
      <c r="B1180" s="791" t="s">
        <v>1024</v>
      </c>
      <c r="C1180" s="791" t="s">
        <v>1009</v>
      </c>
      <c r="D1180" s="792" t="s">
        <v>779</v>
      </c>
      <c r="E1180" s="793" t="s">
        <v>662</v>
      </c>
      <c r="F1180" s="793" t="s">
        <v>841</v>
      </c>
      <c r="G1180" s="793" t="s">
        <v>782</v>
      </c>
      <c r="H1180" s="793" t="s">
        <v>804</v>
      </c>
      <c r="I1180" s="794">
        <v>1.6246474755100763E-2</v>
      </c>
      <c r="J1180" s="794">
        <v>22.962289744908773</v>
      </c>
      <c r="K1180" s="771"/>
    </row>
    <row r="1181" spans="1:11" ht="18.75" customHeight="1" outlineLevel="2">
      <c r="A1181" s="791" t="s">
        <v>776</v>
      </c>
      <c r="B1181" s="791" t="s">
        <v>1024</v>
      </c>
      <c r="C1181" s="791" t="s">
        <v>1009</v>
      </c>
      <c r="D1181" s="792" t="s">
        <v>779</v>
      </c>
      <c r="E1181" s="793" t="s">
        <v>662</v>
      </c>
      <c r="F1181" s="793" t="s">
        <v>842</v>
      </c>
      <c r="G1181" s="793" t="s">
        <v>782</v>
      </c>
      <c r="H1181" s="793" t="s">
        <v>804</v>
      </c>
      <c r="I1181" s="794">
        <v>1.3257649778568126E-2</v>
      </c>
      <c r="J1181" s="794">
        <v>21.618614797663788</v>
      </c>
      <c r="K1181" s="771"/>
    </row>
    <row r="1182" spans="1:11" ht="18.75" customHeight="1" outlineLevel="2">
      <c r="A1182" s="791" t="s">
        <v>776</v>
      </c>
      <c r="B1182" s="791" t="s">
        <v>1024</v>
      </c>
      <c r="C1182" s="791" t="s">
        <v>1009</v>
      </c>
      <c r="D1182" s="792" t="s">
        <v>779</v>
      </c>
      <c r="E1182" s="793" t="s">
        <v>662</v>
      </c>
      <c r="F1182" s="793" t="s">
        <v>843</v>
      </c>
      <c r="G1182" s="793" t="s">
        <v>782</v>
      </c>
      <c r="H1182" s="793" t="s">
        <v>804</v>
      </c>
      <c r="I1182" s="794">
        <v>2.9648233951937861E-2</v>
      </c>
      <c r="J1182" s="794">
        <v>43.144100901897822</v>
      </c>
      <c r="K1182" s="771"/>
    </row>
    <row r="1183" spans="1:11" ht="18.75" customHeight="1" outlineLevel="2">
      <c r="A1183" s="791" t="s">
        <v>776</v>
      </c>
      <c r="B1183" s="791" t="s">
        <v>1024</v>
      </c>
      <c r="C1183" s="791" t="s">
        <v>1009</v>
      </c>
      <c r="D1183" s="792" t="s">
        <v>779</v>
      </c>
      <c r="E1183" s="793" t="s">
        <v>662</v>
      </c>
      <c r="F1183" s="793" t="s">
        <v>844</v>
      </c>
      <c r="G1183" s="793" t="s">
        <v>782</v>
      </c>
      <c r="H1183" s="793" t="s">
        <v>804</v>
      </c>
      <c r="I1183" s="794">
        <v>1.2862176382566447E-2</v>
      </c>
      <c r="J1183" s="794">
        <v>18.166858227440532</v>
      </c>
      <c r="K1183" s="771"/>
    </row>
    <row r="1184" spans="1:11" ht="18.75" customHeight="1" outlineLevel="2">
      <c r="A1184" s="791" t="s">
        <v>776</v>
      </c>
      <c r="B1184" s="791" t="s">
        <v>1024</v>
      </c>
      <c r="C1184" s="791" t="s">
        <v>1009</v>
      </c>
      <c r="D1184" s="792" t="s">
        <v>779</v>
      </c>
      <c r="E1184" s="793" t="s">
        <v>662</v>
      </c>
      <c r="F1184" s="793" t="s">
        <v>845</v>
      </c>
      <c r="G1184" s="793" t="s">
        <v>782</v>
      </c>
      <c r="H1184" s="793" t="s">
        <v>804</v>
      </c>
      <c r="I1184" s="794">
        <v>7.0049770424545602E-4</v>
      </c>
      <c r="J1184" s="794">
        <v>0.94682334318577455</v>
      </c>
      <c r="K1184" s="771"/>
    </row>
    <row r="1185" spans="1:11" ht="18.75" customHeight="1" outlineLevel="2">
      <c r="A1185" s="791" t="s">
        <v>776</v>
      </c>
      <c r="B1185" s="791" t="s">
        <v>1024</v>
      </c>
      <c r="C1185" s="791" t="s">
        <v>1009</v>
      </c>
      <c r="D1185" s="792" t="s">
        <v>779</v>
      </c>
      <c r="E1185" s="793" t="s">
        <v>662</v>
      </c>
      <c r="F1185" s="793" t="s">
        <v>846</v>
      </c>
      <c r="G1185" s="793" t="s">
        <v>782</v>
      </c>
      <c r="H1185" s="793" t="s">
        <v>804</v>
      </c>
      <c r="I1185" s="794">
        <v>2.4376250337620194E-2</v>
      </c>
      <c r="J1185" s="794">
        <v>38.017667656242594</v>
      </c>
      <c r="K1185" s="771"/>
    </row>
    <row r="1186" spans="1:11" ht="18.75" customHeight="1" outlineLevel="2">
      <c r="A1186" s="791" t="s">
        <v>776</v>
      </c>
      <c r="B1186" s="791" t="s">
        <v>1024</v>
      </c>
      <c r="C1186" s="791" t="s">
        <v>1009</v>
      </c>
      <c r="D1186" s="792" t="s">
        <v>779</v>
      </c>
      <c r="E1186" s="793" t="s">
        <v>662</v>
      </c>
      <c r="F1186" s="793" t="s">
        <v>847</v>
      </c>
      <c r="G1186" s="793" t="s">
        <v>782</v>
      </c>
      <c r="H1186" s="793" t="s">
        <v>804</v>
      </c>
      <c r="I1186" s="794">
        <v>1.1616812758787677E-2</v>
      </c>
      <c r="J1186" s="794">
        <v>14.10006625894259</v>
      </c>
      <c r="K1186" s="771"/>
    </row>
    <row r="1187" spans="1:11" ht="18.75" customHeight="1" outlineLevel="2">
      <c r="A1187" s="791" t="s">
        <v>776</v>
      </c>
      <c r="B1187" s="791" t="s">
        <v>1024</v>
      </c>
      <c r="C1187" s="791" t="s">
        <v>1009</v>
      </c>
      <c r="D1187" s="792" t="s">
        <v>779</v>
      </c>
      <c r="E1187" s="793" t="s">
        <v>662</v>
      </c>
      <c r="F1187" s="793" t="s">
        <v>848</v>
      </c>
      <c r="G1187" s="793" t="s">
        <v>782</v>
      </c>
      <c r="H1187" s="793" t="s">
        <v>804</v>
      </c>
      <c r="I1187" s="794">
        <v>5.4917225119603799E-2</v>
      </c>
      <c r="J1187" s="794">
        <v>79.220506531121359</v>
      </c>
      <c r="K1187" s="771"/>
    </row>
    <row r="1188" spans="1:11" ht="18.75" customHeight="1" outlineLevel="2">
      <c r="A1188" s="791" t="s">
        <v>776</v>
      </c>
      <c r="B1188" s="791" t="s">
        <v>1024</v>
      </c>
      <c r="C1188" s="791" t="s">
        <v>1009</v>
      </c>
      <c r="D1188" s="792" t="s">
        <v>779</v>
      </c>
      <c r="E1188" s="793" t="s">
        <v>662</v>
      </c>
      <c r="F1188" s="793" t="s">
        <v>849</v>
      </c>
      <c r="G1188" s="793" t="s">
        <v>782</v>
      </c>
      <c r="H1188" s="793" t="s">
        <v>804</v>
      </c>
      <c r="I1188" s="794">
        <v>2.7838453494875015E-2</v>
      </c>
      <c r="J1188" s="794">
        <v>38.043870567330906</v>
      </c>
      <c r="K1188" s="771"/>
    </row>
    <row r="1189" spans="1:11" ht="18.75" customHeight="1" outlineLevel="2">
      <c r="A1189" s="791" t="s">
        <v>776</v>
      </c>
      <c r="B1189" s="791" t="s">
        <v>1024</v>
      </c>
      <c r="C1189" s="791" t="s">
        <v>1009</v>
      </c>
      <c r="D1189" s="792" t="s">
        <v>779</v>
      </c>
      <c r="E1189" s="793" t="s">
        <v>662</v>
      </c>
      <c r="F1189" s="793" t="s">
        <v>850</v>
      </c>
      <c r="G1189" s="793" t="s">
        <v>782</v>
      </c>
      <c r="H1189" s="793" t="s">
        <v>804</v>
      </c>
      <c r="I1189" s="794">
        <v>2.199385104797928E-3</v>
      </c>
      <c r="J1189" s="794">
        <v>3.0643838458880119</v>
      </c>
      <c r="K1189" s="771"/>
    </row>
    <row r="1190" spans="1:11" ht="18.75" customHeight="1" outlineLevel="2">
      <c r="A1190" s="791" t="s">
        <v>776</v>
      </c>
      <c r="B1190" s="791" t="s">
        <v>1024</v>
      </c>
      <c r="C1190" s="791" t="s">
        <v>1009</v>
      </c>
      <c r="D1190" s="792" t="s">
        <v>779</v>
      </c>
      <c r="E1190" s="793" t="s">
        <v>662</v>
      </c>
      <c r="F1190" s="793" t="s">
        <v>851</v>
      </c>
      <c r="G1190" s="793" t="s">
        <v>782</v>
      </c>
      <c r="H1190" s="793" t="s">
        <v>804</v>
      </c>
      <c r="I1190" s="794">
        <v>3.6131268490356317E-3</v>
      </c>
      <c r="J1190" s="794">
        <v>5.1458682292490749</v>
      </c>
      <c r="K1190" s="771"/>
    </row>
    <row r="1191" spans="1:11" ht="18.75" customHeight="1" outlineLevel="2">
      <c r="A1191" s="791" t="s">
        <v>776</v>
      </c>
      <c r="B1191" s="791" t="s">
        <v>1024</v>
      </c>
      <c r="C1191" s="791" t="s">
        <v>1009</v>
      </c>
      <c r="D1191" s="792" t="s">
        <v>779</v>
      </c>
      <c r="E1191" s="793" t="s">
        <v>662</v>
      </c>
      <c r="F1191" s="793" t="s">
        <v>852</v>
      </c>
      <c r="G1191" s="793" t="s">
        <v>782</v>
      </c>
      <c r="H1191" s="793" t="s">
        <v>804</v>
      </c>
      <c r="I1191" s="794">
        <v>1.5811483604226382E-3</v>
      </c>
      <c r="J1191" s="794">
        <v>4.5982548458557497</v>
      </c>
      <c r="K1191" s="771"/>
    </row>
    <row r="1192" spans="1:11" ht="18.75" customHeight="1" outlineLevel="2">
      <c r="A1192" s="791" t="s">
        <v>776</v>
      </c>
      <c r="B1192" s="791" t="s">
        <v>1024</v>
      </c>
      <c r="C1192" s="791" t="s">
        <v>1009</v>
      </c>
      <c r="D1192" s="792" t="s">
        <v>779</v>
      </c>
      <c r="E1192" s="793" t="s">
        <v>662</v>
      </c>
      <c r="F1192" s="793" t="s">
        <v>853</v>
      </c>
      <c r="G1192" s="793" t="s">
        <v>782</v>
      </c>
      <c r="H1192" s="793" t="s">
        <v>804</v>
      </c>
      <c r="I1192" s="794">
        <v>1.2730187419729361E-3</v>
      </c>
      <c r="J1192" s="794">
        <v>10.906266464677913</v>
      </c>
      <c r="K1192" s="771"/>
    </row>
    <row r="1193" spans="1:11" ht="18.75" customHeight="1" outlineLevel="2">
      <c r="A1193" s="791" t="s">
        <v>776</v>
      </c>
      <c r="B1193" s="791" t="s">
        <v>1024</v>
      </c>
      <c r="C1193" s="791" t="s">
        <v>1009</v>
      </c>
      <c r="D1193" s="792" t="s">
        <v>779</v>
      </c>
      <c r="E1193" s="793" t="s">
        <v>662</v>
      </c>
      <c r="F1193" s="793" t="s">
        <v>854</v>
      </c>
      <c r="G1193" s="793" t="s">
        <v>782</v>
      </c>
      <c r="H1193" s="793" t="s">
        <v>804</v>
      </c>
      <c r="I1193" s="794">
        <v>1.7326593252255863E-2</v>
      </c>
      <c r="J1193" s="794">
        <v>26.005203831085932</v>
      </c>
      <c r="K1193" s="771"/>
    </row>
    <row r="1194" spans="1:11" ht="18.75" customHeight="1" outlineLevel="2">
      <c r="A1194" s="791" t="s">
        <v>776</v>
      </c>
      <c r="B1194" s="791" t="s">
        <v>1024</v>
      </c>
      <c r="C1194" s="791" t="s">
        <v>1009</v>
      </c>
      <c r="D1194" s="792" t="s">
        <v>779</v>
      </c>
      <c r="E1194" s="793" t="s">
        <v>662</v>
      </c>
      <c r="F1194" s="793" t="s">
        <v>855</v>
      </c>
      <c r="G1194" s="793" t="s">
        <v>782</v>
      </c>
      <c r="H1194" s="793" t="s">
        <v>804</v>
      </c>
      <c r="I1194" s="794">
        <v>1.2364538233106313E-2</v>
      </c>
      <c r="J1194" s="794">
        <v>18.124594251729906</v>
      </c>
      <c r="K1194" s="771"/>
    </row>
    <row r="1195" spans="1:11" ht="18.75" customHeight="1" outlineLevel="2">
      <c r="A1195" s="791" t="s">
        <v>776</v>
      </c>
      <c r="B1195" s="791" t="s">
        <v>1024</v>
      </c>
      <c r="C1195" s="791" t="s">
        <v>1009</v>
      </c>
      <c r="D1195" s="792" t="s">
        <v>779</v>
      </c>
      <c r="E1195" s="793" t="s">
        <v>662</v>
      </c>
      <c r="F1195" s="793" t="s">
        <v>856</v>
      </c>
      <c r="G1195" s="793" t="s">
        <v>782</v>
      </c>
      <c r="H1195" s="793" t="s">
        <v>804</v>
      </c>
      <c r="I1195" s="794">
        <v>4.8582255011738271E-3</v>
      </c>
      <c r="J1195" s="794">
        <v>5.9387825587166274</v>
      </c>
      <c r="K1195" s="771"/>
    </row>
    <row r="1196" spans="1:11" ht="18.75" customHeight="1" outlineLevel="2">
      <c r="A1196" s="791" t="s">
        <v>776</v>
      </c>
      <c r="B1196" s="791" t="s">
        <v>1024</v>
      </c>
      <c r="C1196" s="791" t="s">
        <v>1009</v>
      </c>
      <c r="D1196" s="792" t="s">
        <v>779</v>
      </c>
      <c r="E1196" s="793" t="s">
        <v>662</v>
      </c>
      <c r="F1196" s="793" t="s">
        <v>857</v>
      </c>
      <c r="G1196" s="793" t="s">
        <v>782</v>
      </c>
      <c r="H1196" s="793" t="s">
        <v>804</v>
      </c>
      <c r="I1196" s="794">
        <v>4.0405112014180837E-3</v>
      </c>
      <c r="J1196" s="794">
        <v>4.3394815346680451</v>
      </c>
      <c r="K1196" s="771"/>
    </row>
    <row r="1197" spans="1:11" ht="18.75" customHeight="1" outlineLevel="2">
      <c r="A1197" s="791" t="s">
        <v>776</v>
      </c>
      <c r="B1197" s="791" t="s">
        <v>1024</v>
      </c>
      <c r="C1197" s="791" t="s">
        <v>1009</v>
      </c>
      <c r="D1197" s="792" t="s">
        <v>779</v>
      </c>
      <c r="E1197" s="793" t="s">
        <v>662</v>
      </c>
      <c r="F1197" s="793" t="s">
        <v>858</v>
      </c>
      <c r="G1197" s="793" t="s">
        <v>785</v>
      </c>
      <c r="H1197" s="793" t="s">
        <v>727</v>
      </c>
      <c r="I1197" s="794">
        <v>3.8015188216821705E-2</v>
      </c>
      <c r="J1197" s="794">
        <v>75.952666875907013</v>
      </c>
      <c r="K1197" s="771"/>
    </row>
    <row r="1198" spans="1:11" ht="18.75" customHeight="1" outlineLevel="2">
      <c r="A1198" s="791" t="s">
        <v>776</v>
      </c>
      <c r="B1198" s="791" t="s">
        <v>1024</v>
      </c>
      <c r="C1198" s="791" t="s">
        <v>1009</v>
      </c>
      <c r="D1198" s="792" t="s">
        <v>779</v>
      </c>
      <c r="E1198" s="793" t="s">
        <v>662</v>
      </c>
      <c r="F1198" s="793" t="s">
        <v>859</v>
      </c>
      <c r="G1198" s="793" t="s">
        <v>785</v>
      </c>
      <c r="H1198" s="793" t="s">
        <v>727</v>
      </c>
      <c r="I1198" s="794">
        <v>2.7320480032588766E-2</v>
      </c>
      <c r="J1198" s="794">
        <v>287.44290743663186</v>
      </c>
      <c r="K1198" s="771"/>
    </row>
    <row r="1199" spans="1:11" ht="18.75" customHeight="1" outlineLevel="2">
      <c r="A1199" s="791" t="s">
        <v>776</v>
      </c>
      <c r="B1199" s="791" t="s">
        <v>1024</v>
      </c>
      <c r="C1199" s="791" t="s">
        <v>1009</v>
      </c>
      <c r="D1199" s="792" t="s">
        <v>779</v>
      </c>
      <c r="E1199" s="793" t="s">
        <v>662</v>
      </c>
      <c r="F1199" s="793" t="s">
        <v>860</v>
      </c>
      <c r="G1199" s="793" t="s">
        <v>785</v>
      </c>
      <c r="H1199" s="793" t="s">
        <v>727</v>
      </c>
      <c r="I1199" s="794">
        <v>2.2674164066607605E-2</v>
      </c>
      <c r="J1199" s="794">
        <v>61.766283815239106</v>
      </c>
      <c r="K1199" s="771"/>
    </row>
    <row r="1200" spans="1:11" ht="18.75" customHeight="1" outlineLevel="2">
      <c r="A1200" s="791" t="s">
        <v>776</v>
      </c>
      <c r="B1200" s="791" t="s">
        <v>1024</v>
      </c>
      <c r="C1200" s="791" t="s">
        <v>1009</v>
      </c>
      <c r="D1200" s="792" t="s">
        <v>779</v>
      </c>
      <c r="E1200" s="793" t="s">
        <v>662</v>
      </c>
      <c r="F1200" s="793" t="s">
        <v>861</v>
      </c>
      <c r="G1200" s="793" t="s">
        <v>785</v>
      </c>
      <c r="H1200" s="793" t="s">
        <v>727</v>
      </c>
      <c r="I1200" s="794">
        <v>8.7218637779831465E-2</v>
      </c>
      <c r="J1200" s="794">
        <v>116.01408024066738</v>
      </c>
      <c r="K1200" s="771"/>
    </row>
    <row r="1201" spans="1:11" ht="18.75" customHeight="1" outlineLevel="2">
      <c r="A1201" s="791" t="s">
        <v>776</v>
      </c>
      <c r="B1201" s="791" t="s">
        <v>1024</v>
      </c>
      <c r="C1201" s="791" t="s">
        <v>1009</v>
      </c>
      <c r="D1201" s="792" t="s">
        <v>779</v>
      </c>
      <c r="E1201" s="793" t="s">
        <v>662</v>
      </c>
      <c r="F1201" s="793" t="s">
        <v>862</v>
      </c>
      <c r="G1201" s="793" t="s">
        <v>785</v>
      </c>
      <c r="H1201" s="793" t="s">
        <v>727</v>
      </c>
      <c r="I1201" s="794">
        <v>2.4598630015294663E-3</v>
      </c>
      <c r="J1201" s="794">
        <v>5.323221450667118</v>
      </c>
      <c r="K1201" s="771"/>
    </row>
    <row r="1202" spans="1:11" ht="18.75" customHeight="1" outlineLevel="2">
      <c r="A1202" s="791" t="s">
        <v>776</v>
      </c>
      <c r="B1202" s="791" t="s">
        <v>1024</v>
      </c>
      <c r="C1202" s="791" t="s">
        <v>1009</v>
      </c>
      <c r="D1202" s="792" t="s">
        <v>779</v>
      </c>
      <c r="E1202" s="793" t="s">
        <v>662</v>
      </c>
      <c r="F1202" s="793" t="s">
        <v>863</v>
      </c>
      <c r="G1202" s="793" t="s">
        <v>785</v>
      </c>
      <c r="H1202" s="793" t="s">
        <v>727</v>
      </c>
      <c r="I1202" s="794">
        <v>3.5299279372718894E-3</v>
      </c>
      <c r="J1202" s="794">
        <v>5.2217128914603874</v>
      </c>
      <c r="K1202" s="771"/>
    </row>
    <row r="1203" spans="1:11" ht="18.75" customHeight="1" outlineLevel="2">
      <c r="A1203" s="791" t="s">
        <v>776</v>
      </c>
      <c r="B1203" s="791" t="s">
        <v>1024</v>
      </c>
      <c r="C1203" s="791" t="s">
        <v>1009</v>
      </c>
      <c r="D1203" s="792" t="s">
        <v>779</v>
      </c>
      <c r="E1203" s="793" t="s">
        <v>662</v>
      </c>
      <c r="F1203" s="793" t="s">
        <v>864</v>
      </c>
      <c r="G1203" s="793" t="s">
        <v>785</v>
      </c>
      <c r="H1203" s="793" t="s">
        <v>727</v>
      </c>
      <c r="I1203" s="794">
        <v>1.7914969923385404E-3</v>
      </c>
      <c r="J1203" s="794">
        <v>25.385668245023108</v>
      </c>
      <c r="K1203" s="771"/>
    </row>
    <row r="1204" spans="1:11" ht="18.75" customHeight="1" outlineLevel="2">
      <c r="A1204" s="791" t="s">
        <v>776</v>
      </c>
      <c r="B1204" s="791" t="s">
        <v>1024</v>
      </c>
      <c r="C1204" s="791" t="s">
        <v>1009</v>
      </c>
      <c r="D1204" s="792" t="s">
        <v>779</v>
      </c>
      <c r="E1204" s="793" t="s">
        <v>662</v>
      </c>
      <c r="F1204" s="793" t="s">
        <v>865</v>
      </c>
      <c r="G1204" s="793" t="s">
        <v>813</v>
      </c>
      <c r="H1204" s="793" t="s">
        <v>814</v>
      </c>
      <c r="I1204" s="794">
        <v>0.78123248858742023</v>
      </c>
      <c r="J1204" s="794">
        <v>833.32660391268621</v>
      </c>
      <c r="K1204" s="771"/>
    </row>
    <row r="1205" spans="1:11" ht="18.75" customHeight="1" outlineLevel="2">
      <c r="A1205" s="791" t="s">
        <v>776</v>
      </c>
      <c r="B1205" s="791" t="s">
        <v>1024</v>
      </c>
      <c r="C1205" s="791" t="s">
        <v>1009</v>
      </c>
      <c r="D1205" s="792" t="s">
        <v>779</v>
      </c>
      <c r="E1205" s="793" t="s">
        <v>662</v>
      </c>
      <c r="F1205" s="793" t="s">
        <v>866</v>
      </c>
      <c r="G1205" s="793" t="s">
        <v>813</v>
      </c>
      <c r="H1205" s="793" t="s">
        <v>814</v>
      </c>
      <c r="I1205" s="794">
        <v>1.1330571735524992</v>
      </c>
      <c r="J1205" s="794">
        <v>1533.3023453586834</v>
      </c>
      <c r="K1205" s="771"/>
    </row>
    <row r="1206" spans="1:11" ht="18.75" customHeight="1" outlineLevel="2">
      <c r="A1206" s="791" t="s">
        <v>776</v>
      </c>
      <c r="B1206" s="791" t="s">
        <v>1024</v>
      </c>
      <c r="C1206" s="791" t="s">
        <v>1009</v>
      </c>
      <c r="D1206" s="792" t="s">
        <v>779</v>
      </c>
      <c r="E1206" s="793" t="s">
        <v>662</v>
      </c>
      <c r="F1206" s="793" t="s">
        <v>867</v>
      </c>
      <c r="G1206" s="793" t="s">
        <v>813</v>
      </c>
      <c r="H1206" s="793" t="s">
        <v>814</v>
      </c>
      <c r="I1206" s="794">
        <v>6.7252142306202189E-2</v>
      </c>
      <c r="J1206" s="794">
        <v>71.709208109094234</v>
      </c>
      <c r="K1206" s="771"/>
    </row>
    <row r="1207" spans="1:11" ht="18.75" customHeight="1" outlineLevel="2">
      <c r="A1207" s="791" t="s">
        <v>776</v>
      </c>
      <c r="B1207" s="791" t="s">
        <v>1024</v>
      </c>
      <c r="C1207" s="791" t="s">
        <v>1009</v>
      </c>
      <c r="D1207" s="792" t="s">
        <v>779</v>
      </c>
      <c r="E1207" s="793" t="s">
        <v>662</v>
      </c>
      <c r="F1207" s="793" t="s">
        <v>868</v>
      </c>
      <c r="G1207" s="793" t="s">
        <v>813</v>
      </c>
      <c r="H1207" s="793" t="s">
        <v>814</v>
      </c>
      <c r="I1207" s="794">
        <v>0.72206512671631051</v>
      </c>
      <c r="J1207" s="794">
        <v>909.49955447538775</v>
      </c>
      <c r="K1207" s="771"/>
    </row>
    <row r="1208" spans="1:11" ht="18.75" customHeight="1" outlineLevel="2">
      <c r="A1208" s="791" t="s">
        <v>776</v>
      </c>
      <c r="B1208" s="791" t="s">
        <v>1024</v>
      </c>
      <c r="C1208" s="791" t="s">
        <v>1009</v>
      </c>
      <c r="D1208" s="792" t="s">
        <v>779</v>
      </c>
      <c r="E1208" s="793" t="s">
        <v>662</v>
      </c>
      <c r="F1208" s="793" t="s">
        <v>869</v>
      </c>
      <c r="G1208" s="793" t="s">
        <v>813</v>
      </c>
      <c r="H1208" s="793" t="s">
        <v>814</v>
      </c>
      <c r="I1208" s="794">
        <v>3.6636012409071686E-3</v>
      </c>
      <c r="J1208" s="794">
        <v>4.6322289269277617</v>
      </c>
      <c r="K1208" s="771"/>
    </row>
    <row r="1209" spans="1:11" ht="18.75" customHeight="1" outlineLevel="2">
      <c r="A1209" s="791" t="s">
        <v>776</v>
      </c>
      <c r="B1209" s="791" t="s">
        <v>1024</v>
      </c>
      <c r="C1209" s="791" t="s">
        <v>1009</v>
      </c>
      <c r="D1209" s="792" t="s">
        <v>779</v>
      </c>
      <c r="E1209" s="793" t="s">
        <v>662</v>
      </c>
      <c r="F1209" s="793" t="s">
        <v>870</v>
      </c>
      <c r="G1209" s="793" t="s">
        <v>813</v>
      </c>
      <c r="H1209" s="793" t="s">
        <v>814</v>
      </c>
      <c r="I1209" s="794">
        <v>2.5155339469197756E-2</v>
      </c>
      <c r="J1209" s="794">
        <v>35.515129523501962</v>
      </c>
      <c r="K1209" s="771"/>
    </row>
    <row r="1210" spans="1:11" ht="18.75" customHeight="1" outlineLevel="2">
      <c r="A1210" s="791" t="s">
        <v>776</v>
      </c>
      <c r="B1210" s="791" t="s">
        <v>1024</v>
      </c>
      <c r="C1210" s="791" t="s">
        <v>1009</v>
      </c>
      <c r="D1210" s="792" t="s">
        <v>779</v>
      </c>
      <c r="E1210" s="793" t="s">
        <v>662</v>
      </c>
      <c r="F1210" s="793" t="s">
        <v>871</v>
      </c>
      <c r="G1210" s="793" t="s">
        <v>813</v>
      </c>
      <c r="H1210" s="793" t="s">
        <v>814</v>
      </c>
      <c r="I1210" s="794">
        <v>6.9774353048686613E-3</v>
      </c>
      <c r="J1210" s="794">
        <v>8.8372475379550384</v>
      </c>
      <c r="K1210" s="771"/>
    </row>
    <row r="1211" spans="1:11" ht="18.75" customHeight="1" outlineLevel="2">
      <c r="A1211" s="791" t="s">
        <v>776</v>
      </c>
      <c r="B1211" s="791" t="s">
        <v>1024</v>
      </c>
      <c r="C1211" s="791" t="s">
        <v>1009</v>
      </c>
      <c r="D1211" s="792" t="s">
        <v>779</v>
      </c>
      <c r="E1211" s="793" t="s">
        <v>662</v>
      </c>
      <c r="F1211" s="793" t="s">
        <v>872</v>
      </c>
      <c r="G1211" s="793" t="s">
        <v>813</v>
      </c>
      <c r="H1211" s="793" t="s">
        <v>814</v>
      </c>
      <c r="I1211" s="794">
        <v>0.85968627472858161</v>
      </c>
      <c r="J1211" s="794">
        <v>1457.3499883112574</v>
      </c>
      <c r="K1211" s="771"/>
    </row>
    <row r="1212" spans="1:11" ht="18.75" customHeight="1" outlineLevel="2">
      <c r="A1212" s="791" t="s">
        <v>776</v>
      </c>
      <c r="B1212" s="791" t="s">
        <v>1024</v>
      </c>
      <c r="C1212" s="791" t="s">
        <v>1009</v>
      </c>
      <c r="D1212" s="792" t="s">
        <v>779</v>
      </c>
      <c r="E1212" s="793" t="s">
        <v>662</v>
      </c>
      <c r="F1212" s="793" t="s">
        <v>873</v>
      </c>
      <c r="G1212" s="793" t="s">
        <v>813</v>
      </c>
      <c r="H1212" s="793" t="s">
        <v>814</v>
      </c>
      <c r="I1212" s="794">
        <v>0.17813990914679759</v>
      </c>
      <c r="J1212" s="794">
        <v>94.311663770285534</v>
      </c>
      <c r="K1212" s="771"/>
    </row>
    <row r="1213" spans="1:11" ht="18.75" customHeight="1" outlineLevel="2">
      <c r="A1213" s="791" t="s">
        <v>776</v>
      </c>
      <c r="B1213" s="791" t="s">
        <v>1024</v>
      </c>
      <c r="C1213" s="791" t="s">
        <v>1009</v>
      </c>
      <c r="D1213" s="792" t="s">
        <v>779</v>
      </c>
      <c r="E1213" s="793" t="s">
        <v>662</v>
      </c>
      <c r="F1213" s="793" t="s">
        <v>874</v>
      </c>
      <c r="G1213" s="793" t="s">
        <v>813</v>
      </c>
      <c r="H1213" s="793" t="s">
        <v>814</v>
      </c>
      <c r="I1213" s="794">
        <v>1.0891579791555259</v>
      </c>
      <c r="J1213" s="794">
        <v>576.55922286194561</v>
      </c>
      <c r="K1213" s="771"/>
    </row>
    <row r="1214" spans="1:11" ht="18.75" customHeight="1" outlineLevel="2">
      <c r="A1214" s="791" t="s">
        <v>776</v>
      </c>
      <c r="B1214" s="791" t="s">
        <v>1024</v>
      </c>
      <c r="C1214" s="791" t="s">
        <v>1009</v>
      </c>
      <c r="D1214" s="792" t="s">
        <v>779</v>
      </c>
      <c r="E1214" s="793" t="s">
        <v>662</v>
      </c>
      <c r="F1214" s="793" t="s">
        <v>875</v>
      </c>
      <c r="G1214" s="793" t="s">
        <v>813</v>
      </c>
      <c r="H1214" s="793" t="s">
        <v>814</v>
      </c>
      <c r="I1214" s="794">
        <v>0.11640453258766723</v>
      </c>
      <c r="J1214" s="794">
        <v>169.25124308516229</v>
      </c>
      <c r="K1214" s="771"/>
    </row>
    <row r="1215" spans="1:11" ht="18.75" customHeight="1" outlineLevel="2">
      <c r="A1215" s="791" t="s">
        <v>776</v>
      </c>
      <c r="B1215" s="791" t="s">
        <v>1024</v>
      </c>
      <c r="C1215" s="791" t="s">
        <v>1009</v>
      </c>
      <c r="D1215" s="792" t="s">
        <v>779</v>
      </c>
      <c r="E1215" s="793" t="s">
        <v>662</v>
      </c>
      <c r="F1215" s="793" t="s">
        <v>876</v>
      </c>
      <c r="G1215" s="793" t="s">
        <v>813</v>
      </c>
      <c r="H1215" s="793" t="s">
        <v>814</v>
      </c>
      <c r="I1215" s="794">
        <v>0.12939544615112686</v>
      </c>
      <c r="J1215" s="794">
        <v>194.80547724506471</v>
      </c>
      <c r="K1215" s="771"/>
    </row>
    <row r="1216" spans="1:11" ht="18.75" customHeight="1" outlineLevel="2">
      <c r="A1216" s="791" t="s">
        <v>776</v>
      </c>
      <c r="B1216" s="791" t="s">
        <v>1024</v>
      </c>
      <c r="C1216" s="791" t="s">
        <v>1009</v>
      </c>
      <c r="D1216" s="792" t="s">
        <v>779</v>
      </c>
      <c r="E1216" s="793" t="s">
        <v>662</v>
      </c>
      <c r="F1216" s="793" t="s">
        <v>877</v>
      </c>
      <c r="G1216" s="793" t="s">
        <v>813</v>
      </c>
      <c r="H1216" s="793" t="s">
        <v>814</v>
      </c>
      <c r="I1216" s="794">
        <v>0.17071597381572259</v>
      </c>
      <c r="J1216" s="794">
        <v>220.5005975383489</v>
      </c>
      <c r="K1216" s="771"/>
    </row>
    <row r="1217" spans="1:11" ht="18.75" customHeight="1" outlineLevel="2">
      <c r="A1217" s="791" t="s">
        <v>776</v>
      </c>
      <c r="B1217" s="791" t="s">
        <v>1024</v>
      </c>
      <c r="C1217" s="791" t="s">
        <v>1009</v>
      </c>
      <c r="D1217" s="792" t="s">
        <v>779</v>
      </c>
      <c r="E1217" s="793" t="s">
        <v>662</v>
      </c>
      <c r="F1217" s="793" t="s">
        <v>878</v>
      </c>
      <c r="G1217" s="793" t="s">
        <v>813</v>
      </c>
      <c r="H1217" s="793" t="s">
        <v>814</v>
      </c>
      <c r="I1217" s="794">
        <v>8.7110869897539606E-2</v>
      </c>
      <c r="J1217" s="794">
        <v>104.69237762804661</v>
      </c>
      <c r="K1217" s="771"/>
    </row>
    <row r="1218" spans="1:11" ht="18.75" customHeight="1" outlineLevel="2">
      <c r="A1218" s="791" t="s">
        <v>776</v>
      </c>
      <c r="B1218" s="791" t="s">
        <v>1024</v>
      </c>
      <c r="C1218" s="791" t="s">
        <v>1009</v>
      </c>
      <c r="D1218" s="792" t="s">
        <v>779</v>
      </c>
      <c r="E1218" s="793" t="s">
        <v>662</v>
      </c>
      <c r="F1218" s="793" t="s">
        <v>879</v>
      </c>
      <c r="G1218" s="793" t="s">
        <v>813</v>
      </c>
      <c r="H1218" s="793" t="s">
        <v>814</v>
      </c>
      <c r="I1218" s="794">
        <v>1.5567638140414499</v>
      </c>
      <c r="J1218" s="794">
        <v>2268.6757892373944</v>
      </c>
      <c r="K1218" s="771"/>
    </row>
    <row r="1219" spans="1:11" ht="18.75" customHeight="1" outlineLevel="2">
      <c r="A1219" s="791" t="s">
        <v>776</v>
      </c>
      <c r="B1219" s="791" t="s">
        <v>1024</v>
      </c>
      <c r="C1219" s="791" t="s">
        <v>1009</v>
      </c>
      <c r="D1219" s="792" t="s">
        <v>779</v>
      </c>
      <c r="E1219" s="793" t="s">
        <v>662</v>
      </c>
      <c r="F1219" s="793" t="s">
        <v>880</v>
      </c>
      <c r="G1219" s="793" t="s">
        <v>813</v>
      </c>
      <c r="H1219" s="793" t="s">
        <v>814</v>
      </c>
      <c r="I1219" s="794">
        <v>1.7580930731886595</v>
      </c>
      <c r="J1219" s="794">
        <v>2647.4146086275155</v>
      </c>
      <c r="K1219" s="771"/>
    </row>
    <row r="1220" spans="1:11" ht="18.75" customHeight="1" outlineLevel="2">
      <c r="A1220" s="791" t="s">
        <v>776</v>
      </c>
      <c r="B1220" s="791" t="s">
        <v>1024</v>
      </c>
      <c r="C1220" s="791" t="s">
        <v>1009</v>
      </c>
      <c r="D1220" s="792" t="s">
        <v>779</v>
      </c>
      <c r="E1220" s="793" t="s">
        <v>662</v>
      </c>
      <c r="F1220" s="793" t="s">
        <v>881</v>
      </c>
      <c r="G1220" s="793" t="s">
        <v>813</v>
      </c>
      <c r="H1220" s="793" t="s">
        <v>814</v>
      </c>
      <c r="I1220" s="794">
        <v>0.19672620290997719</v>
      </c>
      <c r="J1220" s="794">
        <v>442.04902030143614</v>
      </c>
      <c r="K1220" s="771"/>
    </row>
    <row r="1221" spans="1:11" ht="18.75" customHeight="1" outlineLevel="2">
      <c r="A1221" s="791" t="s">
        <v>776</v>
      </c>
      <c r="B1221" s="791" t="s">
        <v>1024</v>
      </c>
      <c r="C1221" s="791" t="s">
        <v>1009</v>
      </c>
      <c r="D1221" s="792" t="s">
        <v>779</v>
      </c>
      <c r="E1221" s="793" t="s">
        <v>662</v>
      </c>
      <c r="F1221" s="793" t="s">
        <v>882</v>
      </c>
      <c r="G1221" s="793" t="s">
        <v>813</v>
      </c>
      <c r="H1221" s="793" t="s">
        <v>814</v>
      </c>
      <c r="I1221" s="794">
        <v>5.4150124717350829</v>
      </c>
      <c r="J1221" s="794">
        <v>8546.0229308195958</v>
      </c>
      <c r="K1221" s="771"/>
    </row>
    <row r="1222" spans="1:11" ht="18.75" customHeight="1" outlineLevel="2">
      <c r="A1222" s="791" t="s">
        <v>776</v>
      </c>
      <c r="B1222" s="791" t="s">
        <v>1024</v>
      </c>
      <c r="C1222" s="791" t="s">
        <v>1009</v>
      </c>
      <c r="D1222" s="792" t="s">
        <v>779</v>
      </c>
      <c r="E1222" s="793" t="s">
        <v>662</v>
      </c>
      <c r="F1222" s="793" t="s">
        <v>883</v>
      </c>
      <c r="G1222" s="793" t="s">
        <v>813</v>
      </c>
      <c r="H1222" s="793" t="s">
        <v>814</v>
      </c>
      <c r="I1222" s="794">
        <v>7.0872745622614933E-2</v>
      </c>
      <c r="J1222" s="794">
        <v>80.643314899529599</v>
      </c>
      <c r="K1222" s="771"/>
    </row>
    <row r="1223" spans="1:11" ht="18.75" customHeight="1" outlineLevel="2">
      <c r="A1223" s="791" t="s">
        <v>776</v>
      </c>
      <c r="B1223" s="791" t="s">
        <v>1024</v>
      </c>
      <c r="C1223" s="791" t="s">
        <v>1009</v>
      </c>
      <c r="D1223" s="792" t="s">
        <v>779</v>
      </c>
      <c r="E1223" s="793" t="s">
        <v>662</v>
      </c>
      <c r="F1223" s="793" t="s">
        <v>884</v>
      </c>
      <c r="G1223" s="793" t="s">
        <v>813</v>
      </c>
      <c r="H1223" s="793" t="s">
        <v>814</v>
      </c>
      <c r="I1223" s="794">
        <v>0.22723603883535784</v>
      </c>
      <c r="J1223" s="794">
        <v>262.60505847004436</v>
      </c>
      <c r="K1223" s="771"/>
    </row>
    <row r="1224" spans="1:11" ht="18.75" customHeight="1" outlineLevel="2">
      <c r="A1224" s="791" t="s">
        <v>776</v>
      </c>
      <c r="B1224" s="791" t="s">
        <v>1024</v>
      </c>
      <c r="C1224" s="791" t="s">
        <v>1009</v>
      </c>
      <c r="D1224" s="792" t="s">
        <v>779</v>
      </c>
      <c r="E1224" s="793" t="s">
        <v>662</v>
      </c>
      <c r="F1224" s="793" t="s">
        <v>885</v>
      </c>
      <c r="G1224" s="793" t="s">
        <v>791</v>
      </c>
      <c r="H1224" s="793" t="s">
        <v>826</v>
      </c>
      <c r="I1224" s="794">
        <v>1.1791231203141003E-3</v>
      </c>
      <c r="J1224" s="794">
        <v>1.7341660386246764</v>
      </c>
      <c r="K1224" s="771"/>
    </row>
    <row r="1225" spans="1:11" ht="18.75" customHeight="1" outlineLevel="2">
      <c r="A1225" s="791" t="s">
        <v>776</v>
      </c>
      <c r="B1225" s="791" t="s">
        <v>1024</v>
      </c>
      <c r="C1225" s="791" t="s">
        <v>1009</v>
      </c>
      <c r="D1225" s="792" t="s">
        <v>779</v>
      </c>
      <c r="E1225" s="793" t="s">
        <v>662</v>
      </c>
      <c r="F1225" s="793" t="s">
        <v>886</v>
      </c>
      <c r="G1225" s="793" t="s">
        <v>791</v>
      </c>
      <c r="H1225" s="793" t="s">
        <v>826</v>
      </c>
      <c r="I1225" s="794">
        <v>1.5429166475971179E-3</v>
      </c>
      <c r="J1225" s="794">
        <v>6.7106015566547521</v>
      </c>
      <c r="K1225" s="771"/>
    </row>
    <row r="1226" spans="1:11" ht="18.75" customHeight="1" outlineLevel="2">
      <c r="A1226" s="791" t="s">
        <v>776</v>
      </c>
      <c r="B1226" s="791" t="s">
        <v>1024</v>
      </c>
      <c r="C1226" s="791" t="s">
        <v>1009</v>
      </c>
      <c r="D1226" s="792" t="s">
        <v>779</v>
      </c>
      <c r="E1226" s="793" t="s">
        <v>662</v>
      </c>
      <c r="F1226" s="793" t="s">
        <v>887</v>
      </c>
      <c r="G1226" s="793" t="s">
        <v>791</v>
      </c>
      <c r="H1226" s="793" t="s">
        <v>826</v>
      </c>
      <c r="I1226" s="794">
        <v>5.7503980285974019E-5</v>
      </c>
      <c r="J1226" s="794">
        <v>5.3830650855215129E-2</v>
      </c>
      <c r="K1226" s="771"/>
    </row>
    <row r="1227" spans="1:11" ht="18.75" customHeight="1" outlineLevel="2">
      <c r="A1227" s="791" t="s">
        <v>776</v>
      </c>
      <c r="B1227" s="791" t="s">
        <v>1024</v>
      </c>
      <c r="C1227" s="791" t="s">
        <v>1009</v>
      </c>
      <c r="D1227" s="792" t="s">
        <v>779</v>
      </c>
      <c r="E1227" s="793" t="s">
        <v>662</v>
      </c>
      <c r="F1227" s="793" t="s">
        <v>888</v>
      </c>
      <c r="G1227" s="793" t="s">
        <v>791</v>
      </c>
      <c r="H1227" s="793" t="s">
        <v>826</v>
      </c>
      <c r="I1227" s="794">
        <v>5.1580136985197554E-3</v>
      </c>
      <c r="J1227" s="794">
        <v>4.8189049617517687</v>
      </c>
      <c r="K1227" s="771"/>
    </row>
    <row r="1228" spans="1:11" ht="18.75" customHeight="1" outlineLevel="2">
      <c r="A1228" s="791" t="s">
        <v>776</v>
      </c>
      <c r="B1228" s="791" t="s">
        <v>1024</v>
      </c>
      <c r="C1228" s="791" t="s">
        <v>1009</v>
      </c>
      <c r="D1228" s="792" t="s">
        <v>779</v>
      </c>
      <c r="E1228" s="793" t="s">
        <v>662</v>
      </c>
      <c r="F1228" s="793" t="s">
        <v>889</v>
      </c>
      <c r="G1228" s="793" t="s">
        <v>791</v>
      </c>
      <c r="H1228" s="793" t="s">
        <v>826</v>
      </c>
      <c r="I1228" s="794">
        <v>9.9204225361383767E-4</v>
      </c>
      <c r="J1228" s="794">
        <v>1.4257481312519398</v>
      </c>
      <c r="K1228" s="771"/>
    </row>
    <row r="1229" spans="1:11" ht="18.75" customHeight="1" outlineLevel="2">
      <c r="A1229" s="791" t="s">
        <v>776</v>
      </c>
      <c r="B1229" s="791" t="s">
        <v>1024</v>
      </c>
      <c r="C1229" s="791" t="s">
        <v>1009</v>
      </c>
      <c r="D1229" s="792" t="s">
        <v>779</v>
      </c>
      <c r="E1229" s="793" t="s">
        <v>662</v>
      </c>
      <c r="F1229" s="793" t="s">
        <v>890</v>
      </c>
      <c r="G1229" s="793" t="s">
        <v>791</v>
      </c>
      <c r="H1229" s="793" t="s">
        <v>826</v>
      </c>
      <c r="I1229" s="794">
        <v>1.4172698753011246E-2</v>
      </c>
      <c r="J1229" s="794">
        <v>15.797210524544276</v>
      </c>
      <c r="K1229" s="771"/>
    </row>
    <row r="1230" spans="1:11" ht="18.75" customHeight="1" outlineLevel="2">
      <c r="A1230" s="791" t="s">
        <v>776</v>
      </c>
      <c r="B1230" s="791" t="s">
        <v>1024</v>
      </c>
      <c r="C1230" s="791" t="s">
        <v>1009</v>
      </c>
      <c r="D1230" s="792" t="s">
        <v>779</v>
      </c>
      <c r="E1230" s="793" t="s">
        <v>662</v>
      </c>
      <c r="F1230" s="793" t="s">
        <v>891</v>
      </c>
      <c r="G1230" s="793" t="s">
        <v>791</v>
      </c>
      <c r="H1230" s="793" t="s">
        <v>826</v>
      </c>
      <c r="I1230" s="794">
        <v>7.2539331428310344E-2</v>
      </c>
      <c r="J1230" s="794">
        <v>35.415722461082694</v>
      </c>
      <c r="K1230" s="771"/>
    </row>
    <row r="1231" spans="1:11" ht="18.75" customHeight="1" outlineLevel="2">
      <c r="A1231" s="791" t="s">
        <v>776</v>
      </c>
      <c r="B1231" s="791" t="s">
        <v>1024</v>
      </c>
      <c r="C1231" s="791" t="s">
        <v>1009</v>
      </c>
      <c r="D1231" s="792" t="s">
        <v>779</v>
      </c>
      <c r="E1231" s="793" t="s">
        <v>662</v>
      </c>
      <c r="F1231" s="793" t="s">
        <v>892</v>
      </c>
      <c r="G1231" s="793" t="s">
        <v>791</v>
      </c>
      <c r="H1231" s="793" t="s">
        <v>826</v>
      </c>
      <c r="I1231" s="794">
        <v>8.1687078594720706E-3</v>
      </c>
      <c r="J1231" s="794">
        <v>7.6316624031982832</v>
      </c>
      <c r="K1231" s="771"/>
    </row>
    <row r="1232" spans="1:11" ht="18.75" customHeight="1" outlineLevel="2">
      <c r="A1232" s="791" t="s">
        <v>776</v>
      </c>
      <c r="B1232" s="791" t="s">
        <v>1024</v>
      </c>
      <c r="C1232" s="791" t="s">
        <v>1009</v>
      </c>
      <c r="D1232" s="792" t="s">
        <v>779</v>
      </c>
      <c r="E1232" s="793" t="s">
        <v>662</v>
      </c>
      <c r="F1232" s="793" t="s">
        <v>893</v>
      </c>
      <c r="G1232" s="793" t="s">
        <v>791</v>
      </c>
      <c r="H1232" s="793" t="s">
        <v>826</v>
      </c>
      <c r="I1232" s="794">
        <v>1.0725504842487415E-2</v>
      </c>
      <c r="J1232" s="794">
        <v>10.890659404050057</v>
      </c>
      <c r="K1232" s="771"/>
    </row>
    <row r="1233" spans="1:11" ht="18.75" customHeight="1" outlineLevel="2">
      <c r="A1233" s="791" t="s">
        <v>776</v>
      </c>
      <c r="B1233" s="791" t="s">
        <v>1024</v>
      </c>
      <c r="C1233" s="791" t="s">
        <v>1009</v>
      </c>
      <c r="D1233" s="792" t="s">
        <v>779</v>
      </c>
      <c r="E1233" s="793" t="s">
        <v>662</v>
      </c>
      <c r="F1233" s="793" t="s">
        <v>894</v>
      </c>
      <c r="G1233" s="793" t="s">
        <v>791</v>
      </c>
      <c r="H1233" s="793" t="s">
        <v>826</v>
      </c>
      <c r="I1233" s="794">
        <v>1.2857350742016818E-3</v>
      </c>
      <c r="J1233" s="794">
        <v>11.638912792865021</v>
      </c>
      <c r="K1233" s="771"/>
    </row>
    <row r="1234" spans="1:11" ht="18.75" customHeight="1" outlineLevel="2">
      <c r="A1234" s="791" t="s">
        <v>776</v>
      </c>
      <c r="B1234" s="791" t="s">
        <v>1024</v>
      </c>
      <c r="C1234" s="791" t="s">
        <v>1009</v>
      </c>
      <c r="D1234" s="792" t="s">
        <v>779</v>
      </c>
      <c r="E1234" s="793" t="s">
        <v>662</v>
      </c>
      <c r="F1234" s="793" t="s">
        <v>895</v>
      </c>
      <c r="G1234" s="793" t="s">
        <v>794</v>
      </c>
      <c r="H1234" s="793" t="s">
        <v>828</v>
      </c>
      <c r="I1234" s="794">
        <v>1.0811104484687528</v>
      </c>
      <c r="J1234" s="794">
        <v>1493.1052376458497</v>
      </c>
      <c r="K1234" s="771"/>
    </row>
    <row r="1235" spans="1:11" ht="18.75" customHeight="1" outlineLevel="2">
      <c r="A1235" s="791" t="s">
        <v>776</v>
      </c>
      <c r="B1235" s="791" t="s">
        <v>1024</v>
      </c>
      <c r="C1235" s="791" t="s">
        <v>1009</v>
      </c>
      <c r="D1235" s="792" t="s">
        <v>779</v>
      </c>
      <c r="E1235" s="793" t="s">
        <v>662</v>
      </c>
      <c r="F1235" s="793" t="s">
        <v>896</v>
      </c>
      <c r="G1235" s="793" t="s">
        <v>794</v>
      </c>
      <c r="H1235" s="793" t="s">
        <v>828</v>
      </c>
      <c r="I1235" s="794">
        <v>0.25392712166655246</v>
      </c>
      <c r="J1235" s="794">
        <v>373.5615180598374</v>
      </c>
      <c r="K1235" s="771"/>
    </row>
    <row r="1236" spans="1:11" ht="18.75" customHeight="1" outlineLevel="2">
      <c r="A1236" s="791" t="s">
        <v>776</v>
      </c>
      <c r="B1236" s="791" t="s">
        <v>1024</v>
      </c>
      <c r="C1236" s="791" t="s">
        <v>1009</v>
      </c>
      <c r="D1236" s="792" t="s">
        <v>779</v>
      </c>
      <c r="E1236" s="793" t="s">
        <v>662</v>
      </c>
      <c r="F1236" s="793" t="s">
        <v>897</v>
      </c>
      <c r="G1236" s="793" t="s">
        <v>794</v>
      </c>
      <c r="H1236" s="793" t="s">
        <v>828</v>
      </c>
      <c r="I1236" s="794">
        <v>0.11714383254016475</v>
      </c>
      <c r="J1236" s="794">
        <v>197.52706602732704</v>
      </c>
      <c r="K1236" s="771"/>
    </row>
    <row r="1237" spans="1:11" ht="18.75" customHeight="1" outlineLevel="2">
      <c r="A1237" s="791" t="s">
        <v>776</v>
      </c>
      <c r="B1237" s="791" t="s">
        <v>1024</v>
      </c>
      <c r="C1237" s="791" t="s">
        <v>1009</v>
      </c>
      <c r="D1237" s="792" t="s">
        <v>779</v>
      </c>
      <c r="E1237" s="793" t="s">
        <v>662</v>
      </c>
      <c r="F1237" s="793" t="s">
        <v>898</v>
      </c>
      <c r="G1237" s="793" t="s">
        <v>794</v>
      </c>
      <c r="H1237" s="793" t="s">
        <v>828</v>
      </c>
      <c r="I1237" s="794">
        <v>0.26992888199420195</v>
      </c>
      <c r="J1237" s="794">
        <v>424.62966529427268</v>
      </c>
      <c r="K1237" s="771"/>
    </row>
    <row r="1238" spans="1:11" ht="18.75" customHeight="1" outlineLevel="2">
      <c r="A1238" s="791" t="s">
        <v>776</v>
      </c>
      <c r="B1238" s="791" t="s">
        <v>1024</v>
      </c>
      <c r="C1238" s="791" t="s">
        <v>1009</v>
      </c>
      <c r="D1238" s="792" t="s">
        <v>779</v>
      </c>
      <c r="E1238" s="793" t="s">
        <v>662</v>
      </c>
      <c r="F1238" s="793" t="s">
        <v>899</v>
      </c>
      <c r="G1238" s="793" t="s">
        <v>794</v>
      </c>
      <c r="H1238" s="793" t="s">
        <v>828</v>
      </c>
      <c r="I1238" s="794">
        <v>0.47552738857313365</v>
      </c>
      <c r="J1238" s="794">
        <v>670.90389063810721</v>
      </c>
      <c r="K1238" s="771"/>
    </row>
    <row r="1239" spans="1:11" ht="18.75" customHeight="1" outlineLevel="2">
      <c r="A1239" s="791" t="s">
        <v>776</v>
      </c>
      <c r="B1239" s="791" t="s">
        <v>1024</v>
      </c>
      <c r="C1239" s="791" t="s">
        <v>1009</v>
      </c>
      <c r="D1239" s="792" t="s">
        <v>779</v>
      </c>
      <c r="E1239" s="793" t="s">
        <v>662</v>
      </c>
      <c r="F1239" s="793" t="s">
        <v>900</v>
      </c>
      <c r="G1239" s="793" t="s">
        <v>794</v>
      </c>
      <c r="H1239" s="793" t="s">
        <v>828</v>
      </c>
      <c r="I1239" s="794">
        <v>2.2029900456035235E-2</v>
      </c>
      <c r="J1239" s="794">
        <v>31.477707579104038</v>
      </c>
      <c r="K1239" s="771"/>
    </row>
    <row r="1240" spans="1:11" ht="18.75" customHeight="1" outlineLevel="2">
      <c r="A1240" s="791" t="s">
        <v>776</v>
      </c>
      <c r="B1240" s="791" t="s">
        <v>1024</v>
      </c>
      <c r="C1240" s="791" t="s">
        <v>1009</v>
      </c>
      <c r="D1240" s="792" t="s">
        <v>779</v>
      </c>
      <c r="E1240" s="793" t="s">
        <v>662</v>
      </c>
      <c r="F1240" s="793" t="s">
        <v>901</v>
      </c>
      <c r="G1240" s="793" t="s">
        <v>833</v>
      </c>
      <c r="H1240" s="793" t="s">
        <v>834</v>
      </c>
      <c r="I1240" s="794">
        <v>9.1421425694313656E-3</v>
      </c>
      <c r="J1240" s="794">
        <v>9.5041461648467482</v>
      </c>
      <c r="K1240" s="771"/>
    </row>
    <row r="1241" spans="1:11" ht="18.75" customHeight="1" outlineLevel="2">
      <c r="A1241" s="791" t="s">
        <v>776</v>
      </c>
      <c r="B1241" s="791" t="s">
        <v>1024</v>
      </c>
      <c r="C1241" s="791" t="s">
        <v>1009</v>
      </c>
      <c r="D1241" s="792" t="s">
        <v>779</v>
      </c>
      <c r="E1241" s="793" t="s">
        <v>662</v>
      </c>
      <c r="F1241" s="793" t="s">
        <v>902</v>
      </c>
      <c r="G1241" s="793" t="s">
        <v>833</v>
      </c>
      <c r="H1241" s="793" t="s">
        <v>834</v>
      </c>
      <c r="I1241" s="794">
        <v>7.9579414560375399E-5</v>
      </c>
      <c r="J1241" s="794">
        <v>0.10129187041297197</v>
      </c>
      <c r="K1241" s="771"/>
    </row>
    <row r="1242" spans="1:11" ht="18.75" customHeight="1" outlineLevel="2">
      <c r="A1242" s="791" t="s">
        <v>776</v>
      </c>
      <c r="B1242" s="791" t="s">
        <v>1024</v>
      </c>
      <c r="C1242" s="791" t="s">
        <v>1009</v>
      </c>
      <c r="D1242" s="792" t="s">
        <v>779</v>
      </c>
      <c r="E1242" s="793" t="s">
        <v>662</v>
      </c>
      <c r="F1242" s="793" t="s">
        <v>1018</v>
      </c>
      <c r="G1242" s="793" t="s">
        <v>785</v>
      </c>
      <c r="H1242" s="793" t="s">
        <v>727</v>
      </c>
      <c r="I1242" s="794">
        <v>8.7841433700833142E-3</v>
      </c>
      <c r="J1242" s="794">
        <v>10.818214320540028</v>
      </c>
      <c r="K1242" s="771"/>
    </row>
    <row r="1243" spans="1:11" ht="18.75" customHeight="1" outlineLevel="2">
      <c r="A1243" s="791" t="s">
        <v>776</v>
      </c>
      <c r="B1243" s="791" t="s">
        <v>1024</v>
      </c>
      <c r="C1243" s="791" t="s">
        <v>1009</v>
      </c>
      <c r="D1243" s="792" t="s">
        <v>779</v>
      </c>
      <c r="E1243" s="793" t="s">
        <v>662</v>
      </c>
      <c r="F1243" s="793" t="s">
        <v>903</v>
      </c>
      <c r="G1243" s="793" t="s">
        <v>904</v>
      </c>
      <c r="H1243" s="793" t="s">
        <v>905</v>
      </c>
      <c r="I1243" s="794">
        <v>0.44009985611898345</v>
      </c>
      <c r="J1243" s="794">
        <v>374.44510690140936</v>
      </c>
      <c r="K1243" s="771"/>
    </row>
    <row r="1244" spans="1:11" ht="18.75" customHeight="1" outlineLevel="2">
      <c r="A1244" s="791" t="s">
        <v>776</v>
      </c>
      <c r="B1244" s="791" t="s">
        <v>1024</v>
      </c>
      <c r="C1244" s="791" t="s">
        <v>1009</v>
      </c>
      <c r="D1244" s="792" t="s">
        <v>779</v>
      </c>
      <c r="E1244" s="793" t="s">
        <v>662</v>
      </c>
      <c r="F1244" s="793" t="s">
        <v>906</v>
      </c>
      <c r="G1244" s="793" t="s">
        <v>904</v>
      </c>
      <c r="H1244" s="793" t="s">
        <v>905</v>
      </c>
      <c r="I1244" s="794">
        <v>0.18524358169908289</v>
      </c>
      <c r="J1244" s="794">
        <v>158.03322151214266</v>
      </c>
      <c r="K1244" s="771"/>
    </row>
    <row r="1245" spans="1:11" ht="18.75" customHeight="1" outlineLevel="2">
      <c r="A1245" s="791" t="s">
        <v>776</v>
      </c>
      <c r="B1245" s="791" t="s">
        <v>1024</v>
      </c>
      <c r="C1245" s="791" t="s">
        <v>1009</v>
      </c>
      <c r="D1245" s="792" t="s">
        <v>779</v>
      </c>
      <c r="E1245" s="793" t="s">
        <v>662</v>
      </c>
      <c r="F1245" s="793" t="s">
        <v>907</v>
      </c>
      <c r="G1245" s="793" t="s">
        <v>908</v>
      </c>
      <c r="H1245" s="793" t="s">
        <v>905</v>
      </c>
      <c r="I1245" s="794">
        <v>6.9537751709334295E-2</v>
      </c>
      <c r="J1245" s="794">
        <v>116.73625210941731</v>
      </c>
      <c r="K1245" s="771"/>
    </row>
    <row r="1246" spans="1:11" ht="18.75" customHeight="1" outlineLevel="2">
      <c r="A1246" s="791" t="s">
        <v>776</v>
      </c>
      <c r="B1246" s="791" t="s">
        <v>1024</v>
      </c>
      <c r="C1246" s="791" t="s">
        <v>1009</v>
      </c>
      <c r="D1246" s="792" t="s">
        <v>779</v>
      </c>
      <c r="E1246" s="793" t="s">
        <v>662</v>
      </c>
      <c r="F1246" s="793" t="s">
        <v>909</v>
      </c>
      <c r="G1246" s="793" t="s">
        <v>910</v>
      </c>
      <c r="H1246" s="793" t="s">
        <v>911</v>
      </c>
      <c r="I1246" s="794">
        <v>2.7866267605437399E-3</v>
      </c>
      <c r="J1246" s="794">
        <v>4.1378681208929446</v>
      </c>
      <c r="K1246" s="771"/>
    </row>
    <row r="1247" spans="1:11" ht="18.75" customHeight="1" outlineLevel="2">
      <c r="A1247" s="791" t="s">
        <v>776</v>
      </c>
      <c r="B1247" s="791" t="s">
        <v>1024</v>
      </c>
      <c r="C1247" s="791" t="s">
        <v>1009</v>
      </c>
      <c r="D1247" s="792" t="s">
        <v>779</v>
      </c>
      <c r="E1247" s="793" t="s">
        <v>763</v>
      </c>
      <c r="F1247" s="793" t="s">
        <v>912</v>
      </c>
      <c r="G1247" s="793" t="s">
        <v>799</v>
      </c>
      <c r="H1247" s="793" t="s">
        <v>913</v>
      </c>
      <c r="I1247" s="794">
        <v>3.8453088531034021E-3</v>
      </c>
      <c r="J1247" s="794">
        <v>7.3639532715053102</v>
      </c>
      <c r="K1247" s="771"/>
    </row>
    <row r="1248" spans="1:11" ht="18.75" customHeight="1" outlineLevel="2">
      <c r="A1248" s="791" t="s">
        <v>776</v>
      </c>
      <c r="B1248" s="791" t="s">
        <v>1024</v>
      </c>
      <c r="C1248" s="791" t="s">
        <v>1009</v>
      </c>
      <c r="D1248" s="792" t="s">
        <v>779</v>
      </c>
      <c r="E1248" s="793" t="s">
        <v>763</v>
      </c>
      <c r="F1248" s="793" t="s">
        <v>914</v>
      </c>
      <c r="G1248" s="793" t="s">
        <v>782</v>
      </c>
      <c r="H1248" s="793" t="s">
        <v>913</v>
      </c>
      <c r="I1248" s="794">
        <v>3.8510077516725171E-4</v>
      </c>
      <c r="J1248" s="794">
        <v>1.7926425715449386</v>
      </c>
      <c r="K1248" s="771"/>
    </row>
    <row r="1249" spans="1:11" ht="18.75" customHeight="1" outlineLevel="2">
      <c r="A1249" s="791" t="s">
        <v>776</v>
      </c>
      <c r="B1249" s="791" t="s">
        <v>1024</v>
      </c>
      <c r="C1249" s="791" t="s">
        <v>1009</v>
      </c>
      <c r="D1249" s="792" t="s">
        <v>779</v>
      </c>
      <c r="E1249" s="793" t="s">
        <v>763</v>
      </c>
      <c r="F1249" s="793" t="s">
        <v>915</v>
      </c>
      <c r="G1249" s="793" t="s">
        <v>782</v>
      </c>
      <c r="H1249" s="793" t="s">
        <v>913</v>
      </c>
      <c r="I1249" s="794">
        <v>2.0654192855421518E-4</v>
      </c>
      <c r="J1249" s="794">
        <v>2.9979271024416003</v>
      </c>
      <c r="K1249" s="771"/>
    </row>
    <row r="1250" spans="1:11" ht="18.75" customHeight="1" outlineLevel="2">
      <c r="A1250" s="791" t="s">
        <v>776</v>
      </c>
      <c r="B1250" s="791" t="s">
        <v>1024</v>
      </c>
      <c r="C1250" s="791" t="s">
        <v>1009</v>
      </c>
      <c r="D1250" s="792" t="s">
        <v>779</v>
      </c>
      <c r="E1250" s="793" t="s">
        <v>763</v>
      </c>
      <c r="F1250" s="793" t="s">
        <v>916</v>
      </c>
      <c r="G1250" s="793" t="s">
        <v>782</v>
      </c>
      <c r="H1250" s="793" t="s">
        <v>913</v>
      </c>
      <c r="I1250" s="794">
        <v>3.0623067602507332E-4</v>
      </c>
      <c r="J1250" s="794">
        <v>0.52943121239817492</v>
      </c>
      <c r="K1250" s="771"/>
    </row>
    <row r="1251" spans="1:11" ht="18.75" customHeight="1" outlineLevel="2">
      <c r="A1251" s="791" t="s">
        <v>776</v>
      </c>
      <c r="B1251" s="791" t="s">
        <v>1024</v>
      </c>
      <c r="C1251" s="791" t="s">
        <v>1009</v>
      </c>
      <c r="D1251" s="792" t="s">
        <v>779</v>
      </c>
      <c r="E1251" s="793" t="s">
        <v>763</v>
      </c>
      <c r="F1251" s="793" t="s">
        <v>917</v>
      </c>
      <c r="G1251" s="793" t="s">
        <v>782</v>
      </c>
      <c r="H1251" s="793" t="s">
        <v>913</v>
      </c>
      <c r="I1251" s="794">
        <v>5.6064433160363573E-5</v>
      </c>
      <c r="J1251" s="794">
        <v>0.30693532704900678</v>
      </c>
      <c r="K1251" s="771"/>
    </row>
    <row r="1252" spans="1:11" ht="18.75" customHeight="1" outlineLevel="2">
      <c r="A1252" s="791" t="s">
        <v>776</v>
      </c>
      <c r="B1252" s="791" t="s">
        <v>1024</v>
      </c>
      <c r="C1252" s="791" t="s">
        <v>1009</v>
      </c>
      <c r="D1252" s="792" t="s">
        <v>779</v>
      </c>
      <c r="E1252" s="793" t="s">
        <v>763</v>
      </c>
      <c r="F1252" s="793" t="s">
        <v>918</v>
      </c>
      <c r="G1252" s="793" t="s">
        <v>782</v>
      </c>
      <c r="H1252" s="793" t="s">
        <v>913</v>
      </c>
      <c r="I1252" s="794">
        <v>1.2409003944726874E-3</v>
      </c>
      <c r="J1252" s="794">
        <v>5.5439523804759334</v>
      </c>
      <c r="K1252" s="771"/>
    </row>
    <row r="1253" spans="1:11" ht="18.75" customHeight="1" outlineLevel="2">
      <c r="A1253" s="791" t="s">
        <v>776</v>
      </c>
      <c r="B1253" s="791" t="s">
        <v>1024</v>
      </c>
      <c r="C1253" s="791" t="s">
        <v>1009</v>
      </c>
      <c r="D1253" s="792" t="s">
        <v>779</v>
      </c>
      <c r="E1253" s="793" t="s">
        <v>763</v>
      </c>
      <c r="F1253" s="793" t="s">
        <v>919</v>
      </c>
      <c r="G1253" s="793" t="s">
        <v>782</v>
      </c>
      <c r="H1253" s="793" t="s">
        <v>913</v>
      </c>
      <c r="I1253" s="794">
        <v>2.3736199861500743E-3</v>
      </c>
      <c r="J1253" s="794">
        <v>2.7846098534064705</v>
      </c>
      <c r="K1253" s="771"/>
    </row>
    <row r="1254" spans="1:11" ht="18.75" customHeight="1" outlineLevel="2">
      <c r="A1254" s="791" t="s">
        <v>776</v>
      </c>
      <c r="B1254" s="791" t="s">
        <v>1024</v>
      </c>
      <c r="C1254" s="791" t="s">
        <v>1009</v>
      </c>
      <c r="D1254" s="792" t="s">
        <v>779</v>
      </c>
      <c r="E1254" s="793" t="s">
        <v>763</v>
      </c>
      <c r="F1254" s="793" t="s">
        <v>920</v>
      </c>
      <c r="G1254" s="793" t="s">
        <v>782</v>
      </c>
      <c r="H1254" s="793" t="s">
        <v>913</v>
      </c>
      <c r="I1254" s="794">
        <v>2.5780634116938589E-4</v>
      </c>
      <c r="J1254" s="794">
        <v>5.1291773421604914</v>
      </c>
      <c r="K1254" s="771"/>
    </row>
    <row r="1255" spans="1:11" ht="18.75" customHeight="1" outlineLevel="2">
      <c r="A1255" s="791" t="s">
        <v>776</v>
      </c>
      <c r="B1255" s="791" t="s">
        <v>1024</v>
      </c>
      <c r="C1255" s="791" t="s">
        <v>1009</v>
      </c>
      <c r="D1255" s="792" t="s">
        <v>779</v>
      </c>
      <c r="E1255" s="793" t="s">
        <v>763</v>
      </c>
      <c r="F1255" s="793" t="s">
        <v>921</v>
      </c>
      <c r="G1255" s="793" t="s">
        <v>782</v>
      </c>
      <c r="H1255" s="793" t="s">
        <v>913</v>
      </c>
      <c r="I1255" s="794">
        <v>1.1965448348835552E-3</v>
      </c>
      <c r="J1255" s="794">
        <v>2.089972167418678</v>
      </c>
      <c r="K1255" s="771"/>
    </row>
    <row r="1256" spans="1:11" ht="18.75" customHeight="1" outlineLevel="2">
      <c r="A1256" s="791" t="s">
        <v>776</v>
      </c>
      <c r="B1256" s="791" t="s">
        <v>1024</v>
      </c>
      <c r="C1256" s="791" t="s">
        <v>1009</v>
      </c>
      <c r="D1256" s="792" t="s">
        <v>779</v>
      </c>
      <c r="E1256" s="793" t="s">
        <v>763</v>
      </c>
      <c r="F1256" s="793" t="s">
        <v>922</v>
      </c>
      <c r="G1256" s="793" t="s">
        <v>782</v>
      </c>
      <c r="H1256" s="793" t="s">
        <v>913</v>
      </c>
      <c r="I1256" s="794">
        <v>1.7886970755557485E-4</v>
      </c>
      <c r="J1256" s="794">
        <v>0.34254636543643185</v>
      </c>
      <c r="K1256" s="771"/>
    </row>
    <row r="1257" spans="1:11" ht="18.75" customHeight="1" outlineLevel="2">
      <c r="A1257" s="791" t="s">
        <v>776</v>
      </c>
      <c r="B1257" s="791" t="s">
        <v>1024</v>
      </c>
      <c r="C1257" s="791" t="s">
        <v>1009</v>
      </c>
      <c r="D1257" s="792" t="s">
        <v>779</v>
      </c>
      <c r="E1257" s="793" t="s">
        <v>763</v>
      </c>
      <c r="F1257" s="793" t="s">
        <v>923</v>
      </c>
      <c r="G1257" s="793" t="s">
        <v>782</v>
      </c>
      <c r="H1257" s="793" t="s">
        <v>913</v>
      </c>
      <c r="I1257" s="794">
        <v>9.8029713796147014E-4</v>
      </c>
      <c r="J1257" s="794">
        <v>3.5618856298874819</v>
      </c>
      <c r="K1257" s="771"/>
    </row>
    <row r="1258" spans="1:11" ht="18.75" customHeight="1" outlineLevel="2">
      <c r="A1258" s="791" t="s">
        <v>776</v>
      </c>
      <c r="B1258" s="791" t="s">
        <v>1024</v>
      </c>
      <c r="C1258" s="791" t="s">
        <v>1009</v>
      </c>
      <c r="D1258" s="792" t="s">
        <v>779</v>
      </c>
      <c r="E1258" s="793" t="s">
        <v>763</v>
      </c>
      <c r="F1258" s="793" t="s">
        <v>924</v>
      </c>
      <c r="G1258" s="793" t="s">
        <v>782</v>
      </c>
      <c r="H1258" s="793" t="s">
        <v>913</v>
      </c>
      <c r="I1258" s="794">
        <v>8.0760550645779181E-4</v>
      </c>
      <c r="J1258" s="794">
        <v>8.6011739069188557</v>
      </c>
      <c r="K1258" s="771"/>
    </row>
    <row r="1259" spans="1:11" ht="18.75" customHeight="1" outlineLevel="2">
      <c r="A1259" s="791" t="s">
        <v>776</v>
      </c>
      <c r="B1259" s="791" t="s">
        <v>1024</v>
      </c>
      <c r="C1259" s="791" t="s">
        <v>1009</v>
      </c>
      <c r="D1259" s="792" t="s">
        <v>779</v>
      </c>
      <c r="E1259" s="793" t="s">
        <v>763</v>
      </c>
      <c r="F1259" s="793" t="s">
        <v>925</v>
      </c>
      <c r="G1259" s="793" t="s">
        <v>782</v>
      </c>
      <c r="H1259" s="793" t="s">
        <v>913</v>
      </c>
      <c r="I1259" s="794">
        <v>5.6826769898610685E-5</v>
      </c>
      <c r="J1259" s="794">
        <v>0.90495590132368886</v>
      </c>
      <c r="K1259" s="771"/>
    </row>
    <row r="1260" spans="1:11" ht="18.75" customHeight="1" outlineLevel="2">
      <c r="A1260" s="791" t="s">
        <v>776</v>
      </c>
      <c r="B1260" s="791" t="s">
        <v>1024</v>
      </c>
      <c r="C1260" s="791" t="s">
        <v>1009</v>
      </c>
      <c r="D1260" s="792" t="s">
        <v>779</v>
      </c>
      <c r="E1260" s="793" t="s">
        <v>763</v>
      </c>
      <c r="F1260" s="793" t="s">
        <v>926</v>
      </c>
      <c r="G1260" s="793" t="s">
        <v>782</v>
      </c>
      <c r="H1260" s="793" t="s">
        <v>913</v>
      </c>
      <c r="I1260" s="794">
        <v>4.2142551171159707E-3</v>
      </c>
      <c r="J1260" s="794">
        <v>7.7475033976863417</v>
      </c>
      <c r="K1260" s="771"/>
    </row>
    <row r="1261" spans="1:11" ht="18.75" customHeight="1" outlineLevel="2">
      <c r="A1261" s="791" t="s">
        <v>776</v>
      </c>
      <c r="B1261" s="791" t="s">
        <v>1024</v>
      </c>
      <c r="C1261" s="791" t="s">
        <v>1009</v>
      </c>
      <c r="D1261" s="792" t="s">
        <v>779</v>
      </c>
      <c r="E1261" s="793" t="s">
        <v>763</v>
      </c>
      <c r="F1261" s="793" t="s">
        <v>927</v>
      </c>
      <c r="G1261" s="793" t="s">
        <v>782</v>
      </c>
      <c r="H1261" s="793" t="s">
        <v>913</v>
      </c>
      <c r="I1261" s="794">
        <v>2.3490218544576407E-3</v>
      </c>
      <c r="J1261" s="794">
        <v>3.2514110047711426</v>
      </c>
      <c r="K1261" s="771"/>
    </row>
    <row r="1262" spans="1:11" ht="18.75" customHeight="1" outlineLevel="2">
      <c r="A1262" s="791" t="s">
        <v>776</v>
      </c>
      <c r="B1262" s="791" t="s">
        <v>1024</v>
      </c>
      <c r="C1262" s="791" t="s">
        <v>1009</v>
      </c>
      <c r="D1262" s="792" t="s">
        <v>779</v>
      </c>
      <c r="E1262" s="793" t="s">
        <v>763</v>
      </c>
      <c r="F1262" s="793" t="s">
        <v>928</v>
      </c>
      <c r="G1262" s="793" t="s">
        <v>785</v>
      </c>
      <c r="H1262" s="793" t="s">
        <v>913</v>
      </c>
      <c r="I1262" s="794">
        <v>1.3358200994249976E-2</v>
      </c>
      <c r="J1262" s="794">
        <v>41.121743084861869</v>
      </c>
      <c r="K1262" s="771"/>
    </row>
    <row r="1263" spans="1:11" ht="18.75" customHeight="1" outlineLevel="2">
      <c r="A1263" s="791" t="s">
        <v>776</v>
      </c>
      <c r="B1263" s="791" t="s">
        <v>1024</v>
      </c>
      <c r="C1263" s="791" t="s">
        <v>1009</v>
      </c>
      <c r="D1263" s="792" t="s">
        <v>779</v>
      </c>
      <c r="E1263" s="793" t="s">
        <v>763</v>
      </c>
      <c r="F1263" s="793" t="s">
        <v>929</v>
      </c>
      <c r="G1263" s="793" t="s">
        <v>785</v>
      </c>
      <c r="H1263" s="793" t="s">
        <v>913</v>
      </c>
      <c r="I1263" s="794">
        <v>0.26556995266872707</v>
      </c>
      <c r="J1263" s="794">
        <v>3740.4740354105966</v>
      </c>
      <c r="K1263" s="771"/>
    </row>
    <row r="1264" spans="1:11" ht="18.75" customHeight="1" outlineLevel="2">
      <c r="A1264" s="791" t="s">
        <v>776</v>
      </c>
      <c r="B1264" s="791" t="s">
        <v>1024</v>
      </c>
      <c r="C1264" s="791" t="s">
        <v>1009</v>
      </c>
      <c r="D1264" s="792" t="s">
        <v>779</v>
      </c>
      <c r="E1264" s="793" t="s">
        <v>763</v>
      </c>
      <c r="F1264" s="793" t="s">
        <v>930</v>
      </c>
      <c r="G1264" s="793" t="s">
        <v>785</v>
      </c>
      <c r="H1264" s="793" t="s">
        <v>913</v>
      </c>
      <c r="I1264" s="794">
        <v>1.581071792734259E-3</v>
      </c>
      <c r="J1264" s="794">
        <v>27.865086485800585</v>
      </c>
      <c r="K1264" s="771"/>
    </row>
    <row r="1265" spans="1:11" ht="18.75" customHeight="1" outlineLevel="2">
      <c r="A1265" s="791" t="s">
        <v>776</v>
      </c>
      <c r="B1265" s="791" t="s">
        <v>1024</v>
      </c>
      <c r="C1265" s="791" t="s">
        <v>1009</v>
      </c>
      <c r="D1265" s="792" t="s">
        <v>779</v>
      </c>
      <c r="E1265" s="793" t="s">
        <v>763</v>
      </c>
      <c r="F1265" s="793" t="s">
        <v>931</v>
      </c>
      <c r="G1265" s="793" t="s">
        <v>785</v>
      </c>
      <c r="H1265" s="793" t="s">
        <v>913</v>
      </c>
      <c r="I1265" s="794">
        <v>5.2889983987139551E-4</v>
      </c>
      <c r="J1265" s="794">
        <v>8.7896438566049913</v>
      </c>
      <c r="K1265" s="771"/>
    </row>
    <row r="1266" spans="1:11" ht="18.75" customHeight="1" outlineLevel="2">
      <c r="A1266" s="791" t="s">
        <v>776</v>
      </c>
      <c r="B1266" s="791" t="s">
        <v>1024</v>
      </c>
      <c r="C1266" s="791" t="s">
        <v>1009</v>
      </c>
      <c r="D1266" s="792" t="s">
        <v>779</v>
      </c>
      <c r="E1266" s="793" t="s">
        <v>763</v>
      </c>
      <c r="F1266" s="793" t="s">
        <v>932</v>
      </c>
      <c r="G1266" s="793" t="s">
        <v>785</v>
      </c>
      <c r="H1266" s="793" t="s">
        <v>913</v>
      </c>
      <c r="I1266" s="794">
        <v>5.6473365544321521E-4</v>
      </c>
      <c r="J1266" s="794">
        <v>2.1707785332728053</v>
      </c>
      <c r="K1266" s="771"/>
    </row>
    <row r="1267" spans="1:11" ht="18.75" customHeight="1" outlineLevel="2">
      <c r="A1267" s="791" t="s">
        <v>776</v>
      </c>
      <c r="B1267" s="791" t="s">
        <v>1024</v>
      </c>
      <c r="C1267" s="791" t="s">
        <v>1009</v>
      </c>
      <c r="D1267" s="792" t="s">
        <v>779</v>
      </c>
      <c r="E1267" s="793" t="s">
        <v>763</v>
      </c>
      <c r="F1267" s="793" t="s">
        <v>933</v>
      </c>
      <c r="G1267" s="793" t="s">
        <v>785</v>
      </c>
      <c r="H1267" s="793" t="s">
        <v>913</v>
      </c>
      <c r="I1267" s="794">
        <v>7.9267324058345412E-4</v>
      </c>
      <c r="J1267" s="794">
        <v>17.263714772180069</v>
      </c>
      <c r="K1267" s="771"/>
    </row>
    <row r="1268" spans="1:11" ht="18.75" customHeight="1" outlineLevel="2">
      <c r="A1268" s="791" t="s">
        <v>776</v>
      </c>
      <c r="B1268" s="791" t="s">
        <v>1024</v>
      </c>
      <c r="C1268" s="791" t="s">
        <v>1009</v>
      </c>
      <c r="D1268" s="792" t="s">
        <v>779</v>
      </c>
      <c r="E1268" s="793" t="s">
        <v>763</v>
      </c>
      <c r="F1268" s="793" t="s">
        <v>934</v>
      </c>
      <c r="G1268" s="793" t="s">
        <v>813</v>
      </c>
      <c r="H1268" s="793" t="s">
        <v>913</v>
      </c>
      <c r="I1268" s="794">
        <v>9.6144696972703721E-3</v>
      </c>
      <c r="J1268" s="794">
        <v>145.70054988872059</v>
      </c>
      <c r="K1268" s="771"/>
    </row>
    <row r="1269" spans="1:11" ht="18.75" customHeight="1" outlineLevel="2">
      <c r="A1269" s="791" t="s">
        <v>776</v>
      </c>
      <c r="B1269" s="791" t="s">
        <v>1024</v>
      </c>
      <c r="C1269" s="791" t="s">
        <v>1009</v>
      </c>
      <c r="D1269" s="792" t="s">
        <v>779</v>
      </c>
      <c r="E1269" s="793" t="s">
        <v>763</v>
      </c>
      <c r="F1269" s="793" t="s">
        <v>935</v>
      </c>
      <c r="G1269" s="793" t="s">
        <v>791</v>
      </c>
      <c r="H1269" s="793" t="s">
        <v>913</v>
      </c>
      <c r="I1269" s="794">
        <v>5.4600001157872693E-5</v>
      </c>
      <c r="J1269" s="794">
        <v>6.8800495380307483E-2</v>
      </c>
      <c r="K1269" s="771"/>
    </row>
    <row r="1270" spans="1:11" ht="18.75" customHeight="1" outlineLevel="2">
      <c r="A1270" s="791" t="s">
        <v>776</v>
      </c>
      <c r="B1270" s="791" t="s">
        <v>1024</v>
      </c>
      <c r="C1270" s="791" t="s">
        <v>1009</v>
      </c>
      <c r="D1270" s="792" t="s">
        <v>779</v>
      </c>
      <c r="E1270" s="793" t="s">
        <v>763</v>
      </c>
      <c r="F1270" s="793" t="s">
        <v>936</v>
      </c>
      <c r="G1270" s="793" t="s">
        <v>791</v>
      </c>
      <c r="H1270" s="793" t="s">
        <v>913</v>
      </c>
      <c r="I1270" s="794">
        <v>7.9110385099122689E-6</v>
      </c>
      <c r="J1270" s="794">
        <v>0.13400399784050532</v>
      </c>
      <c r="K1270" s="771"/>
    </row>
    <row r="1271" spans="1:11" ht="18.75" customHeight="1" outlineLevel="2">
      <c r="A1271" s="791" t="s">
        <v>776</v>
      </c>
      <c r="B1271" s="791" t="s">
        <v>1024</v>
      </c>
      <c r="C1271" s="791" t="s">
        <v>1009</v>
      </c>
      <c r="D1271" s="792" t="s">
        <v>779</v>
      </c>
      <c r="E1271" s="793" t="s">
        <v>763</v>
      </c>
      <c r="F1271" s="793" t="s">
        <v>937</v>
      </c>
      <c r="G1271" s="793" t="s">
        <v>794</v>
      </c>
      <c r="H1271" s="793" t="s">
        <v>913</v>
      </c>
      <c r="I1271" s="794">
        <v>5.8439665814645256E-2</v>
      </c>
      <c r="J1271" s="794">
        <v>143.48822071206737</v>
      </c>
      <c r="K1271" s="771"/>
    </row>
    <row r="1272" spans="1:11" ht="18.75" customHeight="1" outlineLevel="2">
      <c r="A1272" s="791" t="s">
        <v>776</v>
      </c>
      <c r="B1272" s="791" t="s">
        <v>1024</v>
      </c>
      <c r="C1272" s="791" t="s">
        <v>1009</v>
      </c>
      <c r="D1272" s="792" t="s">
        <v>779</v>
      </c>
      <c r="E1272" s="793" t="s">
        <v>763</v>
      </c>
      <c r="F1272" s="793" t="s">
        <v>938</v>
      </c>
      <c r="G1272" s="793" t="s">
        <v>794</v>
      </c>
      <c r="H1272" s="793" t="s">
        <v>913</v>
      </c>
      <c r="I1272" s="794">
        <v>6.8763812415623465E-3</v>
      </c>
      <c r="J1272" s="794">
        <v>31.407767385392447</v>
      </c>
      <c r="K1272" s="771"/>
    </row>
    <row r="1273" spans="1:11" ht="18.75" customHeight="1" outlineLevel="2">
      <c r="A1273" s="791" t="s">
        <v>776</v>
      </c>
      <c r="B1273" s="791" t="s">
        <v>1024</v>
      </c>
      <c r="C1273" s="791" t="s">
        <v>1009</v>
      </c>
      <c r="D1273" s="792" t="s">
        <v>779</v>
      </c>
      <c r="E1273" s="793" t="s">
        <v>763</v>
      </c>
      <c r="F1273" s="793" t="s">
        <v>939</v>
      </c>
      <c r="G1273" s="793" t="s">
        <v>794</v>
      </c>
      <c r="H1273" s="793" t="s">
        <v>913</v>
      </c>
      <c r="I1273" s="794">
        <v>3.5854053231138398E-3</v>
      </c>
      <c r="J1273" s="794">
        <v>36.674025956670498</v>
      </c>
      <c r="K1273" s="771"/>
    </row>
    <row r="1274" spans="1:11" ht="18.75" customHeight="1" outlineLevel="2">
      <c r="A1274" s="791" t="s">
        <v>776</v>
      </c>
      <c r="B1274" s="791" t="s">
        <v>1024</v>
      </c>
      <c r="C1274" s="791" t="s">
        <v>1009</v>
      </c>
      <c r="D1274" s="792" t="s">
        <v>779</v>
      </c>
      <c r="E1274" s="793" t="s">
        <v>763</v>
      </c>
      <c r="F1274" s="793" t="s">
        <v>940</v>
      </c>
      <c r="G1274" s="793" t="s">
        <v>794</v>
      </c>
      <c r="H1274" s="793" t="s">
        <v>913</v>
      </c>
      <c r="I1274" s="794">
        <v>5.9356163996356695E-3</v>
      </c>
      <c r="J1274" s="794">
        <v>45.580463066032294</v>
      </c>
      <c r="K1274" s="771"/>
    </row>
    <row r="1275" spans="1:11" ht="18.75" customHeight="1" outlineLevel="2">
      <c r="A1275" s="791" t="s">
        <v>776</v>
      </c>
      <c r="B1275" s="791" t="s">
        <v>1024</v>
      </c>
      <c r="C1275" s="791" t="s">
        <v>1009</v>
      </c>
      <c r="D1275" s="792" t="s">
        <v>779</v>
      </c>
      <c r="E1275" s="793" t="s">
        <v>763</v>
      </c>
      <c r="F1275" s="793" t="s">
        <v>941</v>
      </c>
      <c r="G1275" s="793" t="s">
        <v>794</v>
      </c>
      <c r="H1275" s="793" t="s">
        <v>913</v>
      </c>
      <c r="I1275" s="794">
        <v>2.0546822730255036E-4</v>
      </c>
      <c r="J1275" s="794">
        <v>0.6199195739330573</v>
      </c>
      <c r="K1275" s="771"/>
    </row>
    <row r="1276" spans="1:11" ht="18.75" customHeight="1" outlineLevel="2">
      <c r="A1276" s="791" t="s">
        <v>776</v>
      </c>
      <c r="B1276" s="791" t="s">
        <v>1024</v>
      </c>
      <c r="C1276" s="791" t="s">
        <v>1009</v>
      </c>
      <c r="D1276" s="792" t="s">
        <v>779</v>
      </c>
      <c r="E1276" s="793" t="s">
        <v>763</v>
      </c>
      <c r="F1276" s="793" t="s">
        <v>942</v>
      </c>
      <c r="G1276" s="793" t="s">
        <v>794</v>
      </c>
      <c r="H1276" s="793" t="s">
        <v>913</v>
      </c>
      <c r="I1276" s="794">
        <v>4.870583112198823E-5</v>
      </c>
      <c r="J1276" s="794">
        <v>0.56283329755094802</v>
      </c>
      <c r="K1276" s="771"/>
    </row>
    <row r="1277" spans="1:11" ht="18.75" customHeight="1" outlineLevel="2">
      <c r="A1277" s="791" t="s">
        <v>776</v>
      </c>
      <c r="B1277" s="791" t="s">
        <v>1024</v>
      </c>
      <c r="C1277" s="791" t="s">
        <v>1009</v>
      </c>
      <c r="D1277" s="792" t="s">
        <v>779</v>
      </c>
      <c r="E1277" s="793" t="s">
        <v>763</v>
      </c>
      <c r="F1277" s="793" t="s">
        <v>943</v>
      </c>
      <c r="G1277" s="793" t="s">
        <v>944</v>
      </c>
      <c r="H1277" s="793" t="s">
        <v>913</v>
      </c>
      <c r="I1277" s="794">
        <v>2.9073459288083152E-5</v>
      </c>
      <c r="J1277" s="794">
        <v>0.12560726654820123</v>
      </c>
      <c r="K1277" s="771"/>
    </row>
    <row r="1278" spans="1:11" ht="18.75" customHeight="1" outlineLevel="2">
      <c r="A1278" s="791" t="s">
        <v>776</v>
      </c>
      <c r="B1278" s="791" t="s">
        <v>1024</v>
      </c>
      <c r="C1278" s="791" t="s">
        <v>1009</v>
      </c>
      <c r="D1278" s="792" t="s">
        <v>779</v>
      </c>
      <c r="E1278" s="793" t="s">
        <v>764</v>
      </c>
      <c r="F1278" s="793" t="s">
        <v>945</v>
      </c>
      <c r="G1278" s="793" t="s">
        <v>244</v>
      </c>
      <c r="H1278" s="793" t="s">
        <v>905</v>
      </c>
      <c r="I1278" s="794">
        <v>2.4645937337572275E-3</v>
      </c>
      <c r="J1278" s="794">
        <v>88.702632511882086</v>
      </c>
      <c r="K1278" s="771"/>
    </row>
    <row r="1279" spans="1:11" ht="18.75" customHeight="1" outlineLevel="2">
      <c r="A1279" s="791" t="s">
        <v>776</v>
      </c>
      <c r="B1279" s="791" t="s">
        <v>1024</v>
      </c>
      <c r="C1279" s="791" t="s">
        <v>1009</v>
      </c>
      <c r="D1279" s="792" t="s">
        <v>779</v>
      </c>
      <c r="E1279" s="793" t="s">
        <v>764</v>
      </c>
      <c r="F1279" s="793" t="s">
        <v>946</v>
      </c>
      <c r="G1279" s="793" t="s">
        <v>244</v>
      </c>
      <c r="H1279" s="793" t="s">
        <v>905</v>
      </c>
      <c r="I1279" s="794">
        <v>3.9059068807094916E-5</v>
      </c>
      <c r="J1279" s="794">
        <v>0.74092837501985997</v>
      </c>
      <c r="K1279" s="771"/>
    </row>
    <row r="1280" spans="1:11" ht="18.75" customHeight="1" outlineLevel="2">
      <c r="A1280" s="791" t="s">
        <v>776</v>
      </c>
      <c r="B1280" s="791" t="s">
        <v>1024</v>
      </c>
      <c r="C1280" s="791" t="s">
        <v>1009</v>
      </c>
      <c r="D1280" s="792" t="s">
        <v>779</v>
      </c>
      <c r="E1280" s="793" t="s">
        <v>947</v>
      </c>
      <c r="F1280" s="793" t="s">
        <v>948</v>
      </c>
      <c r="G1280" s="793" t="s">
        <v>799</v>
      </c>
      <c r="H1280" s="793" t="s">
        <v>800</v>
      </c>
      <c r="I1280" s="794">
        <v>4.661726690934313E-3</v>
      </c>
      <c r="J1280" s="794">
        <v>115.24447296446016</v>
      </c>
      <c r="K1280" s="771"/>
    </row>
    <row r="1281" spans="1:11" ht="18.75" customHeight="1" outlineLevel="2">
      <c r="A1281" s="791" t="s">
        <v>776</v>
      </c>
      <c r="B1281" s="791" t="s">
        <v>1024</v>
      </c>
      <c r="C1281" s="791" t="s">
        <v>1009</v>
      </c>
      <c r="D1281" s="792" t="s">
        <v>779</v>
      </c>
      <c r="E1281" s="793" t="s">
        <v>947</v>
      </c>
      <c r="F1281" s="793" t="s">
        <v>949</v>
      </c>
      <c r="G1281" s="793" t="s">
        <v>782</v>
      </c>
      <c r="H1281" s="793" t="s">
        <v>804</v>
      </c>
      <c r="I1281" s="794">
        <v>3.6762260876871088E-3</v>
      </c>
      <c r="J1281" s="794">
        <v>214.39904636007168</v>
      </c>
      <c r="K1281" s="771"/>
    </row>
    <row r="1282" spans="1:11" ht="18.75" customHeight="1" outlineLevel="2">
      <c r="A1282" s="791" t="s">
        <v>776</v>
      </c>
      <c r="B1282" s="791" t="s">
        <v>1024</v>
      </c>
      <c r="C1282" s="791" t="s">
        <v>1009</v>
      </c>
      <c r="D1282" s="792" t="s">
        <v>779</v>
      </c>
      <c r="E1282" s="793" t="s">
        <v>947</v>
      </c>
      <c r="F1282" s="793" t="s">
        <v>950</v>
      </c>
      <c r="G1282" s="793" t="s">
        <v>782</v>
      </c>
      <c r="H1282" s="793" t="s">
        <v>804</v>
      </c>
      <c r="I1282" s="794">
        <v>3.16092787076361E-5</v>
      </c>
      <c r="J1282" s="794">
        <v>0.3491442912859668</v>
      </c>
      <c r="K1282" s="771"/>
    </row>
    <row r="1283" spans="1:11" ht="18.75" customHeight="1" outlineLevel="2">
      <c r="A1283" s="791" t="s">
        <v>776</v>
      </c>
      <c r="B1283" s="791" t="s">
        <v>1024</v>
      </c>
      <c r="C1283" s="791" t="s">
        <v>1009</v>
      </c>
      <c r="D1283" s="792" t="s">
        <v>779</v>
      </c>
      <c r="E1283" s="793" t="s">
        <v>947</v>
      </c>
      <c r="F1283" s="793" t="s">
        <v>951</v>
      </c>
      <c r="G1283" s="793" t="s">
        <v>782</v>
      </c>
      <c r="H1283" s="793" t="s">
        <v>804</v>
      </c>
      <c r="I1283" s="794">
        <v>4.5841592822465718E-4</v>
      </c>
      <c r="J1283" s="794">
        <v>5.7513583653780245</v>
      </c>
      <c r="K1283" s="771"/>
    </row>
    <row r="1284" spans="1:11" ht="18.75" customHeight="1" outlineLevel="2">
      <c r="A1284" s="791" t="s">
        <v>776</v>
      </c>
      <c r="B1284" s="791" t="s">
        <v>1024</v>
      </c>
      <c r="C1284" s="791" t="s">
        <v>1009</v>
      </c>
      <c r="D1284" s="792" t="s">
        <v>779</v>
      </c>
      <c r="E1284" s="793" t="s">
        <v>947</v>
      </c>
      <c r="F1284" s="793" t="s">
        <v>952</v>
      </c>
      <c r="G1284" s="793" t="s">
        <v>782</v>
      </c>
      <c r="H1284" s="793" t="s">
        <v>804</v>
      </c>
      <c r="I1284" s="794">
        <v>1.0468403952710521E-2</v>
      </c>
      <c r="J1284" s="794">
        <v>536.67330560972562</v>
      </c>
      <c r="K1284" s="771"/>
    </row>
    <row r="1285" spans="1:11" ht="18.75" customHeight="1" outlineLevel="2">
      <c r="A1285" s="791" t="s">
        <v>776</v>
      </c>
      <c r="B1285" s="791" t="s">
        <v>1024</v>
      </c>
      <c r="C1285" s="791" t="s">
        <v>1009</v>
      </c>
      <c r="D1285" s="792" t="s">
        <v>779</v>
      </c>
      <c r="E1285" s="793" t="s">
        <v>947</v>
      </c>
      <c r="F1285" s="793" t="s">
        <v>953</v>
      </c>
      <c r="G1285" s="793" t="s">
        <v>782</v>
      </c>
      <c r="H1285" s="793" t="s">
        <v>804</v>
      </c>
      <c r="I1285" s="794">
        <v>7.9468471498957936E-3</v>
      </c>
      <c r="J1285" s="794">
        <v>583.93691370386489</v>
      </c>
      <c r="K1285" s="771"/>
    </row>
    <row r="1286" spans="1:11" ht="18.75" customHeight="1" outlineLevel="2">
      <c r="A1286" s="791" t="s">
        <v>776</v>
      </c>
      <c r="B1286" s="791" t="s">
        <v>1024</v>
      </c>
      <c r="C1286" s="791" t="s">
        <v>1009</v>
      </c>
      <c r="D1286" s="792" t="s">
        <v>779</v>
      </c>
      <c r="E1286" s="793" t="s">
        <v>947</v>
      </c>
      <c r="F1286" s="793" t="s">
        <v>954</v>
      </c>
      <c r="G1286" s="793" t="s">
        <v>782</v>
      </c>
      <c r="H1286" s="793" t="s">
        <v>804</v>
      </c>
      <c r="I1286" s="794">
        <v>8.9782773528443948E-4</v>
      </c>
      <c r="J1286" s="794">
        <v>32.2439016191856</v>
      </c>
      <c r="K1286" s="771"/>
    </row>
    <row r="1287" spans="1:11" ht="18.75" customHeight="1" outlineLevel="2">
      <c r="A1287" s="791" t="s">
        <v>776</v>
      </c>
      <c r="B1287" s="791" t="s">
        <v>1024</v>
      </c>
      <c r="C1287" s="791" t="s">
        <v>1009</v>
      </c>
      <c r="D1287" s="792" t="s">
        <v>779</v>
      </c>
      <c r="E1287" s="793" t="s">
        <v>947</v>
      </c>
      <c r="F1287" s="793" t="s">
        <v>955</v>
      </c>
      <c r="G1287" s="793" t="s">
        <v>782</v>
      </c>
      <c r="H1287" s="793" t="s">
        <v>804</v>
      </c>
      <c r="I1287" s="794">
        <v>4.7754655075839367E-4</v>
      </c>
      <c r="J1287" s="794">
        <v>21.956709183802261</v>
      </c>
      <c r="K1287" s="771"/>
    </row>
    <row r="1288" spans="1:11" ht="18.75" customHeight="1" outlineLevel="2">
      <c r="A1288" s="791" t="s">
        <v>776</v>
      </c>
      <c r="B1288" s="791" t="s">
        <v>1024</v>
      </c>
      <c r="C1288" s="791" t="s">
        <v>1009</v>
      </c>
      <c r="D1288" s="792" t="s">
        <v>779</v>
      </c>
      <c r="E1288" s="793" t="s">
        <v>947</v>
      </c>
      <c r="F1288" s="793" t="s">
        <v>956</v>
      </c>
      <c r="G1288" s="793" t="s">
        <v>782</v>
      </c>
      <c r="H1288" s="793" t="s">
        <v>804</v>
      </c>
      <c r="I1288" s="794">
        <v>2.5381417285872438E-3</v>
      </c>
      <c r="J1288" s="794">
        <v>60.295243055112181</v>
      </c>
      <c r="K1288" s="771"/>
    </row>
    <row r="1289" spans="1:11" ht="18.75" customHeight="1" outlineLevel="2">
      <c r="A1289" s="791" t="s">
        <v>776</v>
      </c>
      <c r="B1289" s="791" t="s">
        <v>1024</v>
      </c>
      <c r="C1289" s="791" t="s">
        <v>1009</v>
      </c>
      <c r="D1289" s="792" t="s">
        <v>779</v>
      </c>
      <c r="E1289" s="793" t="s">
        <v>947</v>
      </c>
      <c r="F1289" s="793" t="s">
        <v>957</v>
      </c>
      <c r="G1289" s="793" t="s">
        <v>782</v>
      </c>
      <c r="H1289" s="793" t="s">
        <v>804</v>
      </c>
      <c r="I1289" s="794">
        <v>7.2761240052586782E-3</v>
      </c>
      <c r="J1289" s="794">
        <v>258.01932751449453</v>
      </c>
      <c r="K1289" s="771"/>
    </row>
    <row r="1290" spans="1:11" ht="18.75" customHeight="1" outlineLevel="2">
      <c r="A1290" s="791" t="s">
        <v>776</v>
      </c>
      <c r="B1290" s="791" t="s">
        <v>1024</v>
      </c>
      <c r="C1290" s="791" t="s">
        <v>1009</v>
      </c>
      <c r="D1290" s="792" t="s">
        <v>779</v>
      </c>
      <c r="E1290" s="793" t="s">
        <v>947</v>
      </c>
      <c r="F1290" s="793" t="s">
        <v>958</v>
      </c>
      <c r="G1290" s="793" t="s">
        <v>782</v>
      </c>
      <c r="H1290" s="793" t="s">
        <v>804</v>
      </c>
      <c r="I1290" s="794">
        <v>5.1439812277251605E-3</v>
      </c>
      <c r="J1290" s="794">
        <v>283.28919078351362</v>
      </c>
      <c r="K1290" s="771"/>
    </row>
    <row r="1291" spans="1:11" ht="18.75" customHeight="1" outlineLevel="2">
      <c r="A1291" s="791" t="s">
        <v>776</v>
      </c>
      <c r="B1291" s="791" t="s">
        <v>1024</v>
      </c>
      <c r="C1291" s="791" t="s">
        <v>1009</v>
      </c>
      <c r="D1291" s="792" t="s">
        <v>779</v>
      </c>
      <c r="E1291" s="793" t="s">
        <v>947</v>
      </c>
      <c r="F1291" s="793" t="s">
        <v>959</v>
      </c>
      <c r="G1291" s="793" t="s">
        <v>782</v>
      </c>
      <c r="H1291" s="793" t="s">
        <v>804</v>
      </c>
      <c r="I1291" s="794">
        <v>2.820168836244509E-2</v>
      </c>
      <c r="J1291" s="794">
        <v>2175.2294531926582</v>
      </c>
      <c r="K1291" s="771"/>
    </row>
    <row r="1292" spans="1:11" ht="18.75" customHeight="1" outlineLevel="2">
      <c r="A1292" s="791" t="s">
        <v>776</v>
      </c>
      <c r="B1292" s="791" t="s">
        <v>1024</v>
      </c>
      <c r="C1292" s="791" t="s">
        <v>1009</v>
      </c>
      <c r="D1292" s="792" t="s">
        <v>779</v>
      </c>
      <c r="E1292" s="793" t="s">
        <v>947</v>
      </c>
      <c r="F1292" s="793" t="s">
        <v>960</v>
      </c>
      <c r="G1292" s="793" t="s">
        <v>782</v>
      </c>
      <c r="H1292" s="793" t="s">
        <v>804</v>
      </c>
      <c r="I1292" s="794">
        <v>5.9648700509820195E-4</v>
      </c>
      <c r="J1292" s="794">
        <v>18.087290706031865</v>
      </c>
      <c r="K1292" s="771"/>
    </row>
    <row r="1293" spans="1:11" ht="18.75" customHeight="1" outlineLevel="2">
      <c r="A1293" s="791" t="s">
        <v>776</v>
      </c>
      <c r="B1293" s="791" t="s">
        <v>1024</v>
      </c>
      <c r="C1293" s="791" t="s">
        <v>1009</v>
      </c>
      <c r="D1293" s="792" t="s">
        <v>779</v>
      </c>
      <c r="E1293" s="793" t="s">
        <v>947</v>
      </c>
      <c r="F1293" s="793" t="s">
        <v>961</v>
      </c>
      <c r="G1293" s="793" t="s">
        <v>782</v>
      </c>
      <c r="H1293" s="793" t="s">
        <v>804</v>
      </c>
      <c r="I1293" s="794">
        <v>2.3490309623162272E-4</v>
      </c>
      <c r="J1293" s="794">
        <v>11.074886160903652</v>
      </c>
      <c r="K1293" s="771"/>
    </row>
    <row r="1294" spans="1:11" ht="18.75" customHeight="1" outlineLevel="2">
      <c r="A1294" s="791" t="s">
        <v>776</v>
      </c>
      <c r="B1294" s="791" t="s">
        <v>1024</v>
      </c>
      <c r="C1294" s="791" t="s">
        <v>1009</v>
      </c>
      <c r="D1294" s="792" t="s">
        <v>779</v>
      </c>
      <c r="E1294" s="793" t="s">
        <v>947</v>
      </c>
      <c r="F1294" s="793" t="s">
        <v>962</v>
      </c>
      <c r="G1294" s="793" t="s">
        <v>782</v>
      </c>
      <c r="H1294" s="793" t="s">
        <v>804</v>
      </c>
      <c r="I1294" s="794">
        <v>8.3218802197555369E-3</v>
      </c>
      <c r="J1294" s="794">
        <v>497.20156250398065</v>
      </c>
      <c r="K1294" s="771"/>
    </row>
    <row r="1295" spans="1:11" ht="18.75" customHeight="1" outlineLevel="2">
      <c r="A1295" s="791" t="s">
        <v>776</v>
      </c>
      <c r="B1295" s="791" t="s">
        <v>1024</v>
      </c>
      <c r="C1295" s="791" t="s">
        <v>1009</v>
      </c>
      <c r="D1295" s="792" t="s">
        <v>779</v>
      </c>
      <c r="E1295" s="793" t="s">
        <v>947</v>
      </c>
      <c r="F1295" s="793" t="s">
        <v>963</v>
      </c>
      <c r="G1295" s="793" t="s">
        <v>782</v>
      </c>
      <c r="H1295" s="793" t="s">
        <v>804</v>
      </c>
      <c r="I1295" s="794">
        <v>7.1544370336350249E-3</v>
      </c>
      <c r="J1295" s="794">
        <v>541.2103603752073</v>
      </c>
      <c r="K1295" s="771"/>
    </row>
    <row r="1296" spans="1:11" ht="18.75" customHeight="1" outlineLevel="2">
      <c r="A1296" s="791" t="s">
        <v>776</v>
      </c>
      <c r="B1296" s="791" t="s">
        <v>1024</v>
      </c>
      <c r="C1296" s="791" t="s">
        <v>1009</v>
      </c>
      <c r="D1296" s="792" t="s">
        <v>779</v>
      </c>
      <c r="E1296" s="793" t="s">
        <v>947</v>
      </c>
      <c r="F1296" s="793" t="s">
        <v>964</v>
      </c>
      <c r="G1296" s="793" t="s">
        <v>782</v>
      </c>
      <c r="H1296" s="793" t="s">
        <v>804</v>
      </c>
      <c r="I1296" s="794">
        <v>2.6121531005091958E-2</v>
      </c>
      <c r="J1296" s="794">
        <v>1861.6870935377076</v>
      </c>
      <c r="K1296" s="771"/>
    </row>
    <row r="1297" spans="1:11" ht="18.75" customHeight="1" outlineLevel="2">
      <c r="A1297" s="791" t="s">
        <v>776</v>
      </c>
      <c r="B1297" s="791" t="s">
        <v>1024</v>
      </c>
      <c r="C1297" s="791" t="s">
        <v>1009</v>
      </c>
      <c r="D1297" s="792" t="s">
        <v>779</v>
      </c>
      <c r="E1297" s="793" t="s">
        <v>947</v>
      </c>
      <c r="F1297" s="793" t="s">
        <v>965</v>
      </c>
      <c r="G1297" s="793" t="s">
        <v>782</v>
      </c>
      <c r="H1297" s="793" t="s">
        <v>804</v>
      </c>
      <c r="I1297" s="794">
        <v>1.7980783372064711E-3</v>
      </c>
      <c r="J1297" s="794">
        <v>87.539791118173966</v>
      </c>
      <c r="K1297" s="771"/>
    </row>
    <row r="1298" spans="1:11" ht="18.75" customHeight="1" outlineLevel="2">
      <c r="A1298" s="791" t="s">
        <v>776</v>
      </c>
      <c r="B1298" s="791" t="s">
        <v>1024</v>
      </c>
      <c r="C1298" s="791" t="s">
        <v>1009</v>
      </c>
      <c r="D1298" s="792" t="s">
        <v>779</v>
      </c>
      <c r="E1298" s="793" t="s">
        <v>947</v>
      </c>
      <c r="F1298" s="793" t="s">
        <v>966</v>
      </c>
      <c r="G1298" s="793" t="s">
        <v>782</v>
      </c>
      <c r="H1298" s="793" t="s">
        <v>804</v>
      </c>
      <c r="I1298" s="794">
        <v>1.5119531701847691E-2</v>
      </c>
      <c r="J1298" s="794">
        <v>696.33184950157977</v>
      </c>
      <c r="K1298" s="771"/>
    </row>
    <row r="1299" spans="1:11" ht="18.75" customHeight="1" outlineLevel="2">
      <c r="A1299" s="791" t="s">
        <v>776</v>
      </c>
      <c r="B1299" s="791" t="s">
        <v>1024</v>
      </c>
      <c r="C1299" s="791" t="s">
        <v>1009</v>
      </c>
      <c r="D1299" s="792" t="s">
        <v>779</v>
      </c>
      <c r="E1299" s="793" t="s">
        <v>947</v>
      </c>
      <c r="F1299" s="793" t="s">
        <v>967</v>
      </c>
      <c r="G1299" s="793" t="s">
        <v>782</v>
      </c>
      <c r="H1299" s="793" t="s">
        <v>804</v>
      </c>
      <c r="I1299" s="794">
        <v>3.6941648249231872E-2</v>
      </c>
      <c r="J1299" s="794">
        <v>2367.3954199645095</v>
      </c>
      <c r="K1299" s="771"/>
    </row>
    <row r="1300" spans="1:11" ht="18.75" customHeight="1" outlineLevel="2">
      <c r="A1300" s="791" t="s">
        <v>776</v>
      </c>
      <c r="B1300" s="791" t="s">
        <v>1024</v>
      </c>
      <c r="C1300" s="791" t="s">
        <v>1009</v>
      </c>
      <c r="D1300" s="792" t="s">
        <v>779</v>
      </c>
      <c r="E1300" s="793" t="s">
        <v>947</v>
      </c>
      <c r="F1300" s="793" t="s">
        <v>968</v>
      </c>
      <c r="G1300" s="793" t="s">
        <v>782</v>
      </c>
      <c r="H1300" s="793" t="s">
        <v>804</v>
      </c>
      <c r="I1300" s="794">
        <v>8.0911293586015648E-2</v>
      </c>
      <c r="J1300" s="794">
        <v>1588.1987881651796</v>
      </c>
      <c r="K1300" s="771"/>
    </row>
    <row r="1301" spans="1:11" ht="18.75" customHeight="1" outlineLevel="2">
      <c r="A1301" s="791" t="s">
        <v>776</v>
      </c>
      <c r="B1301" s="791" t="s">
        <v>1024</v>
      </c>
      <c r="C1301" s="791" t="s">
        <v>1009</v>
      </c>
      <c r="D1301" s="792" t="s">
        <v>779</v>
      </c>
      <c r="E1301" s="793" t="s">
        <v>947</v>
      </c>
      <c r="F1301" s="793" t="s">
        <v>969</v>
      </c>
      <c r="G1301" s="793" t="s">
        <v>782</v>
      </c>
      <c r="H1301" s="793" t="s">
        <v>804</v>
      </c>
      <c r="I1301" s="794">
        <v>2.9749159963360732E-2</v>
      </c>
      <c r="J1301" s="794">
        <v>2165.6660821172422</v>
      </c>
      <c r="K1301" s="771"/>
    </row>
    <row r="1302" spans="1:11" ht="18.75" customHeight="1" outlineLevel="2">
      <c r="A1302" s="791" t="s">
        <v>776</v>
      </c>
      <c r="B1302" s="791" t="s">
        <v>1024</v>
      </c>
      <c r="C1302" s="791" t="s">
        <v>1009</v>
      </c>
      <c r="D1302" s="792" t="s">
        <v>779</v>
      </c>
      <c r="E1302" s="793" t="s">
        <v>947</v>
      </c>
      <c r="F1302" s="793" t="s">
        <v>970</v>
      </c>
      <c r="G1302" s="793" t="s">
        <v>782</v>
      </c>
      <c r="H1302" s="793" t="s">
        <v>804</v>
      </c>
      <c r="I1302" s="794">
        <v>5.4167448239561711E-2</v>
      </c>
      <c r="J1302" s="794">
        <v>1246.6549131499405</v>
      </c>
      <c r="K1302" s="771"/>
    </row>
    <row r="1303" spans="1:11" ht="18.75" customHeight="1" outlineLevel="2">
      <c r="A1303" s="791" t="s">
        <v>776</v>
      </c>
      <c r="B1303" s="791" t="s">
        <v>1024</v>
      </c>
      <c r="C1303" s="791" t="s">
        <v>1009</v>
      </c>
      <c r="D1303" s="792" t="s">
        <v>779</v>
      </c>
      <c r="E1303" s="793" t="s">
        <v>947</v>
      </c>
      <c r="F1303" s="793" t="s">
        <v>971</v>
      </c>
      <c r="G1303" s="793" t="s">
        <v>782</v>
      </c>
      <c r="H1303" s="793" t="s">
        <v>804</v>
      </c>
      <c r="I1303" s="794">
        <v>3.1797342215158556E-3</v>
      </c>
      <c r="J1303" s="794">
        <v>232.37864848128439</v>
      </c>
      <c r="K1303" s="771"/>
    </row>
    <row r="1304" spans="1:11" ht="18.75" customHeight="1" outlineLevel="2">
      <c r="A1304" s="791" t="s">
        <v>776</v>
      </c>
      <c r="B1304" s="791" t="s">
        <v>1024</v>
      </c>
      <c r="C1304" s="791" t="s">
        <v>1009</v>
      </c>
      <c r="D1304" s="792" t="s">
        <v>779</v>
      </c>
      <c r="E1304" s="793" t="s">
        <v>947</v>
      </c>
      <c r="F1304" s="793" t="s">
        <v>972</v>
      </c>
      <c r="G1304" s="793" t="s">
        <v>782</v>
      </c>
      <c r="H1304" s="793" t="s">
        <v>804</v>
      </c>
      <c r="I1304" s="794">
        <v>1.6515274761992412E-4</v>
      </c>
      <c r="J1304" s="794">
        <v>3.8124791325995178</v>
      </c>
      <c r="K1304" s="771"/>
    </row>
    <row r="1305" spans="1:11" ht="18.75" customHeight="1" outlineLevel="2">
      <c r="A1305" s="791" t="s">
        <v>776</v>
      </c>
      <c r="B1305" s="791" t="s">
        <v>1024</v>
      </c>
      <c r="C1305" s="791" t="s">
        <v>1009</v>
      </c>
      <c r="D1305" s="792" t="s">
        <v>779</v>
      </c>
      <c r="E1305" s="793" t="s">
        <v>947</v>
      </c>
      <c r="F1305" s="793" t="s">
        <v>973</v>
      </c>
      <c r="G1305" s="793" t="s">
        <v>782</v>
      </c>
      <c r="H1305" s="793" t="s">
        <v>804</v>
      </c>
      <c r="I1305" s="794">
        <v>4.508821260366648E-3</v>
      </c>
      <c r="J1305" s="794">
        <v>242.39374258462772</v>
      </c>
      <c r="K1305" s="771"/>
    </row>
    <row r="1306" spans="1:11" ht="18.75" customHeight="1" outlineLevel="2">
      <c r="A1306" s="791" t="s">
        <v>776</v>
      </c>
      <c r="B1306" s="791" t="s">
        <v>1024</v>
      </c>
      <c r="C1306" s="791" t="s">
        <v>1009</v>
      </c>
      <c r="D1306" s="792" t="s">
        <v>779</v>
      </c>
      <c r="E1306" s="793" t="s">
        <v>947</v>
      </c>
      <c r="F1306" s="793" t="s">
        <v>974</v>
      </c>
      <c r="G1306" s="793" t="s">
        <v>785</v>
      </c>
      <c r="H1306" s="793" t="s">
        <v>727</v>
      </c>
      <c r="I1306" s="794">
        <v>2.779390865765825E-3</v>
      </c>
      <c r="J1306" s="794">
        <v>67.240868163322546</v>
      </c>
      <c r="K1306" s="771"/>
    </row>
    <row r="1307" spans="1:11" ht="18.75" customHeight="1" outlineLevel="2">
      <c r="A1307" s="791" t="s">
        <v>776</v>
      </c>
      <c r="B1307" s="791" t="s">
        <v>1024</v>
      </c>
      <c r="C1307" s="791" t="s">
        <v>1009</v>
      </c>
      <c r="D1307" s="792" t="s">
        <v>779</v>
      </c>
      <c r="E1307" s="793" t="s">
        <v>947</v>
      </c>
      <c r="F1307" s="793" t="s">
        <v>975</v>
      </c>
      <c r="G1307" s="793" t="s">
        <v>785</v>
      </c>
      <c r="H1307" s="793" t="s">
        <v>727</v>
      </c>
      <c r="I1307" s="794">
        <v>1.3832009129137669E-2</v>
      </c>
      <c r="J1307" s="794">
        <v>975.50349568041622</v>
      </c>
      <c r="K1307" s="771"/>
    </row>
    <row r="1308" spans="1:11" ht="18.75" customHeight="1" outlineLevel="2">
      <c r="A1308" s="791" t="s">
        <v>776</v>
      </c>
      <c r="B1308" s="791" t="s">
        <v>1024</v>
      </c>
      <c r="C1308" s="791" t="s">
        <v>1009</v>
      </c>
      <c r="D1308" s="792" t="s">
        <v>779</v>
      </c>
      <c r="E1308" s="793" t="s">
        <v>947</v>
      </c>
      <c r="F1308" s="793" t="s">
        <v>976</v>
      </c>
      <c r="G1308" s="793" t="s">
        <v>785</v>
      </c>
      <c r="H1308" s="793" t="s">
        <v>727</v>
      </c>
      <c r="I1308" s="794">
        <v>8.1255751542656327E-3</v>
      </c>
      <c r="J1308" s="794">
        <v>426.07984920035193</v>
      </c>
      <c r="K1308" s="771"/>
    </row>
    <row r="1309" spans="1:11" ht="18.75" customHeight="1" outlineLevel="2">
      <c r="A1309" s="791" t="s">
        <v>776</v>
      </c>
      <c r="B1309" s="791" t="s">
        <v>1024</v>
      </c>
      <c r="C1309" s="791" t="s">
        <v>1009</v>
      </c>
      <c r="D1309" s="792" t="s">
        <v>779</v>
      </c>
      <c r="E1309" s="793" t="s">
        <v>947</v>
      </c>
      <c r="F1309" s="793" t="s">
        <v>977</v>
      </c>
      <c r="G1309" s="793" t="s">
        <v>785</v>
      </c>
      <c r="H1309" s="793" t="s">
        <v>727</v>
      </c>
      <c r="I1309" s="794">
        <v>9.6180494663867348E-3</v>
      </c>
      <c r="J1309" s="794">
        <v>432.06163613786532</v>
      </c>
      <c r="K1309" s="771"/>
    </row>
    <row r="1310" spans="1:11" ht="18.75" customHeight="1" outlineLevel="2">
      <c r="A1310" s="791" t="s">
        <v>776</v>
      </c>
      <c r="B1310" s="791" t="s">
        <v>1024</v>
      </c>
      <c r="C1310" s="791" t="s">
        <v>1009</v>
      </c>
      <c r="D1310" s="792" t="s">
        <v>779</v>
      </c>
      <c r="E1310" s="793" t="s">
        <v>947</v>
      </c>
      <c r="F1310" s="793" t="s">
        <v>978</v>
      </c>
      <c r="G1310" s="793" t="s">
        <v>785</v>
      </c>
      <c r="H1310" s="793" t="s">
        <v>727</v>
      </c>
      <c r="I1310" s="794">
        <v>6.0916359291890952E-4</v>
      </c>
      <c r="J1310" s="794">
        <v>16.66296200958136</v>
      </c>
      <c r="K1310" s="771"/>
    </row>
    <row r="1311" spans="1:11" ht="18.75" customHeight="1" outlineLevel="2">
      <c r="A1311" s="791" t="s">
        <v>776</v>
      </c>
      <c r="B1311" s="791" t="s">
        <v>1024</v>
      </c>
      <c r="C1311" s="791" t="s">
        <v>1009</v>
      </c>
      <c r="D1311" s="792" t="s">
        <v>779</v>
      </c>
      <c r="E1311" s="793" t="s">
        <v>947</v>
      </c>
      <c r="F1311" s="793" t="s">
        <v>979</v>
      </c>
      <c r="G1311" s="793" t="s">
        <v>785</v>
      </c>
      <c r="H1311" s="793" t="s">
        <v>727</v>
      </c>
      <c r="I1311" s="794">
        <v>8.5347707011204213E-2</v>
      </c>
      <c r="J1311" s="794">
        <v>2805.0702693701</v>
      </c>
      <c r="K1311" s="771"/>
    </row>
    <row r="1312" spans="1:11" ht="18.75" customHeight="1" outlineLevel="2">
      <c r="A1312" s="791" t="s">
        <v>776</v>
      </c>
      <c r="B1312" s="791" t="s">
        <v>1024</v>
      </c>
      <c r="C1312" s="791" t="s">
        <v>1009</v>
      </c>
      <c r="D1312" s="792" t="s">
        <v>779</v>
      </c>
      <c r="E1312" s="793" t="s">
        <v>947</v>
      </c>
      <c r="F1312" s="793" t="s">
        <v>980</v>
      </c>
      <c r="G1312" s="793" t="s">
        <v>785</v>
      </c>
      <c r="H1312" s="793" t="s">
        <v>727</v>
      </c>
      <c r="I1312" s="794">
        <v>7.5841491150194394E-3</v>
      </c>
      <c r="J1312" s="794">
        <v>614.82480945084421</v>
      </c>
      <c r="K1312" s="771"/>
    </row>
    <row r="1313" spans="1:11" ht="18.75" customHeight="1" outlineLevel="2">
      <c r="A1313" s="791" t="s">
        <v>776</v>
      </c>
      <c r="B1313" s="791" t="s">
        <v>1024</v>
      </c>
      <c r="C1313" s="791" t="s">
        <v>1009</v>
      </c>
      <c r="D1313" s="792" t="s">
        <v>779</v>
      </c>
      <c r="E1313" s="793" t="s">
        <v>947</v>
      </c>
      <c r="F1313" s="793" t="s">
        <v>981</v>
      </c>
      <c r="G1313" s="793" t="s">
        <v>813</v>
      </c>
      <c r="H1313" s="793" t="s">
        <v>814</v>
      </c>
      <c r="I1313" s="794">
        <v>6.825521197300672E-6</v>
      </c>
      <c r="J1313" s="794">
        <v>0.17107403796937204</v>
      </c>
      <c r="K1313" s="771"/>
    </row>
    <row r="1314" spans="1:11" ht="18.75" customHeight="1" outlineLevel="2">
      <c r="A1314" s="791" t="s">
        <v>776</v>
      </c>
      <c r="B1314" s="791" t="s">
        <v>1024</v>
      </c>
      <c r="C1314" s="791" t="s">
        <v>1009</v>
      </c>
      <c r="D1314" s="792" t="s">
        <v>779</v>
      </c>
      <c r="E1314" s="793" t="s">
        <v>947</v>
      </c>
      <c r="F1314" s="793" t="s">
        <v>982</v>
      </c>
      <c r="G1314" s="793" t="s">
        <v>813</v>
      </c>
      <c r="H1314" s="793" t="s">
        <v>814</v>
      </c>
      <c r="I1314" s="794">
        <v>8.0220131625063755E-4</v>
      </c>
      <c r="J1314" s="794">
        <v>44.93603125839293</v>
      </c>
      <c r="K1314" s="771"/>
    </row>
    <row r="1315" spans="1:11" ht="18.75" customHeight="1" outlineLevel="2">
      <c r="A1315" s="791" t="s">
        <v>776</v>
      </c>
      <c r="B1315" s="791" t="s">
        <v>1024</v>
      </c>
      <c r="C1315" s="791" t="s">
        <v>1009</v>
      </c>
      <c r="D1315" s="792" t="s">
        <v>779</v>
      </c>
      <c r="E1315" s="793" t="s">
        <v>947</v>
      </c>
      <c r="F1315" s="793" t="s">
        <v>983</v>
      </c>
      <c r="G1315" s="793" t="s">
        <v>813</v>
      </c>
      <c r="H1315" s="793" t="s">
        <v>814</v>
      </c>
      <c r="I1315" s="794">
        <v>5.3980603394962592E-2</v>
      </c>
      <c r="J1315" s="794">
        <v>1199.1869156648065</v>
      </c>
      <c r="K1315" s="771"/>
    </row>
    <row r="1316" spans="1:11" ht="18.75" customHeight="1" outlineLevel="2">
      <c r="A1316" s="791" t="s">
        <v>776</v>
      </c>
      <c r="B1316" s="791" t="s">
        <v>1024</v>
      </c>
      <c r="C1316" s="791" t="s">
        <v>1009</v>
      </c>
      <c r="D1316" s="792" t="s">
        <v>779</v>
      </c>
      <c r="E1316" s="793" t="s">
        <v>947</v>
      </c>
      <c r="F1316" s="793" t="s">
        <v>984</v>
      </c>
      <c r="G1316" s="793" t="s">
        <v>813</v>
      </c>
      <c r="H1316" s="793" t="s">
        <v>814</v>
      </c>
      <c r="I1316" s="794">
        <v>1.4195941801056268E-2</v>
      </c>
      <c r="J1316" s="794">
        <v>247.55038604706354</v>
      </c>
      <c r="K1316" s="771"/>
    </row>
    <row r="1317" spans="1:11" ht="18.75" customHeight="1" outlineLevel="2">
      <c r="A1317" s="791" t="s">
        <v>776</v>
      </c>
      <c r="B1317" s="791" t="s">
        <v>1024</v>
      </c>
      <c r="C1317" s="791" t="s">
        <v>1009</v>
      </c>
      <c r="D1317" s="792" t="s">
        <v>779</v>
      </c>
      <c r="E1317" s="793" t="s">
        <v>947</v>
      </c>
      <c r="F1317" s="793" t="s">
        <v>985</v>
      </c>
      <c r="G1317" s="793" t="s">
        <v>813</v>
      </c>
      <c r="H1317" s="793" t="s">
        <v>814</v>
      </c>
      <c r="I1317" s="794">
        <v>3.3553637523933574E-2</v>
      </c>
      <c r="J1317" s="794">
        <v>1634.7305866213792</v>
      </c>
      <c r="K1317" s="771"/>
    </row>
    <row r="1318" spans="1:11" ht="18.75" customHeight="1" outlineLevel="2">
      <c r="A1318" s="791" t="s">
        <v>776</v>
      </c>
      <c r="B1318" s="791" t="s">
        <v>1024</v>
      </c>
      <c r="C1318" s="791" t="s">
        <v>1009</v>
      </c>
      <c r="D1318" s="792" t="s">
        <v>779</v>
      </c>
      <c r="E1318" s="793" t="s">
        <v>947</v>
      </c>
      <c r="F1318" s="793" t="s">
        <v>986</v>
      </c>
      <c r="G1318" s="793" t="s">
        <v>813</v>
      </c>
      <c r="H1318" s="793" t="s">
        <v>814</v>
      </c>
      <c r="I1318" s="794">
        <v>5.7543055275702925E-3</v>
      </c>
      <c r="J1318" s="794">
        <v>192.61244914456356</v>
      </c>
      <c r="K1318" s="771"/>
    </row>
    <row r="1319" spans="1:11" ht="18.75" customHeight="1" outlineLevel="2">
      <c r="A1319" s="791" t="s">
        <v>776</v>
      </c>
      <c r="B1319" s="791" t="s">
        <v>1024</v>
      </c>
      <c r="C1319" s="791" t="s">
        <v>1009</v>
      </c>
      <c r="D1319" s="792" t="s">
        <v>779</v>
      </c>
      <c r="E1319" s="793" t="s">
        <v>947</v>
      </c>
      <c r="F1319" s="793" t="s">
        <v>987</v>
      </c>
      <c r="G1319" s="793" t="s">
        <v>813</v>
      </c>
      <c r="H1319" s="793" t="s">
        <v>814</v>
      </c>
      <c r="I1319" s="794">
        <v>1.6178150012730689E-4</v>
      </c>
      <c r="J1319" s="794">
        <v>4.8908526558044407</v>
      </c>
      <c r="K1319" s="771"/>
    </row>
    <row r="1320" spans="1:11" ht="18.75" customHeight="1" outlineLevel="2">
      <c r="A1320" s="791" t="s">
        <v>776</v>
      </c>
      <c r="B1320" s="791" t="s">
        <v>1024</v>
      </c>
      <c r="C1320" s="791" t="s">
        <v>1009</v>
      </c>
      <c r="D1320" s="792" t="s">
        <v>779</v>
      </c>
      <c r="E1320" s="793" t="s">
        <v>947</v>
      </c>
      <c r="F1320" s="793" t="s">
        <v>988</v>
      </c>
      <c r="G1320" s="793" t="s">
        <v>791</v>
      </c>
      <c r="H1320" s="793" t="s">
        <v>826</v>
      </c>
      <c r="I1320" s="794">
        <v>1.570971137030212E-5</v>
      </c>
      <c r="J1320" s="794">
        <v>0.13427724100079494</v>
      </c>
      <c r="K1320" s="771"/>
    </row>
    <row r="1321" spans="1:11" ht="18.75" customHeight="1" outlineLevel="2">
      <c r="A1321" s="791" t="s">
        <v>776</v>
      </c>
      <c r="B1321" s="791" t="s">
        <v>1024</v>
      </c>
      <c r="C1321" s="791" t="s">
        <v>1009</v>
      </c>
      <c r="D1321" s="792" t="s">
        <v>779</v>
      </c>
      <c r="E1321" s="793" t="s">
        <v>947</v>
      </c>
      <c r="F1321" s="793" t="s">
        <v>989</v>
      </c>
      <c r="G1321" s="793" t="s">
        <v>791</v>
      </c>
      <c r="H1321" s="793" t="s">
        <v>826</v>
      </c>
      <c r="I1321" s="794">
        <v>9.5028447567125696E-2</v>
      </c>
      <c r="J1321" s="794">
        <v>5575.4838637761022</v>
      </c>
      <c r="K1321" s="771"/>
    </row>
    <row r="1322" spans="1:11" ht="18.75" customHeight="1" outlineLevel="2">
      <c r="A1322" s="791" t="s">
        <v>776</v>
      </c>
      <c r="B1322" s="791" t="s">
        <v>1024</v>
      </c>
      <c r="C1322" s="791" t="s">
        <v>1009</v>
      </c>
      <c r="D1322" s="792" t="s">
        <v>779</v>
      </c>
      <c r="E1322" s="793" t="s">
        <v>947</v>
      </c>
      <c r="F1322" s="793" t="s">
        <v>990</v>
      </c>
      <c r="G1322" s="793" t="s">
        <v>791</v>
      </c>
      <c r="H1322" s="793" t="s">
        <v>826</v>
      </c>
      <c r="I1322" s="794">
        <v>4.5356130915033136E-3</v>
      </c>
      <c r="J1322" s="794">
        <v>499.88972030524445</v>
      </c>
      <c r="K1322" s="771"/>
    </row>
    <row r="1323" spans="1:11" ht="18.75" customHeight="1" outlineLevel="2">
      <c r="A1323" s="791" t="s">
        <v>776</v>
      </c>
      <c r="B1323" s="791" t="s">
        <v>1024</v>
      </c>
      <c r="C1323" s="791" t="s">
        <v>1009</v>
      </c>
      <c r="D1323" s="792" t="s">
        <v>779</v>
      </c>
      <c r="E1323" s="793" t="s">
        <v>947</v>
      </c>
      <c r="F1323" s="793" t="s">
        <v>991</v>
      </c>
      <c r="G1323" s="793" t="s">
        <v>791</v>
      </c>
      <c r="H1323" s="793" t="s">
        <v>826</v>
      </c>
      <c r="I1323" s="794">
        <v>3.6026700486908337E-5</v>
      </c>
      <c r="J1323" s="794">
        <v>2.7669246292760277</v>
      </c>
      <c r="K1323" s="771"/>
    </row>
    <row r="1324" spans="1:11" ht="18.75" customHeight="1" outlineLevel="2">
      <c r="A1324" s="791" t="s">
        <v>776</v>
      </c>
      <c r="B1324" s="791" t="s">
        <v>1024</v>
      </c>
      <c r="C1324" s="791" t="s">
        <v>1009</v>
      </c>
      <c r="D1324" s="792" t="s">
        <v>779</v>
      </c>
      <c r="E1324" s="793" t="s">
        <v>947</v>
      </c>
      <c r="F1324" s="793" t="s">
        <v>992</v>
      </c>
      <c r="G1324" s="793" t="s">
        <v>791</v>
      </c>
      <c r="H1324" s="793" t="s">
        <v>826</v>
      </c>
      <c r="I1324" s="794">
        <v>7.0228899219099348E-6</v>
      </c>
      <c r="J1324" s="794">
        <v>0.58124642150298023</v>
      </c>
      <c r="K1324" s="771"/>
    </row>
    <row r="1325" spans="1:11" ht="18.75" customHeight="1" outlineLevel="2">
      <c r="A1325" s="791" t="s">
        <v>776</v>
      </c>
      <c r="B1325" s="791" t="s">
        <v>1024</v>
      </c>
      <c r="C1325" s="791" t="s">
        <v>1009</v>
      </c>
      <c r="D1325" s="792" t="s">
        <v>779</v>
      </c>
      <c r="E1325" s="793" t="s">
        <v>947</v>
      </c>
      <c r="F1325" s="793" t="s">
        <v>993</v>
      </c>
      <c r="G1325" s="793" t="s">
        <v>791</v>
      </c>
      <c r="H1325" s="793" t="s">
        <v>826</v>
      </c>
      <c r="I1325" s="794">
        <v>4.6105192918292047E-4</v>
      </c>
      <c r="J1325" s="794">
        <v>42.392831473098695</v>
      </c>
      <c r="K1325" s="771"/>
    </row>
    <row r="1326" spans="1:11" ht="18.75" customHeight="1" outlineLevel="2">
      <c r="A1326" s="791" t="s">
        <v>776</v>
      </c>
      <c r="B1326" s="791" t="s">
        <v>1024</v>
      </c>
      <c r="C1326" s="791" t="s">
        <v>1009</v>
      </c>
      <c r="D1326" s="792" t="s">
        <v>779</v>
      </c>
      <c r="E1326" s="793" t="s">
        <v>947</v>
      </c>
      <c r="F1326" s="793" t="s">
        <v>994</v>
      </c>
      <c r="G1326" s="793" t="s">
        <v>791</v>
      </c>
      <c r="H1326" s="793" t="s">
        <v>826</v>
      </c>
      <c r="I1326" s="794">
        <v>9.747816740684557E-7</v>
      </c>
      <c r="J1326" s="794">
        <v>0.11728789419969946</v>
      </c>
      <c r="K1326" s="771"/>
    </row>
    <row r="1327" spans="1:11" ht="18.75" customHeight="1" outlineLevel="2">
      <c r="A1327" s="791" t="s">
        <v>776</v>
      </c>
      <c r="B1327" s="791" t="s">
        <v>1024</v>
      </c>
      <c r="C1327" s="791" t="s">
        <v>1009</v>
      </c>
      <c r="D1327" s="792" t="s">
        <v>779</v>
      </c>
      <c r="E1327" s="793" t="s">
        <v>947</v>
      </c>
      <c r="F1327" s="793" t="s">
        <v>995</v>
      </c>
      <c r="G1327" s="793" t="s">
        <v>791</v>
      </c>
      <c r="H1327" s="793" t="s">
        <v>826</v>
      </c>
      <c r="I1327" s="794">
        <v>4.149757457633205E-4</v>
      </c>
      <c r="J1327" s="794">
        <v>39.197777030983559</v>
      </c>
      <c r="K1327" s="771"/>
    </row>
    <row r="1328" spans="1:11" ht="18.75" customHeight="1" outlineLevel="2">
      <c r="A1328" s="791" t="s">
        <v>776</v>
      </c>
      <c r="B1328" s="791" t="s">
        <v>1024</v>
      </c>
      <c r="C1328" s="791" t="s">
        <v>1009</v>
      </c>
      <c r="D1328" s="792" t="s">
        <v>779</v>
      </c>
      <c r="E1328" s="793" t="s">
        <v>947</v>
      </c>
      <c r="F1328" s="793" t="s">
        <v>996</v>
      </c>
      <c r="G1328" s="793" t="s">
        <v>791</v>
      </c>
      <c r="H1328" s="793" t="s">
        <v>826</v>
      </c>
      <c r="I1328" s="794">
        <v>1.226949194881899E-3</v>
      </c>
      <c r="J1328" s="794">
        <v>109.08096325326115</v>
      </c>
      <c r="K1328" s="771"/>
    </row>
    <row r="1329" spans="1:11" ht="18.75" customHeight="1" outlineLevel="2">
      <c r="A1329" s="791" t="s">
        <v>776</v>
      </c>
      <c r="B1329" s="791" t="s">
        <v>1024</v>
      </c>
      <c r="C1329" s="791" t="s">
        <v>1009</v>
      </c>
      <c r="D1329" s="792" t="s">
        <v>779</v>
      </c>
      <c r="E1329" s="793" t="s">
        <v>947</v>
      </c>
      <c r="F1329" s="793" t="s">
        <v>997</v>
      </c>
      <c r="G1329" s="793" t="s">
        <v>791</v>
      </c>
      <c r="H1329" s="793" t="s">
        <v>826</v>
      </c>
      <c r="I1329" s="794">
        <v>1.8608135360299069E-3</v>
      </c>
      <c r="J1329" s="794">
        <v>80.433197541438787</v>
      </c>
      <c r="K1329" s="771"/>
    </row>
    <row r="1330" spans="1:11" ht="18.75" customHeight="1" outlineLevel="2">
      <c r="A1330" s="791" t="s">
        <v>776</v>
      </c>
      <c r="B1330" s="791" t="s">
        <v>1024</v>
      </c>
      <c r="C1330" s="791" t="s">
        <v>1009</v>
      </c>
      <c r="D1330" s="792" t="s">
        <v>779</v>
      </c>
      <c r="E1330" s="793" t="s">
        <v>947</v>
      </c>
      <c r="F1330" s="793" t="s">
        <v>998</v>
      </c>
      <c r="G1330" s="793" t="s">
        <v>794</v>
      </c>
      <c r="H1330" s="793" t="s">
        <v>828</v>
      </c>
      <c r="I1330" s="794">
        <v>2.9838921394648468E-2</v>
      </c>
      <c r="J1330" s="794">
        <v>1091.1188980705629</v>
      </c>
      <c r="K1330" s="771"/>
    </row>
    <row r="1331" spans="1:11" ht="18.75" customHeight="1" outlineLevel="2">
      <c r="A1331" s="791" t="s">
        <v>776</v>
      </c>
      <c r="B1331" s="791" t="s">
        <v>1024</v>
      </c>
      <c r="C1331" s="791" t="s">
        <v>1009</v>
      </c>
      <c r="D1331" s="792" t="s">
        <v>779</v>
      </c>
      <c r="E1331" s="793" t="s">
        <v>947</v>
      </c>
      <c r="F1331" s="793" t="s">
        <v>999</v>
      </c>
      <c r="G1331" s="793" t="s">
        <v>794</v>
      </c>
      <c r="H1331" s="793" t="s">
        <v>828</v>
      </c>
      <c r="I1331" s="794">
        <v>7.0369336527220079E-3</v>
      </c>
      <c r="J1331" s="794">
        <v>257.52397554889336</v>
      </c>
      <c r="K1331" s="771"/>
    </row>
    <row r="1332" spans="1:11" ht="18.75" customHeight="1" outlineLevel="2">
      <c r="A1332" s="791" t="s">
        <v>776</v>
      </c>
      <c r="B1332" s="791" t="s">
        <v>1024</v>
      </c>
      <c r="C1332" s="791" t="s">
        <v>1009</v>
      </c>
      <c r="D1332" s="792" t="s">
        <v>779</v>
      </c>
      <c r="E1332" s="793" t="s">
        <v>947</v>
      </c>
      <c r="F1332" s="793" t="s">
        <v>1000</v>
      </c>
      <c r="G1332" s="793" t="s">
        <v>794</v>
      </c>
      <c r="H1332" s="793" t="s">
        <v>828</v>
      </c>
      <c r="I1332" s="794">
        <v>1.9749712222611283E-2</v>
      </c>
      <c r="J1332" s="794">
        <v>714.46878810028431</v>
      </c>
      <c r="K1332" s="771"/>
    </row>
    <row r="1333" spans="1:11" ht="18.75" customHeight="1" outlineLevel="2">
      <c r="A1333" s="791" t="s">
        <v>776</v>
      </c>
      <c r="B1333" s="791" t="s">
        <v>1024</v>
      </c>
      <c r="C1333" s="791" t="s">
        <v>1009</v>
      </c>
      <c r="D1333" s="792" t="s">
        <v>779</v>
      </c>
      <c r="E1333" s="793" t="s">
        <v>947</v>
      </c>
      <c r="F1333" s="793" t="s">
        <v>1001</v>
      </c>
      <c r="G1333" s="793" t="s">
        <v>794</v>
      </c>
      <c r="H1333" s="793" t="s">
        <v>828</v>
      </c>
      <c r="I1333" s="794">
        <v>1.667699214375663E-2</v>
      </c>
      <c r="J1333" s="794">
        <v>362.75765516330006</v>
      </c>
      <c r="K1333" s="771"/>
    </row>
    <row r="1334" spans="1:11" ht="18.75" customHeight="1" outlineLevel="2">
      <c r="A1334" s="791" t="s">
        <v>776</v>
      </c>
      <c r="B1334" s="791" t="s">
        <v>1024</v>
      </c>
      <c r="C1334" s="791" t="s">
        <v>1009</v>
      </c>
      <c r="D1334" s="792" t="s">
        <v>779</v>
      </c>
      <c r="E1334" s="793" t="s">
        <v>947</v>
      </c>
      <c r="F1334" s="793" t="s">
        <v>1002</v>
      </c>
      <c r="G1334" s="793" t="s">
        <v>794</v>
      </c>
      <c r="H1334" s="793" t="s">
        <v>828</v>
      </c>
      <c r="I1334" s="794">
        <v>8.2958666974180845E-4</v>
      </c>
      <c r="J1334" s="794">
        <v>34.888188796412564</v>
      </c>
      <c r="K1334" s="771"/>
    </row>
    <row r="1335" spans="1:11" ht="18.75" customHeight="1" outlineLevel="2">
      <c r="A1335" s="791" t="s">
        <v>776</v>
      </c>
      <c r="B1335" s="791" t="s">
        <v>1024</v>
      </c>
      <c r="C1335" s="791" t="s">
        <v>1009</v>
      </c>
      <c r="D1335" s="792" t="s">
        <v>779</v>
      </c>
      <c r="E1335" s="793" t="s">
        <v>947</v>
      </c>
      <c r="F1335" s="793" t="s">
        <v>1003</v>
      </c>
      <c r="G1335" s="793" t="s">
        <v>794</v>
      </c>
      <c r="H1335" s="793" t="s">
        <v>828</v>
      </c>
      <c r="I1335" s="794">
        <v>9.5973705637539047E-4</v>
      </c>
      <c r="J1335" s="794">
        <v>30.878844162027871</v>
      </c>
      <c r="K1335" s="771"/>
    </row>
    <row r="1336" spans="1:11" ht="18.75" customHeight="1" outlineLevel="2">
      <c r="A1336" s="791" t="s">
        <v>776</v>
      </c>
      <c r="B1336" s="791" t="s">
        <v>1024</v>
      </c>
      <c r="C1336" s="791" t="s">
        <v>1009</v>
      </c>
      <c r="D1336" s="792" t="s">
        <v>779</v>
      </c>
      <c r="E1336" s="793" t="s">
        <v>947</v>
      </c>
      <c r="F1336" s="793" t="s">
        <v>1004</v>
      </c>
      <c r="G1336" s="793" t="s">
        <v>833</v>
      </c>
      <c r="H1336" s="793" t="s">
        <v>834</v>
      </c>
      <c r="I1336" s="794">
        <v>3.3112506861356426E-3</v>
      </c>
      <c r="J1336" s="794">
        <v>217.01217711995091</v>
      </c>
      <c r="K1336" s="771"/>
    </row>
    <row r="1337" spans="1:11" ht="18.75" customHeight="1" outlineLevel="2">
      <c r="A1337" s="791" t="s">
        <v>776</v>
      </c>
      <c r="B1337" s="791" t="s">
        <v>1024</v>
      </c>
      <c r="C1337" s="791" t="s">
        <v>1009</v>
      </c>
      <c r="D1337" s="792" t="s">
        <v>779</v>
      </c>
      <c r="E1337" s="793" t="s">
        <v>947</v>
      </c>
      <c r="F1337" s="793" t="s">
        <v>1019</v>
      </c>
      <c r="G1337" s="793" t="s">
        <v>785</v>
      </c>
      <c r="H1337" s="793" t="s">
        <v>727</v>
      </c>
      <c r="I1337" s="794">
        <v>4.6144460379188229E-3</v>
      </c>
      <c r="J1337" s="794">
        <v>146.58617839097403</v>
      </c>
      <c r="K1337" s="771"/>
    </row>
    <row r="1338" spans="1:11" ht="18.75" customHeight="1" outlineLevel="2">
      <c r="A1338" s="791" t="s">
        <v>776</v>
      </c>
      <c r="B1338" s="791" t="s">
        <v>1024</v>
      </c>
      <c r="C1338" s="791" t="s">
        <v>1009</v>
      </c>
      <c r="D1338" s="792" t="s">
        <v>779</v>
      </c>
      <c r="E1338" s="793" t="s">
        <v>947</v>
      </c>
      <c r="F1338" s="793" t="s">
        <v>1007</v>
      </c>
      <c r="G1338" s="793" t="s">
        <v>244</v>
      </c>
      <c r="H1338" s="793" t="s">
        <v>911</v>
      </c>
      <c r="I1338" s="794">
        <v>3.1403652944752762E-3</v>
      </c>
      <c r="J1338" s="794">
        <v>70.011832179030563</v>
      </c>
      <c r="K1338" s="771"/>
    </row>
    <row r="1339" spans="1:11" ht="18.75" customHeight="1" outlineLevel="2">
      <c r="A1339" s="791" t="s">
        <v>776</v>
      </c>
      <c r="B1339" s="791" t="s">
        <v>1024</v>
      </c>
      <c r="C1339" s="791" t="s">
        <v>1009</v>
      </c>
      <c r="D1339" s="792" t="s">
        <v>1010</v>
      </c>
      <c r="E1339" s="793" t="s">
        <v>662</v>
      </c>
      <c r="F1339" s="793" t="s">
        <v>1011</v>
      </c>
      <c r="G1339" s="793" t="s">
        <v>1012</v>
      </c>
      <c r="H1339" s="793" t="s">
        <v>1013</v>
      </c>
      <c r="I1339" s="794">
        <v>2.891133213670941E-5</v>
      </c>
      <c r="J1339" s="794">
        <v>9.7410315082969143E-2</v>
      </c>
      <c r="K1339" s="771"/>
    </row>
    <row r="1340" spans="1:11" ht="18.75" customHeight="1" outlineLevel="2">
      <c r="A1340" s="791" t="s">
        <v>776</v>
      </c>
      <c r="B1340" s="791" t="s">
        <v>1024</v>
      </c>
      <c r="C1340" s="791" t="s">
        <v>1009</v>
      </c>
      <c r="D1340" s="792" t="s">
        <v>1010</v>
      </c>
      <c r="E1340" s="793" t="s">
        <v>763</v>
      </c>
      <c r="F1340" s="793" t="s">
        <v>1014</v>
      </c>
      <c r="G1340" s="793" t="s">
        <v>1012</v>
      </c>
      <c r="H1340" s="793" t="s">
        <v>913</v>
      </c>
      <c r="I1340" s="794">
        <v>3.2428561624973806E-6</v>
      </c>
      <c r="J1340" s="794">
        <v>5.4351641350626929E-2</v>
      </c>
      <c r="K1340" s="771"/>
    </row>
    <row r="1341" spans="1:11" ht="18.75" customHeight="1" outlineLevel="2">
      <c r="A1341" s="791" t="s">
        <v>776</v>
      </c>
      <c r="B1341" s="791" t="s">
        <v>1024</v>
      </c>
      <c r="C1341" s="791" t="s">
        <v>1009</v>
      </c>
      <c r="D1341" s="792" t="s">
        <v>1010</v>
      </c>
      <c r="E1341" s="793" t="s">
        <v>947</v>
      </c>
      <c r="F1341" s="793" t="s">
        <v>1015</v>
      </c>
      <c r="G1341" s="793" t="s">
        <v>1012</v>
      </c>
      <c r="H1341" s="793" t="s">
        <v>1013</v>
      </c>
      <c r="I1341" s="794">
        <v>5.6450125163002626E-5</v>
      </c>
      <c r="J1341" s="794">
        <v>3.0063053399324926</v>
      </c>
      <c r="K1341" s="771"/>
    </row>
    <row r="1342" spans="1:11" ht="18.75" customHeight="1" outlineLevel="2">
      <c r="A1342" s="791" t="s">
        <v>776</v>
      </c>
      <c r="B1342" s="791" t="s">
        <v>1025</v>
      </c>
      <c r="C1342" s="791" t="s">
        <v>1026</v>
      </c>
      <c r="D1342" s="792" t="s">
        <v>779</v>
      </c>
      <c r="E1342" s="793" t="s">
        <v>780</v>
      </c>
      <c r="F1342" s="793" t="s">
        <v>781</v>
      </c>
      <c r="G1342" s="793" t="s">
        <v>782</v>
      </c>
      <c r="H1342" s="793" t="s">
        <v>783</v>
      </c>
      <c r="I1342" s="794">
        <v>6.3110815942999179E-3</v>
      </c>
      <c r="J1342" s="794">
        <v>9.2837470833165792E-2</v>
      </c>
      <c r="K1342" s="771"/>
    </row>
    <row r="1343" spans="1:11" ht="18.75" customHeight="1" outlineLevel="2">
      <c r="A1343" s="791" t="s">
        <v>776</v>
      </c>
      <c r="B1343" s="791" t="s">
        <v>1025</v>
      </c>
      <c r="C1343" s="791" t="s">
        <v>1026</v>
      </c>
      <c r="D1343" s="792" t="s">
        <v>779</v>
      </c>
      <c r="E1343" s="793" t="s">
        <v>780</v>
      </c>
      <c r="F1343" s="793" t="s">
        <v>784</v>
      </c>
      <c r="G1343" s="793" t="s">
        <v>785</v>
      </c>
      <c r="H1343" s="793" t="s">
        <v>783</v>
      </c>
      <c r="I1343" s="794">
        <v>1.4099108966607132</v>
      </c>
      <c r="J1343" s="794">
        <v>228.96111578364787</v>
      </c>
      <c r="K1343" s="771"/>
    </row>
    <row r="1344" spans="1:11" ht="18.75" customHeight="1" outlineLevel="2">
      <c r="A1344" s="791" t="s">
        <v>776</v>
      </c>
      <c r="B1344" s="791" t="s">
        <v>1025</v>
      </c>
      <c r="C1344" s="791" t="s">
        <v>1026</v>
      </c>
      <c r="D1344" s="792" t="s">
        <v>779</v>
      </c>
      <c r="E1344" s="793" t="s">
        <v>780</v>
      </c>
      <c r="F1344" s="793" t="s">
        <v>786</v>
      </c>
      <c r="G1344" s="793" t="s">
        <v>785</v>
      </c>
      <c r="H1344" s="793" t="s">
        <v>783</v>
      </c>
      <c r="I1344" s="794">
        <v>1.1449867754853621E-3</v>
      </c>
      <c r="J1344" s="794">
        <v>0.19397059763499114</v>
      </c>
      <c r="K1344" s="771"/>
    </row>
    <row r="1345" spans="1:11" ht="18.75" customHeight="1" outlineLevel="2">
      <c r="A1345" s="791" t="s">
        <v>776</v>
      </c>
      <c r="B1345" s="791" t="s">
        <v>1025</v>
      </c>
      <c r="C1345" s="791" t="s">
        <v>1026</v>
      </c>
      <c r="D1345" s="792" t="s">
        <v>779</v>
      </c>
      <c r="E1345" s="793" t="s">
        <v>780</v>
      </c>
      <c r="F1345" s="793" t="s">
        <v>787</v>
      </c>
      <c r="G1345" s="793" t="s">
        <v>785</v>
      </c>
      <c r="H1345" s="793" t="s">
        <v>783</v>
      </c>
      <c r="I1345" s="794">
        <v>5.7538622419556012E-4</v>
      </c>
      <c r="J1345" s="794">
        <v>0.10570080007940474</v>
      </c>
      <c r="K1345" s="771"/>
    </row>
    <row r="1346" spans="1:11" ht="18.75" customHeight="1" outlineLevel="2">
      <c r="A1346" s="791" t="s">
        <v>776</v>
      </c>
      <c r="B1346" s="791" t="s">
        <v>1025</v>
      </c>
      <c r="C1346" s="791" t="s">
        <v>1026</v>
      </c>
      <c r="D1346" s="792" t="s">
        <v>779</v>
      </c>
      <c r="E1346" s="793" t="s">
        <v>780</v>
      </c>
      <c r="F1346" s="793" t="s">
        <v>788</v>
      </c>
      <c r="G1346" s="793" t="s">
        <v>785</v>
      </c>
      <c r="H1346" s="793" t="s">
        <v>783</v>
      </c>
      <c r="I1346" s="794">
        <v>3.8264913208729229E-3</v>
      </c>
      <c r="J1346" s="794">
        <v>0.60952561679724959</v>
      </c>
      <c r="K1346" s="771"/>
    </row>
    <row r="1347" spans="1:11" ht="18.75" customHeight="1" outlineLevel="2">
      <c r="A1347" s="791" t="s">
        <v>776</v>
      </c>
      <c r="B1347" s="791" t="s">
        <v>1025</v>
      </c>
      <c r="C1347" s="791" t="s">
        <v>1026</v>
      </c>
      <c r="D1347" s="792" t="s">
        <v>779</v>
      </c>
      <c r="E1347" s="793" t="s">
        <v>780</v>
      </c>
      <c r="F1347" s="793" t="s">
        <v>789</v>
      </c>
      <c r="G1347" s="793" t="s">
        <v>785</v>
      </c>
      <c r="H1347" s="793" t="s">
        <v>783</v>
      </c>
      <c r="I1347" s="794">
        <v>5.2666502530934588E-3</v>
      </c>
      <c r="J1347" s="794">
        <v>1.2955510195679167</v>
      </c>
      <c r="K1347" s="771"/>
    </row>
    <row r="1348" spans="1:11" ht="18.75" customHeight="1" outlineLevel="2">
      <c r="A1348" s="791" t="s">
        <v>776</v>
      </c>
      <c r="B1348" s="791" t="s">
        <v>1025</v>
      </c>
      <c r="C1348" s="791" t="s">
        <v>1026</v>
      </c>
      <c r="D1348" s="792" t="s">
        <v>779</v>
      </c>
      <c r="E1348" s="793" t="s">
        <v>780</v>
      </c>
      <c r="F1348" s="793" t="s">
        <v>790</v>
      </c>
      <c r="G1348" s="793" t="s">
        <v>791</v>
      </c>
      <c r="H1348" s="793" t="s">
        <v>783</v>
      </c>
      <c r="I1348" s="794">
        <v>4.5902472297263824E-3</v>
      </c>
      <c r="J1348" s="794">
        <v>6.0971847031999996E-2</v>
      </c>
      <c r="K1348" s="771"/>
    </row>
    <row r="1349" spans="1:11" ht="18.75" customHeight="1" outlineLevel="2">
      <c r="A1349" s="791" t="s">
        <v>776</v>
      </c>
      <c r="B1349" s="791" t="s">
        <v>1025</v>
      </c>
      <c r="C1349" s="791" t="s">
        <v>1026</v>
      </c>
      <c r="D1349" s="792" t="s">
        <v>779</v>
      </c>
      <c r="E1349" s="793" t="s">
        <v>780</v>
      </c>
      <c r="F1349" s="793" t="s">
        <v>792</v>
      </c>
      <c r="G1349" s="793" t="s">
        <v>791</v>
      </c>
      <c r="H1349" s="793" t="s">
        <v>783</v>
      </c>
      <c r="I1349" s="794">
        <v>3.40726621961501E-2</v>
      </c>
      <c r="J1349" s="794">
        <v>6.6172405865359121</v>
      </c>
      <c r="K1349" s="771"/>
    </row>
    <row r="1350" spans="1:11" ht="18.75" customHeight="1" outlineLevel="2">
      <c r="A1350" s="791" t="s">
        <v>776</v>
      </c>
      <c r="B1350" s="791" t="s">
        <v>1025</v>
      </c>
      <c r="C1350" s="791" t="s">
        <v>1026</v>
      </c>
      <c r="D1350" s="792" t="s">
        <v>779</v>
      </c>
      <c r="E1350" s="793" t="s">
        <v>780</v>
      </c>
      <c r="F1350" s="793" t="s">
        <v>793</v>
      </c>
      <c r="G1350" s="793" t="s">
        <v>794</v>
      </c>
      <c r="H1350" s="793" t="s">
        <v>783</v>
      </c>
      <c r="I1350" s="794">
        <v>0.64118649675567874</v>
      </c>
      <c r="J1350" s="794">
        <v>16.640495550633037</v>
      </c>
      <c r="K1350" s="771"/>
    </row>
    <row r="1351" spans="1:11" ht="18.75" customHeight="1" outlineLevel="2">
      <c r="A1351" s="791" t="s">
        <v>776</v>
      </c>
      <c r="B1351" s="791" t="s">
        <v>1025</v>
      </c>
      <c r="C1351" s="791" t="s">
        <v>1026</v>
      </c>
      <c r="D1351" s="792" t="s">
        <v>779</v>
      </c>
      <c r="E1351" s="793" t="s">
        <v>780</v>
      </c>
      <c r="F1351" s="793" t="s">
        <v>795</v>
      </c>
      <c r="G1351" s="793" t="s">
        <v>794</v>
      </c>
      <c r="H1351" s="793" t="s">
        <v>783</v>
      </c>
      <c r="I1351" s="794">
        <v>1.9389383324282385E-2</v>
      </c>
      <c r="J1351" s="794">
        <v>0.79444558419726785</v>
      </c>
      <c r="K1351" s="771"/>
    </row>
    <row r="1352" spans="1:11" ht="18.75" customHeight="1" outlineLevel="2">
      <c r="A1352" s="791" t="s">
        <v>776</v>
      </c>
      <c r="B1352" s="791" t="s">
        <v>1025</v>
      </c>
      <c r="C1352" s="791" t="s">
        <v>1026</v>
      </c>
      <c r="D1352" s="792" t="s">
        <v>779</v>
      </c>
      <c r="E1352" s="793" t="s">
        <v>780</v>
      </c>
      <c r="F1352" s="793" t="s">
        <v>796</v>
      </c>
      <c r="G1352" s="793" t="s">
        <v>794</v>
      </c>
      <c r="H1352" s="793" t="s">
        <v>783</v>
      </c>
      <c r="I1352" s="794">
        <v>1.007813089102955E-2</v>
      </c>
      <c r="J1352" s="794">
        <v>1.1613890333457884</v>
      </c>
      <c r="K1352" s="771"/>
    </row>
    <row r="1353" spans="1:11" ht="18.75" customHeight="1" outlineLevel="2">
      <c r="A1353" s="791" t="s">
        <v>776</v>
      </c>
      <c r="B1353" s="791" t="s">
        <v>1025</v>
      </c>
      <c r="C1353" s="791" t="s">
        <v>1026</v>
      </c>
      <c r="D1353" s="792" t="s">
        <v>779</v>
      </c>
      <c r="E1353" s="793" t="s">
        <v>780</v>
      </c>
      <c r="F1353" s="793" t="s">
        <v>797</v>
      </c>
      <c r="G1353" s="793" t="s">
        <v>794</v>
      </c>
      <c r="H1353" s="793" t="s">
        <v>783</v>
      </c>
      <c r="I1353" s="794">
        <v>0.19708295215064792</v>
      </c>
      <c r="J1353" s="794">
        <v>41.242704398013018</v>
      </c>
      <c r="K1353" s="771"/>
    </row>
    <row r="1354" spans="1:11" ht="18.75" customHeight="1" outlineLevel="2">
      <c r="A1354" s="791" t="s">
        <v>776</v>
      </c>
      <c r="B1354" s="791" t="s">
        <v>1025</v>
      </c>
      <c r="C1354" s="791" t="s">
        <v>1026</v>
      </c>
      <c r="D1354" s="792" t="s">
        <v>779</v>
      </c>
      <c r="E1354" s="793" t="s">
        <v>662</v>
      </c>
      <c r="F1354" s="793" t="s">
        <v>798</v>
      </c>
      <c r="G1354" s="793" t="s">
        <v>799</v>
      </c>
      <c r="H1354" s="793" t="s">
        <v>800</v>
      </c>
      <c r="I1354" s="794">
        <v>1.672246631398026</v>
      </c>
      <c r="J1354" s="794">
        <v>480.49033906833733</v>
      </c>
      <c r="K1354" s="771"/>
    </row>
    <row r="1355" spans="1:11" ht="18.75" customHeight="1" outlineLevel="2">
      <c r="A1355" s="791" t="s">
        <v>776</v>
      </c>
      <c r="B1355" s="791" t="s">
        <v>1025</v>
      </c>
      <c r="C1355" s="791" t="s">
        <v>1026</v>
      </c>
      <c r="D1355" s="792" t="s">
        <v>779</v>
      </c>
      <c r="E1355" s="793" t="s">
        <v>662</v>
      </c>
      <c r="F1355" s="793" t="s">
        <v>801</v>
      </c>
      <c r="G1355" s="793" t="s">
        <v>799</v>
      </c>
      <c r="H1355" s="793" t="s">
        <v>800</v>
      </c>
      <c r="I1355" s="794">
        <v>0.51080532387162092</v>
      </c>
      <c r="J1355" s="794">
        <v>206.35143150482168</v>
      </c>
      <c r="K1355" s="771"/>
    </row>
    <row r="1356" spans="1:11" ht="18.75" customHeight="1" outlineLevel="2">
      <c r="A1356" s="791" t="s">
        <v>776</v>
      </c>
      <c r="B1356" s="791" t="s">
        <v>1025</v>
      </c>
      <c r="C1356" s="791" t="s">
        <v>1026</v>
      </c>
      <c r="D1356" s="792" t="s">
        <v>779</v>
      </c>
      <c r="E1356" s="793" t="s">
        <v>662</v>
      </c>
      <c r="F1356" s="793" t="s">
        <v>802</v>
      </c>
      <c r="G1356" s="793" t="s">
        <v>799</v>
      </c>
      <c r="H1356" s="793" t="s">
        <v>800</v>
      </c>
      <c r="I1356" s="794">
        <v>0.23249504352602207</v>
      </c>
      <c r="J1356" s="794">
        <v>299.00607566701569</v>
      </c>
      <c r="K1356" s="771"/>
    </row>
    <row r="1357" spans="1:11" ht="18.75" customHeight="1" outlineLevel="2">
      <c r="A1357" s="791" t="s">
        <v>776</v>
      </c>
      <c r="B1357" s="791" t="s">
        <v>1025</v>
      </c>
      <c r="C1357" s="791" t="s">
        <v>1026</v>
      </c>
      <c r="D1357" s="792" t="s">
        <v>779</v>
      </c>
      <c r="E1357" s="793" t="s">
        <v>662</v>
      </c>
      <c r="F1357" s="793" t="s">
        <v>803</v>
      </c>
      <c r="G1357" s="793" t="s">
        <v>782</v>
      </c>
      <c r="H1357" s="793" t="s">
        <v>804</v>
      </c>
      <c r="I1357" s="794">
        <v>1.9507890058932477E-2</v>
      </c>
      <c r="J1357" s="794">
        <v>12.104263236267796</v>
      </c>
      <c r="K1357" s="771"/>
    </row>
    <row r="1358" spans="1:11" ht="18.75" customHeight="1" outlineLevel="2">
      <c r="A1358" s="791" t="s">
        <v>776</v>
      </c>
      <c r="B1358" s="791" t="s">
        <v>1025</v>
      </c>
      <c r="C1358" s="791" t="s">
        <v>1026</v>
      </c>
      <c r="D1358" s="792" t="s">
        <v>779</v>
      </c>
      <c r="E1358" s="793" t="s">
        <v>662</v>
      </c>
      <c r="F1358" s="793" t="s">
        <v>805</v>
      </c>
      <c r="G1358" s="793" t="s">
        <v>782</v>
      </c>
      <c r="H1358" s="793" t="s">
        <v>804</v>
      </c>
      <c r="I1358" s="794">
        <v>1.6189480928781416E-3</v>
      </c>
      <c r="J1358" s="794">
        <v>0.78406724736445266</v>
      </c>
      <c r="K1358" s="771"/>
    </row>
    <row r="1359" spans="1:11" ht="18.75" customHeight="1" outlineLevel="2">
      <c r="A1359" s="791" t="s">
        <v>776</v>
      </c>
      <c r="B1359" s="791" t="s">
        <v>1025</v>
      </c>
      <c r="C1359" s="791" t="s">
        <v>1026</v>
      </c>
      <c r="D1359" s="792" t="s">
        <v>779</v>
      </c>
      <c r="E1359" s="793" t="s">
        <v>662</v>
      </c>
      <c r="F1359" s="793" t="s">
        <v>806</v>
      </c>
      <c r="G1359" s="793" t="s">
        <v>782</v>
      </c>
      <c r="H1359" s="793" t="s">
        <v>804</v>
      </c>
      <c r="I1359" s="794">
        <v>1.9619551043117212E-3</v>
      </c>
      <c r="J1359" s="794">
        <v>0.93718311504299134</v>
      </c>
      <c r="K1359" s="771"/>
    </row>
    <row r="1360" spans="1:11" ht="18.75" customHeight="1" outlineLevel="2">
      <c r="A1360" s="791" t="s">
        <v>776</v>
      </c>
      <c r="B1360" s="791" t="s">
        <v>1025</v>
      </c>
      <c r="C1360" s="791" t="s">
        <v>1026</v>
      </c>
      <c r="D1360" s="792" t="s">
        <v>779</v>
      </c>
      <c r="E1360" s="793" t="s">
        <v>662</v>
      </c>
      <c r="F1360" s="793" t="s">
        <v>807</v>
      </c>
      <c r="G1360" s="793" t="s">
        <v>782</v>
      </c>
      <c r="H1360" s="793" t="s">
        <v>804</v>
      </c>
      <c r="I1360" s="794">
        <v>1.4509495347534346E-5</v>
      </c>
      <c r="J1360" s="794">
        <v>6.4936757293139963E-3</v>
      </c>
      <c r="K1360" s="771"/>
    </row>
    <row r="1361" spans="1:11" ht="18.75" customHeight="1" outlineLevel="2">
      <c r="A1361" s="791" t="s">
        <v>776</v>
      </c>
      <c r="B1361" s="791" t="s">
        <v>1025</v>
      </c>
      <c r="C1361" s="791" t="s">
        <v>1026</v>
      </c>
      <c r="D1361" s="792" t="s">
        <v>779</v>
      </c>
      <c r="E1361" s="793" t="s">
        <v>662</v>
      </c>
      <c r="F1361" s="793" t="s">
        <v>808</v>
      </c>
      <c r="G1361" s="793" t="s">
        <v>782</v>
      </c>
      <c r="H1361" s="793" t="s">
        <v>804</v>
      </c>
      <c r="I1361" s="794">
        <v>5.59271002099406E-2</v>
      </c>
      <c r="J1361" s="794">
        <v>31.228780333450185</v>
      </c>
      <c r="K1361" s="771"/>
    </row>
    <row r="1362" spans="1:11" ht="18.75" customHeight="1" outlineLevel="2">
      <c r="A1362" s="791" t="s">
        <v>776</v>
      </c>
      <c r="B1362" s="791" t="s">
        <v>1025</v>
      </c>
      <c r="C1362" s="791" t="s">
        <v>1026</v>
      </c>
      <c r="D1362" s="792" t="s">
        <v>779</v>
      </c>
      <c r="E1362" s="793" t="s">
        <v>662</v>
      </c>
      <c r="F1362" s="793" t="s">
        <v>809</v>
      </c>
      <c r="G1362" s="793" t="s">
        <v>782</v>
      </c>
      <c r="H1362" s="793" t="s">
        <v>804</v>
      </c>
      <c r="I1362" s="794">
        <v>4.0892034970079741E-4</v>
      </c>
      <c r="J1362" s="794">
        <v>0.18301094461937506</v>
      </c>
      <c r="K1362" s="771"/>
    </row>
    <row r="1363" spans="1:11" ht="18.75" customHeight="1" outlineLevel="2">
      <c r="A1363" s="791" t="s">
        <v>776</v>
      </c>
      <c r="B1363" s="791" t="s">
        <v>1025</v>
      </c>
      <c r="C1363" s="791" t="s">
        <v>1026</v>
      </c>
      <c r="D1363" s="792" t="s">
        <v>779</v>
      </c>
      <c r="E1363" s="793" t="s">
        <v>662</v>
      </c>
      <c r="F1363" s="793" t="s">
        <v>810</v>
      </c>
      <c r="G1363" s="793" t="s">
        <v>785</v>
      </c>
      <c r="H1363" s="793" t="s">
        <v>727</v>
      </c>
      <c r="I1363" s="794">
        <v>1.3963752909477753E-3</v>
      </c>
      <c r="J1363" s="794">
        <v>0.62494340640491519</v>
      </c>
      <c r="K1363" s="771"/>
    </row>
    <row r="1364" spans="1:11" ht="18.75" customHeight="1" outlineLevel="2">
      <c r="A1364" s="791" t="s">
        <v>776</v>
      </c>
      <c r="B1364" s="791" t="s">
        <v>1025</v>
      </c>
      <c r="C1364" s="791" t="s">
        <v>1026</v>
      </c>
      <c r="D1364" s="792" t="s">
        <v>779</v>
      </c>
      <c r="E1364" s="793" t="s">
        <v>662</v>
      </c>
      <c r="F1364" s="793" t="s">
        <v>811</v>
      </c>
      <c r="G1364" s="793" t="s">
        <v>785</v>
      </c>
      <c r="H1364" s="793" t="s">
        <v>727</v>
      </c>
      <c r="I1364" s="794">
        <v>1.068526166577805E-4</v>
      </c>
      <c r="J1364" s="794">
        <v>4.7821478427666188E-2</v>
      </c>
      <c r="K1364" s="771"/>
    </row>
    <row r="1365" spans="1:11" ht="18.75" customHeight="1" outlineLevel="2">
      <c r="A1365" s="791" t="s">
        <v>776</v>
      </c>
      <c r="B1365" s="791" t="s">
        <v>1025</v>
      </c>
      <c r="C1365" s="791" t="s">
        <v>1026</v>
      </c>
      <c r="D1365" s="792" t="s">
        <v>779</v>
      </c>
      <c r="E1365" s="793" t="s">
        <v>662</v>
      </c>
      <c r="F1365" s="793" t="s">
        <v>812</v>
      </c>
      <c r="G1365" s="793" t="s">
        <v>813</v>
      </c>
      <c r="H1365" s="793" t="s">
        <v>814</v>
      </c>
      <c r="I1365" s="794">
        <v>5.723752963274451E-3</v>
      </c>
      <c r="J1365" s="794">
        <v>3.1347063994054816</v>
      </c>
      <c r="K1365" s="771"/>
    </row>
    <row r="1366" spans="1:11" ht="18.75" customHeight="1" outlineLevel="2">
      <c r="A1366" s="791" t="s">
        <v>776</v>
      </c>
      <c r="B1366" s="791" t="s">
        <v>1025</v>
      </c>
      <c r="C1366" s="791" t="s">
        <v>1026</v>
      </c>
      <c r="D1366" s="792" t="s">
        <v>779</v>
      </c>
      <c r="E1366" s="793" t="s">
        <v>662</v>
      </c>
      <c r="F1366" s="793" t="s">
        <v>815</v>
      </c>
      <c r="G1366" s="793" t="s">
        <v>813</v>
      </c>
      <c r="H1366" s="793" t="s">
        <v>814</v>
      </c>
      <c r="I1366" s="794">
        <v>1.5070896671101338E-2</v>
      </c>
      <c r="J1366" s="794">
        <v>8.099783837767454</v>
      </c>
      <c r="K1366" s="771"/>
    </row>
    <row r="1367" spans="1:11" ht="18.75" customHeight="1" outlineLevel="2">
      <c r="A1367" s="791" t="s">
        <v>776</v>
      </c>
      <c r="B1367" s="791" t="s">
        <v>1025</v>
      </c>
      <c r="C1367" s="791" t="s">
        <v>1026</v>
      </c>
      <c r="D1367" s="792" t="s">
        <v>779</v>
      </c>
      <c r="E1367" s="793" t="s">
        <v>662</v>
      </c>
      <c r="F1367" s="793" t="s">
        <v>816</v>
      </c>
      <c r="G1367" s="793" t="s">
        <v>813</v>
      </c>
      <c r="H1367" s="793" t="s">
        <v>814</v>
      </c>
      <c r="I1367" s="794">
        <v>8.0559060955922995E-2</v>
      </c>
      <c r="J1367" s="794">
        <v>41.854212884458185</v>
      </c>
      <c r="K1367" s="771"/>
    </row>
    <row r="1368" spans="1:11" ht="18.75" customHeight="1" outlineLevel="2">
      <c r="A1368" s="791" t="s">
        <v>776</v>
      </c>
      <c r="B1368" s="791" t="s">
        <v>1025</v>
      </c>
      <c r="C1368" s="791" t="s">
        <v>1026</v>
      </c>
      <c r="D1368" s="792" t="s">
        <v>779</v>
      </c>
      <c r="E1368" s="793" t="s">
        <v>662</v>
      </c>
      <c r="F1368" s="793" t="s">
        <v>817</v>
      </c>
      <c r="G1368" s="793" t="s">
        <v>813</v>
      </c>
      <c r="H1368" s="793" t="s">
        <v>814</v>
      </c>
      <c r="I1368" s="794">
        <v>0.14250402151331681</v>
      </c>
      <c r="J1368" s="794">
        <v>78.007246057696833</v>
      </c>
      <c r="K1368" s="771"/>
    </row>
    <row r="1369" spans="1:11" ht="18.75" customHeight="1" outlineLevel="2">
      <c r="A1369" s="791" t="s">
        <v>776</v>
      </c>
      <c r="B1369" s="791" t="s">
        <v>1025</v>
      </c>
      <c r="C1369" s="791" t="s">
        <v>1026</v>
      </c>
      <c r="D1369" s="792" t="s">
        <v>779</v>
      </c>
      <c r="E1369" s="793" t="s">
        <v>662</v>
      </c>
      <c r="F1369" s="793" t="s">
        <v>818</v>
      </c>
      <c r="G1369" s="793" t="s">
        <v>813</v>
      </c>
      <c r="H1369" s="793" t="s">
        <v>814</v>
      </c>
      <c r="I1369" s="794">
        <v>9.8962290568196817E-2</v>
      </c>
      <c r="J1369" s="794">
        <v>58.126453260207469</v>
      </c>
      <c r="K1369" s="771"/>
    </row>
    <row r="1370" spans="1:11" ht="18.75" customHeight="1" outlineLevel="2">
      <c r="A1370" s="791" t="s">
        <v>776</v>
      </c>
      <c r="B1370" s="791" t="s">
        <v>1025</v>
      </c>
      <c r="C1370" s="791" t="s">
        <v>1026</v>
      </c>
      <c r="D1370" s="792" t="s">
        <v>779</v>
      </c>
      <c r="E1370" s="793" t="s">
        <v>662</v>
      </c>
      <c r="F1370" s="793" t="s">
        <v>819</v>
      </c>
      <c r="G1370" s="793" t="s">
        <v>813</v>
      </c>
      <c r="H1370" s="793" t="s">
        <v>814</v>
      </c>
      <c r="I1370" s="794">
        <v>0.13484236265633825</v>
      </c>
      <c r="J1370" s="794">
        <v>68.167797779868792</v>
      </c>
      <c r="K1370" s="771"/>
    </row>
    <row r="1371" spans="1:11" ht="18.75" customHeight="1" outlineLevel="2">
      <c r="A1371" s="791" t="s">
        <v>776</v>
      </c>
      <c r="B1371" s="791" t="s">
        <v>1025</v>
      </c>
      <c r="C1371" s="791" t="s">
        <v>1026</v>
      </c>
      <c r="D1371" s="792" t="s">
        <v>779</v>
      </c>
      <c r="E1371" s="793" t="s">
        <v>662</v>
      </c>
      <c r="F1371" s="793" t="s">
        <v>820</v>
      </c>
      <c r="G1371" s="793" t="s">
        <v>813</v>
      </c>
      <c r="H1371" s="793" t="s">
        <v>814</v>
      </c>
      <c r="I1371" s="794">
        <v>6.97531379123391E-2</v>
      </c>
      <c r="J1371" s="794">
        <v>37.410045671317334</v>
      </c>
      <c r="K1371" s="771"/>
    </row>
    <row r="1372" spans="1:11" ht="18.75" customHeight="1" outlineLevel="2">
      <c r="A1372" s="791" t="s">
        <v>776</v>
      </c>
      <c r="B1372" s="791" t="s">
        <v>1025</v>
      </c>
      <c r="C1372" s="791" t="s">
        <v>1026</v>
      </c>
      <c r="D1372" s="792" t="s">
        <v>779</v>
      </c>
      <c r="E1372" s="793" t="s">
        <v>662</v>
      </c>
      <c r="F1372" s="793" t="s">
        <v>821</v>
      </c>
      <c r="G1372" s="793" t="s">
        <v>813</v>
      </c>
      <c r="H1372" s="793" t="s">
        <v>814</v>
      </c>
      <c r="I1372" s="794">
        <v>0.11901092628927198</v>
      </c>
      <c r="J1372" s="794">
        <v>63.652451643928224</v>
      </c>
      <c r="K1372" s="771"/>
    </row>
    <row r="1373" spans="1:11" ht="18.75" customHeight="1" outlineLevel="2">
      <c r="A1373" s="791" t="s">
        <v>776</v>
      </c>
      <c r="B1373" s="791" t="s">
        <v>1025</v>
      </c>
      <c r="C1373" s="791" t="s">
        <v>1026</v>
      </c>
      <c r="D1373" s="792" t="s">
        <v>779</v>
      </c>
      <c r="E1373" s="793" t="s">
        <v>662</v>
      </c>
      <c r="F1373" s="793" t="s">
        <v>822</v>
      </c>
      <c r="G1373" s="793" t="s">
        <v>813</v>
      </c>
      <c r="H1373" s="793" t="s">
        <v>814</v>
      </c>
      <c r="I1373" s="794">
        <v>0.12642026633006387</v>
      </c>
      <c r="J1373" s="794">
        <v>18.509589108674579</v>
      </c>
      <c r="K1373" s="771"/>
    </row>
    <row r="1374" spans="1:11" ht="18.75" customHeight="1" outlineLevel="2">
      <c r="A1374" s="791" t="s">
        <v>776</v>
      </c>
      <c r="B1374" s="791" t="s">
        <v>1025</v>
      </c>
      <c r="C1374" s="791" t="s">
        <v>1026</v>
      </c>
      <c r="D1374" s="792" t="s">
        <v>779</v>
      </c>
      <c r="E1374" s="793" t="s">
        <v>662</v>
      </c>
      <c r="F1374" s="793" t="s">
        <v>823</v>
      </c>
      <c r="G1374" s="793" t="s">
        <v>813</v>
      </c>
      <c r="H1374" s="793" t="s">
        <v>814</v>
      </c>
      <c r="I1374" s="794">
        <v>0.15829954416453243</v>
      </c>
      <c r="J1374" s="794">
        <v>23.176485758610792</v>
      </c>
      <c r="K1374" s="771"/>
    </row>
    <row r="1375" spans="1:11" ht="18.75" customHeight="1" outlineLevel="2">
      <c r="A1375" s="791" t="s">
        <v>776</v>
      </c>
      <c r="B1375" s="791" t="s">
        <v>1025</v>
      </c>
      <c r="C1375" s="791" t="s">
        <v>1026</v>
      </c>
      <c r="D1375" s="792" t="s">
        <v>779</v>
      </c>
      <c r="E1375" s="793" t="s">
        <v>662</v>
      </c>
      <c r="F1375" s="793" t="s">
        <v>824</v>
      </c>
      <c r="G1375" s="793" t="s">
        <v>813</v>
      </c>
      <c r="H1375" s="793" t="s">
        <v>814</v>
      </c>
      <c r="I1375" s="794">
        <v>6.8069640378090983E-5</v>
      </c>
      <c r="J1375" s="794">
        <v>3.3965426105229485E-2</v>
      </c>
      <c r="K1375" s="771"/>
    </row>
    <row r="1376" spans="1:11" ht="18.75" customHeight="1" outlineLevel="2">
      <c r="A1376" s="791" t="s">
        <v>776</v>
      </c>
      <c r="B1376" s="791" t="s">
        <v>1025</v>
      </c>
      <c r="C1376" s="791" t="s">
        <v>1026</v>
      </c>
      <c r="D1376" s="792" t="s">
        <v>779</v>
      </c>
      <c r="E1376" s="793" t="s">
        <v>662</v>
      </c>
      <c r="F1376" s="793" t="s">
        <v>825</v>
      </c>
      <c r="G1376" s="793" t="s">
        <v>791</v>
      </c>
      <c r="H1376" s="793" t="s">
        <v>826</v>
      </c>
      <c r="I1376" s="794">
        <v>5.7004733280775495E-4</v>
      </c>
      <c r="J1376" s="794">
        <v>0.34665858864813148</v>
      </c>
      <c r="K1376" s="771"/>
    </row>
    <row r="1377" spans="1:11" ht="18.75" customHeight="1" outlineLevel="2">
      <c r="A1377" s="791" t="s">
        <v>776</v>
      </c>
      <c r="B1377" s="791" t="s">
        <v>1025</v>
      </c>
      <c r="C1377" s="791" t="s">
        <v>1026</v>
      </c>
      <c r="D1377" s="792" t="s">
        <v>779</v>
      </c>
      <c r="E1377" s="793" t="s">
        <v>662</v>
      </c>
      <c r="F1377" s="793" t="s">
        <v>827</v>
      </c>
      <c r="G1377" s="793" t="s">
        <v>794</v>
      </c>
      <c r="H1377" s="793" t="s">
        <v>828</v>
      </c>
      <c r="I1377" s="794">
        <v>5.6506139863546695E-3</v>
      </c>
      <c r="J1377" s="794">
        <v>2.7976730057600085</v>
      </c>
      <c r="K1377" s="771"/>
    </row>
    <row r="1378" spans="1:11" ht="18.75" customHeight="1" outlineLevel="2">
      <c r="A1378" s="791" t="s">
        <v>776</v>
      </c>
      <c r="B1378" s="791" t="s">
        <v>1025</v>
      </c>
      <c r="C1378" s="791" t="s">
        <v>1026</v>
      </c>
      <c r="D1378" s="792" t="s">
        <v>779</v>
      </c>
      <c r="E1378" s="793" t="s">
        <v>662</v>
      </c>
      <c r="F1378" s="793" t="s">
        <v>829</v>
      </c>
      <c r="G1378" s="793" t="s">
        <v>794</v>
      </c>
      <c r="H1378" s="793" t="s">
        <v>828</v>
      </c>
      <c r="I1378" s="794">
        <v>3.6059912237842197E-2</v>
      </c>
      <c r="J1378" s="794">
        <v>18.663598617834204</v>
      </c>
      <c r="K1378" s="771"/>
    </row>
    <row r="1379" spans="1:11" ht="18.75" customHeight="1" outlineLevel="2">
      <c r="A1379" s="791" t="s">
        <v>776</v>
      </c>
      <c r="B1379" s="791" t="s">
        <v>1025</v>
      </c>
      <c r="C1379" s="791" t="s">
        <v>1026</v>
      </c>
      <c r="D1379" s="792" t="s">
        <v>779</v>
      </c>
      <c r="E1379" s="793" t="s">
        <v>662</v>
      </c>
      <c r="F1379" s="793" t="s">
        <v>830</v>
      </c>
      <c r="G1379" s="793" t="s">
        <v>794</v>
      </c>
      <c r="H1379" s="793" t="s">
        <v>828</v>
      </c>
      <c r="I1379" s="794">
        <v>1.4463594210747889E-5</v>
      </c>
      <c r="J1379" s="794">
        <v>6.4731234452945147E-3</v>
      </c>
      <c r="K1379" s="771"/>
    </row>
    <row r="1380" spans="1:11" ht="18.75" customHeight="1" outlineLevel="2">
      <c r="A1380" s="791" t="s">
        <v>776</v>
      </c>
      <c r="B1380" s="791" t="s">
        <v>1025</v>
      </c>
      <c r="C1380" s="791" t="s">
        <v>1026</v>
      </c>
      <c r="D1380" s="792" t="s">
        <v>779</v>
      </c>
      <c r="E1380" s="793" t="s">
        <v>662</v>
      </c>
      <c r="F1380" s="793" t="s">
        <v>831</v>
      </c>
      <c r="G1380" s="793" t="s">
        <v>794</v>
      </c>
      <c r="H1380" s="793" t="s">
        <v>828</v>
      </c>
      <c r="I1380" s="794">
        <v>2.5229045133807934E-4</v>
      </c>
      <c r="J1380" s="794">
        <v>0.11291162690784788</v>
      </c>
      <c r="K1380" s="771"/>
    </row>
    <row r="1381" spans="1:11" ht="18.75" customHeight="1" outlineLevel="2">
      <c r="A1381" s="791" t="s">
        <v>776</v>
      </c>
      <c r="B1381" s="791" t="s">
        <v>1025</v>
      </c>
      <c r="C1381" s="791" t="s">
        <v>1026</v>
      </c>
      <c r="D1381" s="792" t="s">
        <v>779</v>
      </c>
      <c r="E1381" s="793" t="s">
        <v>662</v>
      </c>
      <c r="F1381" s="793" t="s">
        <v>832</v>
      </c>
      <c r="G1381" s="793" t="s">
        <v>833</v>
      </c>
      <c r="H1381" s="793" t="s">
        <v>834</v>
      </c>
      <c r="I1381" s="794">
        <v>6.942149173662219E-4</v>
      </c>
      <c r="J1381" s="794">
        <v>0.40079010211338512</v>
      </c>
      <c r="K1381" s="771"/>
    </row>
    <row r="1382" spans="1:11" ht="18.75" customHeight="1" outlineLevel="2">
      <c r="A1382" s="791" t="s">
        <v>776</v>
      </c>
      <c r="B1382" s="791" t="s">
        <v>1025</v>
      </c>
      <c r="C1382" s="791" t="s">
        <v>1026</v>
      </c>
      <c r="D1382" s="792" t="s">
        <v>779</v>
      </c>
      <c r="E1382" s="793" t="s">
        <v>662</v>
      </c>
      <c r="F1382" s="793" t="s">
        <v>835</v>
      </c>
      <c r="G1382" s="793" t="s">
        <v>799</v>
      </c>
      <c r="H1382" s="793" t="s">
        <v>800</v>
      </c>
      <c r="I1382" s="794">
        <v>0.31710896842308584</v>
      </c>
      <c r="J1382" s="794">
        <v>224.09096055866746</v>
      </c>
      <c r="K1382" s="771"/>
    </row>
    <row r="1383" spans="1:11" ht="18.75" customHeight="1" outlineLevel="2">
      <c r="A1383" s="791" t="s">
        <v>776</v>
      </c>
      <c r="B1383" s="791" t="s">
        <v>1025</v>
      </c>
      <c r="C1383" s="791" t="s">
        <v>1026</v>
      </c>
      <c r="D1383" s="792" t="s">
        <v>779</v>
      </c>
      <c r="E1383" s="793" t="s">
        <v>662</v>
      </c>
      <c r="F1383" s="793" t="s">
        <v>836</v>
      </c>
      <c r="G1383" s="793" t="s">
        <v>799</v>
      </c>
      <c r="H1383" s="793" t="s">
        <v>800</v>
      </c>
      <c r="I1383" s="794">
        <v>2.3367762214585386</v>
      </c>
      <c r="J1383" s="794">
        <v>2130.3840552816077</v>
      </c>
      <c r="K1383" s="771"/>
    </row>
    <row r="1384" spans="1:11" ht="18.75" customHeight="1" outlineLevel="2">
      <c r="A1384" s="791" t="s">
        <v>776</v>
      </c>
      <c r="B1384" s="791" t="s">
        <v>1025</v>
      </c>
      <c r="C1384" s="791" t="s">
        <v>1026</v>
      </c>
      <c r="D1384" s="792" t="s">
        <v>779</v>
      </c>
      <c r="E1384" s="793" t="s">
        <v>662</v>
      </c>
      <c r="F1384" s="793" t="s">
        <v>837</v>
      </c>
      <c r="G1384" s="793" t="s">
        <v>799</v>
      </c>
      <c r="H1384" s="793" t="s">
        <v>800</v>
      </c>
      <c r="I1384" s="794">
        <v>0.27437400150531188</v>
      </c>
      <c r="J1384" s="794">
        <v>364.3709013056897</v>
      </c>
      <c r="K1384" s="771"/>
    </row>
    <row r="1385" spans="1:11" ht="18.75" customHeight="1" outlineLevel="2">
      <c r="A1385" s="791" t="s">
        <v>776</v>
      </c>
      <c r="B1385" s="791" t="s">
        <v>1025</v>
      </c>
      <c r="C1385" s="791" t="s">
        <v>1026</v>
      </c>
      <c r="D1385" s="792" t="s">
        <v>779</v>
      </c>
      <c r="E1385" s="793" t="s">
        <v>662</v>
      </c>
      <c r="F1385" s="793" t="s">
        <v>838</v>
      </c>
      <c r="G1385" s="793" t="s">
        <v>799</v>
      </c>
      <c r="H1385" s="793" t="s">
        <v>800</v>
      </c>
      <c r="I1385" s="794">
        <v>0.31397909755584147</v>
      </c>
      <c r="J1385" s="794">
        <v>285.73873242536877</v>
      </c>
      <c r="K1385" s="771"/>
    </row>
    <row r="1386" spans="1:11" ht="18.75" customHeight="1" outlineLevel="2">
      <c r="A1386" s="791" t="s">
        <v>776</v>
      </c>
      <c r="B1386" s="791" t="s">
        <v>1025</v>
      </c>
      <c r="C1386" s="791" t="s">
        <v>1026</v>
      </c>
      <c r="D1386" s="792" t="s">
        <v>779</v>
      </c>
      <c r="E1386" s="793" t="s">
        <v>662</v>
      </c>
      <c r="F1386" s="793" t="s">
        <v>839</v>
      </c>
      <c r="G1386" s="793" t="s">
        <v>782</v>
      </c>
      <c r="H1386" s="793" t="s">
        <v>804</v>
      </c>
      <c r="I1386" s="794">
        <v>6.5924563097345722E-3</v>
      </c>
      <c r="J1386" s="794">
        <v>10.729877999686991</v>
      </c>
      <c r="K1386" s="771"/>
    </row>
    <row r="1387" spans="1:11" ht="18.75" customHeight="1" outlineLevel="2">
      <c r="A1387" s="791" t="s">
        <v>776</v>
      </c>
      <c r="B1387" s="791" t="s">
        <v>1025</v>
      </c>
      <c r="C1387" s="791" t="s">
        <v>1026</v>
      </c>
      <c r="D1387" s="792" t="s">
        <v>779</v>
      </c>
      <c r="E1387" s="793" t="s">
        <v>662</v>
      </c>
      <c r="F1387" s="793" t="s">
        <v>840</v>
      </c>
      <c r="G1387" s="793" t="s">
        <v>782</v>
      </c>
      <c r="H1387" s="793" t="s">
        <v>804</v>
      </c>
      <c r="I1387" s="794">
        <v>5.268020163647701E-5</v>
      </c>
      <c r="J1387" s="794">
        <v>8.0089181250976763E-2</v>
      </c>
      <c r="K1387" s="771"/>
    </row>
    <row r="1388" spans="1:11" ht="18.75" customHeight="1" outlineLevel="2">
      <c r="A1388" s="791" t="s">
        <v>776</v>
      </c>
      <c r="B1388" s="791" t="s">
        <v>1025</v>
      </c>
      <c r="C1388" s="791" t="s">
        <v>1026</v>
      </c>
      <c r="D1388" s="792" t="s">
        <v>779</v>
      </c>
      <c r="E1388" s="793" t="s">
        <v>662</v>
      </c>
      <c r="F1388" s="793" t="s">
        <v>841</v>
      </c>
      <c r="G1388" s="793" t="s">
        <v>782</v>
      </c>
      <c r="H1388" s="793" t="s">
        <v>804</v>
      </c>
      <c r="I1388" s="794">
        <v>1.4243908239348919E-2</v>
      </c>
      <c r="J1388" s="794">
        <v>20.157378867071841</v>
      </c>
      <c r="K1388" s="771"/>
    </row>
    <row r="1389" spans="1:11" ht="18.75" customHeight="1" outlineLevel="2">
      <c r="A1389" s="791" t="s">
        <v>776</v>
      </c>
      <c r="B1389" s="791" t="s">
        <v>1025</v>
      </c>
      <c r="C1389" s="791" t="s">
        <v>1026</v>
      </c>
      <c r="D1389" s="792" t="s">
        <v>779</v>
      </c>
      <c r="E1389" s="793" t="s">
        <v>662</v>
      </c>
      <c r="F1389" s="793" t="s">
        <v>842</v>
      </c>
      <c r="G1389" s="793" t="s">
        <v>782</v>
      </c>
      <c r="H1389" s="793" t="s">
        <v>804</v>
      </c>
      <c r="I1389" s="794">
        <v>1.1623505475275667E-2</v>
      </c>
      <c r="J1389" s="794">
        <v>18.977832585137435</v>
      </c>
      <c r="K1389" s="771"/>
    </row>
    <row r="1390" spans="1:11" ht="18.75" customHeight="1" outlineLevel="2">
      <c r="A1390" s="791" t="s">
        <v>776</v>
      </c>
      <c r="B1390" s="791" t="s">
        <v>1025</v>
      </c>
      <c r="C1390" s="791" t="s">
        <v>1026</v>
      </c>
      <c r="D1390" s="792" t="s">
        <v>779</v>
      </c>
      <c r="E1390" s="793" t="s">
        <v>662</v>
      </c>
      <c r="F1390" s="793" t="s">
        <v>843</v>
      </c>
      <c r="G1390" s="793" t="s">
        <v>782</v>
      </c>
      <c r="H1390" s="793" t="s">
        <v>804</v>
      </c>
      <c r="I1390" s="794">
        <v>2.5993874158038548E-2</v>
      </c>
      <c r="J1390" s="794">
        <v>37.87391362020854</v>
      </c>
      <c r="K1390" s="771"/>
    </row>
    <row r="1391" spans="1:11" ht="18.75" customHeight="1" outlineLevel="2">
      <c r="A1391" s="791" t="s">
        <v>776</v>
      </c>
      <c r="B1391" s="791" t="s">
        <v>1025</v>
      </c>
      <c r="C1391" s="791" t="s">
        <v>1026</v>
      </c>
      <c r="D1391" s="792" t="s">
        <v>779</v>
      </c>
      <c r="E1391" s="793" t="s">
        <v>662</v>
      </c>
      <c r="F1391" s="793" t="s">
        <v>844</v>
      </c>
      <c r="G1391" s="793" t="s">
        <v>782</v>
      </c>
      <c r="H1391" s="793" t="s">
        <v>804</v>
      </c>
      <c r="I1391" s="794">
        <v>1.1276782585904629E-2</v>
      </c>
      <c r="J1391" s="794">
        <v>15.947720490746976</v>
      </c>
      <c r="K1391" s="771"/>
    </row>
    <row r="1392" spans="1:11" ht="18.75" customHeight="1" outlineLevel="2">
      <c r="A1392" s="791" t="s">
        <v>776</v>
      </c>
      <c r="B1392" s="791" t="s">
        <v>1025</v>
      </c>
      <c r="C1392" s="791" t="s">
        <v>1026</v>
      </c>
      <c r="D1392" s="792" t="s">
        <v>779</v>
      </c>
      <c r="E1392" s="793" t="s">
        <v>662</v>
      </c>
      <c r="F1392" s="793" t="s">
        <v>845</v>
      </c>
      <c r="G1392" s="793" t="s">
        <v>782</v>
      </c>
      <c r="H1392" s="793" t="s">
        <v>804</v>
      </c>
      <c r="I1392" s="794">
        <v>6.1415342102278758E-4</v>
      </c>
      <c r="J1392" s="794">
        <v>0.83116593653038773</v>
      </c>
      <c r="K1392" s="771"/>
    </row>
    <row r="1393" spans="1:11" ht="18.75" customHeight="1" outlineLevel="2">
      <c r="A1393" s="791" t="s">
        <v>776</v>
      </c>
      <c r="B1393" s="791" t="s">
        <v>1025</v>
      </c>
      <c r="C1393" s="791" t="s">
        <v>1026</v>
      </c>
      <c r="D1393" s="792" t="s">
        <v>779</v>
      </c>
      <c r="E1393" s="793" t="s">
        <v>662</v>
      </c>
      <c r="F1393" s="793" t="s">
        <v>846</v>
      </c>
      <c r="G1393" s="793" t="s">
        <v>782</v>
      </c>
      <c r="H1393" s="793" t="s">
        <v>804</v>
      </c>
      <c r="I1393" s="794">
        <v>2.1371998643790618E-2</v>
      </c>
      <c r="J1393" s="794">
        <v>33.373681146982101</v>
      </c>
      <c r="K1393" s="771"/>
    </row>
    <row r="1394" spans="1:11" ht="18.75" customHeight="1" outlineLevel="2">
      <c r="A1394" s="791" t="s">
        <v>776</v>
      </c>
      <c r="B1394" s="791" t="s">
        <v>1025</v>
      </c>
      <c r="C1394" s="791" t="s">
        <v>1026</v>
      </c>
      <c r="D1394" s="792" t="s">
        <v>779</v>
      </c>
      <c r="E1394" s="793" t="s">
        <v>662</v>
      </c>
      <c r="F1394" s="793" t="s">
        <v>847</v>
      </c>
      <c r="G1394" s="793" t="s">
        <v>782</v>
      </c>
      <c r="H1394" s="793" t="s">
        <v>804</v>
      </c>
      <c r="I1394" s="794">
        <v>1.0186078610260947E-2</v>
      </c>
      <c r="J1394" s="794">
        <v>12.377699001057135</v>
      </c>
      <c r="K1394" s="771"/>
    </row>
    <row r="1395" spans="1:11" ht="18.75" customHeight="1" outlineLevel="2">
      <c r="A1395" s="791" t="s">
        <v>776</v>
      </c>
      <c r="B1395" s="791" t="s">
        <v>1025</v>
      </c>
      <c r="C1395" s="791" t="s">
        <v>1026</v>
      </c>
      <c r="D1395" s="792" t="s">
        <v>779</v>
      </c>
      <c r="E1395" s="793" t="s">
        <v>662</v>
      </c>
      <c r="F1395" s="793" t="s">
        <v>848</v>
      </c>
      <c r="G1395" s="793" t="s">
        <v>782</v>
      </c>
      <c r="H1395" s="793" t="s">
        <v>804</v>
      </c>
      <c r="I1395" s="794">
        <v>4.8148024413101273E-2</v>
      </c>
      <c r="J1395" s="794">
        <v>69.54343444707041</v>
      </c>
      <c r="K1395" s="771"/>
    </row>
    <row r="1396" spans="1:11" ht="18.75" customHeight="1" outlineLevel="2">
      <c r="A1396" s="791" t="s">
        <v>776</v>
      </c>
      <c r="B1396" s="791" t="s">
        <v>1025</v>
      </c>
      <c r="C1396" s="791" t="s">
        <v>1026</v>
      </c>
      <c r="D1396" s="792" t="s">
        <v>779</v>
      </c>
      <c r="E1396" s="793" t="s">
        <v>662</v>
      </c>
      <c r="F1396" s="793" t="s">
        <v>849</v>
      </c>
      <c r="G1396" s="793" t="s">
        <v>782</v>
      </c>
      <c r="H1396" s="793" t="s">
        <v>804</v>
      </c>
      <c r="I1396" s="794">
        <v>2.4407141057538075E-2</v>
      </c>
      <c r="J1396" s="794">
        <v>33.396683098985676</v>
      </c>
      <c r="K1396" s="771"/>
    </row>
    <row r="1397" spans="1:11" ht="18.75" customHeight="1" outlineLevel="2">
      <c r="A1397" s="791" t="s">
        <v>776</v>
      </c>
      <c r="B1397" s="791" t="s">
        <v>1025</v>
      </c>
      <c r="C1397" s="791" t="s">
        <v>1026</v>
      </c>
      <c r="D1397" s="792" t="s">
        <v>779</v>
      </c>
      <c r="E1397" s="793" t="s">
        <v>662</v>
      </c>
      <c r="F1397" s="793" t="s">
        <v>850</v>
      </c>
      <c r="G1397" s="793" t="s">
        <v>782</v>
      </c>
      <c r="H1397" s="793" t="s">
        <v>804</v>
      </c>
      <c r="I1397" s="794">
        <v>1.9287937157438006E-3</v>
      </c>
      <c r="J1397" s="794">
        <v>2.6900598827614388</v>
      </c>
      <c r="K1397" s="771"/>
    </row>
    <row r="1398" spans="1:11" ht="18.75" customHeight="1" outlineLevel="2">
      <c r="A1398" s="791" t="s">
        <v>776</v>
      </c>
      <c r="B1398" s="791" t="s">
        <v>1025</v>
      </c>
      <c r="C1398" s="791" t="s">
        <v>1026</v>
      </c>
      <c r="D1398" s="792" t="s">
        <v>779</v>
      </c>
      <c r="E1398" s="793" t="s">
        <v>662</v>
      </c>
      <c r="F1398" s="793" t="s">
        <v>851</v>
      </c>
      <c r="G1398" s="793" t="s">
        <v>782</v>
      </c>
      <c r="H1398" s="793" t="s">
        <v>804</v>
      </c>
      <c r="I1398" s="794">
        <v>3.1678408458052517E-3</v>
      </c>
      <c r="J1398" s="794">
        <v>4.5172848023061567</v>
      </c>
      <c r="K1398" s="771"/>
    </row>
    <row r="1399" spans="1:11" ht="18.75" customHeight="1" outlineLevel="2">
      <c r="A1399" s="791" t="s">
        <v>776</v>
      </c>
      <c r="B1399" s="791" t="s">
        <v>1025</v>
      </c>
      <c r="C1399" s="791" t="s">
        <v>1026</v>
      </c>
      <c r="D1399" s="792" t="s">
        <v>779</v>
      </c>
      <c r="E1399" s="793" t="s">
        <v>662</v>
      </c>
      <c r="F1399" s="793" t="s">
        <v>852</v>
      </c>
      <c r="G1399" s="793" t="s">
        <v>782</v>
      </c>
      <c r="H1399" s="793" t="s">
        <v>804</v>
      </c>
      <c r="I1399" s="794">
        <v>1.3865916487939447E-3</v>
      </c>
      <c r="J1399" s="794">
        <v>4.0365631538320494</v>
      </c>
      <c r="K1399" s="771"/>
    </row>
    <row r="1400" spans="1:11" ht="18.75" customHeight="1" outlineLevel="2">
      <c r="A1400" s="791" t="s">
        <v>776</v>
      </c>
      <c r="B1400" s="791" t="s">
        <v>1025</v>
      </c>
      <c r="C1400" s="791" t="s">
        <v>1026</v>
      </c>
      <c r="D1400" s="792" t="s">
        <v>779</v>
      </c>
      <c r="E1400" s="793" t="s">
        <v>662</v>
      </c>
      <c r="F1400" s="793" t="s">
        <v>853</v>
      </c>
      <c r="G1400" s="793" t="s">
        <v>782</v>
      </c>
      <c r="H1400" s="793" t="s">
        <v>804</v>
      </c>
      <c r="I1400" s="794">
        <v>1.1162212070494068E-3</v>
      </c>
      <c r="J1400" s="794">
        <v>9.5740307428687412</v>
      </c>
      <c r="K1400" s="771"/>
    </row>
    <row r="1401" spans="1:11" ht="18.75" customHeight="1" outlineLevel="2">
      <c r="A1401" s="791" t="s">
        <v>776</v>
      </c>
      <c r="B1401" s="791" t="s">
        <v>1025</v>
      </c>
      <c r="C1401" s="791" t="s">
        <v>1026</v>
      </c>
      <c r="D1401" s="792" t="s">
        <v>779</v>
      </c>
      <c r="E1401" s="793" t="s">
        <v>662</v>
      </c>
      <c r="F1401" s="793" t="s">
        <v>854</v>
      </c>
      <c r="G1401" s="793" t="s">
        <v>782</v>
      </c>
      <c r="H1401" s="793" t="s">
        <v>804</v>
      </c>
      <c r="I1401" s="794">
        <v>1.5190891030421698E-2</v>
      </c>
      <c r="J1401" s="794">
        <v>22.828589231465923</v>
      </c>
      <c r="K1401" s="771"/>
    </row>
    <row r="1402" spans="1:11" ht="18.75" customHeight="1" outlineLevel="2">
      <c r="A1402" s="791" t="s">
        <v>776</v>
      </c>
      <c r="B1402" s="791" t="s">
        <v>1025</v>
      </c>
      <c r="C1402" s="791" t="s">
        <v>1026</v>
      </c>
      <c r="D1402" s="792" t="s">
        <v>779</v>
      </c>
      <c r="E1402" s="793" t="s">
        <v>662</v>
      </c>
      <c r="F1402" s="793" t="s">
        <v>855</v>
      </c>
      <c r="G1402" s="793" t="s">
        <v>782</v>
      </c>
      <c r="H1402" s="793" t="s">
        <v>804</v>
      </c>
      <c r="I1402" s="794">
        <v>1.0842313308873692E-2</v>
      </c>
      <c r="J1402" s="794">
        <v>15.910616453359292</v>
      </c>
      <c r="K1402" s="771"/>
    </row>
    <row r="1403" spans="1:11" ht="18.75" customHeight="1" outlineLevel="2">
      <c r="A1403" s="791" t="s">
        <v>776</v>
      </c>
      <c r="B1403" s="791" t="s">
        <v>1025</v>
      </c>
      <c r="C1403" s="791" t="s">
        <v>1026</v>
      </c>
      <c r="D1403" s="792" t="s">
        <v>779</v>
      </c>
      <c r="E1403" s="793" t="s">
        <v>662</v>
      </c>
      <c r="F1403" s="793" t="s">
        <v>856</v>
      </c>
      <c r="G1403" s="793" t="s">
        <v>782</v>
      </c>
      <c r="H1403" s="793" t="s">
        <v>804</v>
      </c>
      <c r="I1403" s="794">
        <v>4.2595259464065583E-3</v>
      </c>
      <c r="J1403" s="794">
        <v>5.2133424587466095</v>
      </c>
      <c r="K1403" s="771"/>
    </row>
    <row r="1404" spans="1:11" ht="18.75" customHeight="1" outlineLevel="2">
      <c r="A1404" s="791" t="s">
        <v>776</v>
      </c>
      <c r="B1404" s="791" t="s">
        <v>1025</v>
      </c>
      <c r="C1404" s="791" t="s">
        <v>1026</v>
      </c>
      <c r="D1404" s="792" t="s">
        <v>779</v>
      </c>
      <c r="E1404" s="793" t="s">
        <v>662</v>
      </c>
      <c r="F1404" s="793" t="s">
        <v>857</v>
      </c>
      <c r="G1404" s="793" t="s">
        <v>782</v>
      </c>
      <c r="H1404" s="793" t="s">
        <v>804</v>
      </c>
      <c r="I1404" s="794">
        <v>3.5435959380392423E-3</v>
      </c>
      <c r="J1404" s="794">
        <v>3.8094007163394457</v>
      </c>
      <c r="K1404" s="771"/>
    </row>
    <row r="1405" spans="1:11" ht="18.75" customHeight="1" outlineLevel="2">
      <c r="A1405" s="791" t="s">
        <v>776</v>
      </c>
      <c r="B1405" s="791" t="s">
        <v>1025</v>
      </c>
      <c r="C1405" s="791" t="s">
        <v>1026</v>
      </c>
      <c r="D1405" s="792" t="s">
        <v>779</v>
      </c>
      <c r="E1405" s="793" t="s">
        <v>662</v>
      </c>
      <c r="F1405" s="793" t="s">
        <v>858</v>
      </c>
      <c r="G1405" s="793" t="s">
        <v>785</v>
      </c>
      <c r="H1405" s="793" t="s">
        <v>727</v>
      </c>
      <c r="I1405" s="794">
        <v>3.4629720940720997E-2</v>
      </c>
      <c r="J1405" s="794">
        <v>69.271757915091356</v>
      </c>
      <c r="K1405" s="771"/>
    </row>
    <row r="1406" spans="1:11" ht="18.75" customHeight="1" outlineLevel="2">
      <c r="A1406" s="791" t="s">
        <v>776</v>
      </c>
      <c r="B1406" s="791" t="s">
        <v>1025</v>
      </c>
      <c r="C1406" s="791" t="s">
        <v>1026</v>
      </c>
      <c r="D1406" s="792" t="s">
        <v>779</v>
      </c>
      <c r="E1406" s="793" t="s">
        <v>662</v>
      </c>
      <c r="F1406" s="793" t="s">
        <v>859</v>
      </c>
      <c r="G1406" s="793" t="s">
        <v>785</v>
      </c>
      <c r="H1406" s="793" t="s">
        <v>727</v>
      </c>
      <c r="I1406" s="794">
        <v>2.4884773351828992E-2</v>
      </c>
      <c r="J1406" s="794">
        <v>262.15891935986946</v>
      </c>
      <c r="K1406" s="771"/>
    </row>
    <row r="1407" spans="1:11" ht="18.75" customHeight="1" outlineLevel="2">
      <c r="A1407" s="791" t="s">
        <v>776</v>
      </c>
      <c r="B1407" s="791" t="s">
        <v>1025</v>
      </c>
      <c r="C1407" s="791" t="s">
        <v>1026</v>
      </c>
      <c r="D1407" s="792" t="s">
        <v>779</v>
      </c>
      <c r="E1407" s="793" t="s">
        <v>662</v>
      </c>
      <c r="F1407" s="793" t="s">
        <v>860</v>
      </c>
      <c r="G1407" s="793" t="s">
        <v>785</v>
      </c>
      <c r="H1407" s="793" t="s">
        <v>727</v>
      </c>
      <c r="I1407" s="794">
        <v>2.0651248261339895E-2</v>
      </c>
      <c r="J1407" s="794">
        <v>56.333223912550991</v>
      </c>
      <c r="K1407" s="771"/>
    </row>
    <row r="1408" spans="1:11" ht="18.75" customHeight="1" outlineLevel="2">
      <c r="A1408" s="791" t="s">
        <v>776</v>
      </c>
      <c r="B1408" s="791" t="s">
        <v>1025</v>
      </c>
      <c r="C1408" s="791" t="s">
        <v>1026</v>
      </c>
      <c r="D1408" s="792" t="s">
        <v>779</v>
      </c>
      <c r="E1408" s="793" t="s">
        <v>662</v>
      </c>
      <c r="F1408" s="793" t="s">
        <v>861</v>
      </c>
      <c r="G1408" s="793" t="s">
        <v>785</v>
      </c>
      <c r="H1408" s="793" t="s">
        <v>727</v>
      </c>
      <c r="I1408" s="794">
        <v>7.9437032379930675E-2</v>
      </c>
      <c r="J1408" s="794">
        <v>105.80928725050082</v>
      </c>
      <c r="K1408" s="771"/>
    </row>
    <row r="1409" spans="1:11" ht="18.75" customHeight="1" outlineLevel="2">
      <c r="A1409" s="791" t="s">
        <v>776</v>
      </c>
      <c r="B1409" s="791" t="s">
        <v>1025</v>
      </c>
      <c r="C1409" s="791" t="s">
        <v>1026</v>
      </c>
      <c r="D1409" s="792" t="s">
        <v>779</v>
      </c>
      <c r="E1409" s="793" t="s">
        <v>662</v>
      </c>
      <c r="F1409" s="793" t="s">
        <v>862</v>
      </c>
      <c r="G1409" s="793" t="s">
        <v>785</v>
      </c>
      <c r="H1409" s="793" t="s">
        <v>727</v>
      </c>
      <c r="I1409" s="794">
        <v>2.2406555743135995E-3</v>
      </c>
      <c r="J1409" s="794">
        <v>4.8549822487601988</v>
      </c>
      <c r="K1409" s="771"/>
    </row>
    <row r="1410" spans="1:11" ht="18.75" customHeight="1" outlineLevel="2">
      <c r="A1410" s="791" t="s">
        <v>776</v>
      </c>
      <c r="B1410" s="791" t="s">
        <v>1025</v>
      </c>
      <c r="C1410" s="791" t="s">
        <v>1026</v>
      </c>
      <c r="D1410" s="792" t="s">
        <v>779</v>
      </c>
      <c r="E1410" s="793" t="s">
        <v>662</v>
      </c>
      <c r="F1410" s="793" t="s">
        <v>863</v>
      </c>
      <c r="G1410" s="793" t="s">
        <v>785</v>
      </c>
      <c r="H1410" s="793" t="s">
        <v>727</v>
      </c>
      <c r="I1410" s="794">
        <v>1.9993674837284416E-3</v>
      </c>
      <c r="J1410" s="794">
        <v>2.9616861056685782</v>
      </c>
      <c r="K1410" s="771"/>
    </row>
    <row r="1411" spans="1:11" ht="18.75" customHeight="1" outlineLevel="2">
      <c r="A1411" s="791" t="s">
        <v>776</v>
      </c>
      <c r="B1411" s="791" t="s">
        <v>1025</v>
      </c>
      <c r="C1411" s="791" t="s">
        <v>1026</v>
      </c>
      <c r="D1411" s="792" t="s">
        <v>779</v>
      </c>
      <c r="E1411" s="793" t="s">
        <v>662</v>
      </c>
      <c r="F1411" s="793" t="s">
        <v>864</v>
      </c>
      <c r="G1411" s="793" t="s">
        <v>785</v>
      </c>
      <c r="H1411" s="793" t="s">
        <v>727</v>
      </c>
      <c r="I1411" s="794">
        <v>1.6316592633791409E-3</v>
      </c>
      <c r="J1411" s="794">
        <v>23.152702280958412</v>
      </c>
      <c r="K1411" s="771"/>
    </row>
    <row r="1412" spans="1:11" ht="18.75" customHeight="1" outlineLevel="2">
      <c r="A1412" s="791" t="s">
        <v>776</v>
      </c>
      <c r="B1412" s="791" t="s">
        <v>1025</v>
      </c>
      <c r="C1412" s="791" t="s">
        <v>1026</v>
      </c>
      <c r="D1412" s="792" t="s">
        <v>779</v>
      </c>
      <c r="E1412" s="793" t="s">
        <v>662</v>
      </c>
      <c r="F1412" s="793" t="s">
        <v>865</v>
      </c>
      <c r="G1412" s="793" t="s">
        <v>813</v>
      </c>
      <c r="H1412" s="793" t="s">
        <v>814</v>
      </c>
      <c r="I1412" s="794">
        <v>0.49523500475217785</v>
      </c>
      <c r="J1412" s="794">
        <v>528.7424834099935</v>
      </c>
      <c r="K1412" s="771"/>
    </row>
    <row r="1413" spans="1:11" ht="18.75" customHeight="1" outlineLevel="2">
      <c r="A1413" s="791" t="s">
        <v>776</v>
      </c>
      <c r="B1413" s="791" t="s">
        <v>1025</v>
      </c>
      <c r="C1413" s="791" t="s">
        <v>1026</v>
      </c>
      <c r="D1413" s="792" t="s">
        <v>779</v>
      </c>
      <c r="E1413" s="793" t="s">
        <v>662</v>
      </c>
      <c r="F1413" s="793" t="s">
        <v>866</v>
      </c>
      <c r="G1413" s="793" t="s">
        <v>813</v>
      </c>
      <c r="H1413" s="793" t="s">
        <v>814</v>
      </c>
      <c r="I1413" s="794">
        <v>0.14711271440790183</v>
      </c>
      <c r="J1413" s="794">
        <v>199.26198243566347</v>
      </c>
      <c r="K1413" s="771"/>
    </row>
    <row r="1414" spans="1:11" ht="18.75" customHeight="1" outlineLevel="2">
      <c r="A1414" s="791" t="s">
        <v>776</v>
      </c>
      <c r="B1414" s="791" t="s">
        <v>1025</v>
      </c>
      <c r="C1414" s="791" t="s">
        <v>1026</v>
      </c>
      <c r="D1414" s="792" t="s">
        <v>779</v>
      </c>
      <c r="E1414" s="793" t="s">
        <v>662</v>
      </c>
      <c r="F1414" s="793" t="s">
        <v>867</v>
      </c>
      <c r="G1414" s="793" t="s">
        <v>813</v>
      </c>
      <c r="H1414" s="793" t="s">
        <v>814</v>
      </c>
      <c r="I1414" s="794">
        <v>4.2632148404671069E-2</v>
      </c>
      <c r="J1414" s="794">
        <v>45.4991990536044</v>
      </c>
      <c r="K1414" s="771"/>
    </row>
    <row r="1415" spans="1:11" ht="18.75" customHeight="1" outlineLevel="2">
      <c r="A1415" s="791" t="s">
        <v>776</v>
      </c>
      <c r="B1415" s="791" t="s">
        <v>1025</v>
      </c>
      <c r="C1415" s="791" t="s">
        <v>1026</v>
      </c>
      <c r="D1415" s="792" t="s">
        <v>779</v>
      </c>
      <c r="E1415" s="793" t="s">
        <v>662</v>
      </c>
      <c r="F1415" s="793" t="s">
        <v>868</v>
      </c>
      <c r="G1415" s="793" t="s">
        <v>813</v>
      </c>
      <c r="H1415" s="793" t="s">
        <v>814</v>
      </c>
      <c r="I1415" s="794">
        <v>9.3750735671405655E-2</v>
      </c>
      <c r="J1415" s="794">
        <v>118.19484074176515</v>
      </c>
      <c r="K1415" s="771"/>
    </row>
    <row r="1416" spans="1:11" ht="18.75" customHeight="1" outlineLevel="2">
      <c r="A1416" s="791" t="s">
        <v>776</v>
      </c>
      <c r="B1416" s="791" t="s">
        <v>1025</v>
      </c>
      <c r="C1416" s="791" t="s">
        <v>1026</v>
      </c>
      <c r="D1416" s="792" t="s">
        <v>779</v>
      </c>
      <c r="E1416" s="793" t="s">
        <v>662</v>
      </c>
      <c r="F1416" s="793" t="s">
        <v>869</v>
      </c>
      <c r="G1416" s="793" t="s">
        <v>813</v>
      </c>
      <c r="H1416" s="793" t="s">
        <v>814</v>
      </c>
      <c r="I1416" s="794">
        <v>2.3224121203362369E-3</v>
      </c>
      <c r="J1416" s="794">
        <v>2.9391315554369877</v>
      </c>
      <c r="K1416" s="771"/>
    </row>
    <row r="1417" spans="1:11" ht="18.75" customHeight="1" outlineLevel="2">
      <c r="A1417" s="791" t="s">
        <v>776</v>
      </c>
      <c r="B1417" s="791" t="s">
        <v>1025</v>
      </c>
      <c r="C1417" s="791" t="s">
        <v>1026</v>
      </c>
      <c r="D1417" s="792" t="s">
        <v>779</v>
      </c>
      <c r="E1417" s="793" t="s">
        <v>662</v>
      </c>
      <c r="F1417" s="793" t="s">
        <v>870</v>
      </c>
      <c r="G1417" s="793" t="s">
        <v>813</v>
      </c>
      <c r="H1417" s="793" t="s">
        <v>814</v>
      </c>
      <c r="I1417" s="794">
        <v>3.2660928780830962E-3</v>
      </c>
      <c r="J1417" s="794">
        <v>4.6154042171912151</v>
      </c>
      <c r="K1417" s="771"/>
    </row>
    <row r="1418" spans="1:11" ht="18.75" customHeight="1" outlineLevel="2">
      <c r="A1418" s="791" t="s">
        <v>776</v>
      </c>
      <c r="B1418" s="791" t="s">
        <v>1025</v>
      </c>
      <c r="C1418" s="791" t="s">
        <v>1026</v>
      </c>
      <c r="D1418" s="792" t="s">
        <v>779</v>
      </c>
      <c r="E1418" s="793" t="s">
        <v>662</v>
      </c>
      <c r="F1418" s="793" t="s">
        <v>871</v>
      </c>
      <c r="G1418" s="793" t="s">
        <v>813</v>
      </c>
      <c r="H1418" s="793" t="s">
        <v>814</v>
      </c>
      <c r="I1418" s="794">
        <v>4.4231008060892016E-3</v>
      </c>
      <c r="J1418" s="794">
        <v>5.6071991130755263</v>
      </c>
      <c r="K1418" s="771"/>
    </row>
    <row r="1419" spans="1:11" ht="18.75" customHeight="1" outlineLevel="2">
      <c r="A1419" s="791" t="s">
        <v>776</v>
      </c>
      <c r="B1419" s="791" t="s">
        <v>1025</v>
      </c>
      <c r="C1419" s="791" t="s">
        <v>1026</v>
      </c>
      <c r="D1419" s="792" t="s">
        <v>779</v>
      </c>
      <c r="E1419" s="793" t="s">
        <v>662</v>
      </c>
      <c r="F1419" s="793" t="s">
        <v>872</v>
      </c>
      <c r="G1419" s="793" t="s">
        <v>813</v>
      </c>
      <c r="H1419" s="793" t="s">
        <v>814</v>
      </c>
      <c r="I1419" s="794">
        <v>0.11161997800232058</v>
      </c>
      <c r="J1419" s="794">
        <v>189.39127750389153</v>
      </c>
      <c r="K1419" s="771"/>
    </row>
    <row r="1420" spans="1:11" ht="18.75" customHeight="1" outlineLevel="2">
      <c r="A1420" s="791" t="s">
        <v>776</v>
      </c>
      <c r="B1420" s="791" t="s">
        <v>1025</v>
      </c>
      <c r="C1420" s="791" t="s">
        <v>1026</v>
      </c>
      <c r="D1420" s="792" t="s">
        <v>779</v>
      </c>
      <c r="E1420" s="793" t="s">
        <v>662</v>
      </c>
      <c r="F1420" s="793" t="s">
        <v>873</v>
      </c>
      <c r="G1420" s="793" t="s">
        <v>813</v>
      </c>
      <c r="H1420" s="793" t="s">
        <v>814</v>
      </c>
      <c r="I1420" s="794">
        <v>0.11280632286409824</v>
      </c>
      <c r="J1420" s="794">
        <v>59.840366537819058</v>
      </c>
      <c r="K1420" s="771"/>
    </row>
    <row r="1421" spans="1:11" ht="18.75" customHeight="1" outlineLevel="2">
      <c r="A1421" s="791" t="s">
        <v>776</v>
      </c>
      <c r="B1421" s="791" t="s">
        <v>1025</v>
      </c>
      <c r="C1421" s="791" t="s">
        <v>1026</v>
      </c>
      <c r="D1421" s="792" t="s">
        <v>779</v>
      </c>
      <c r="E1421" s="793" t="s">
        <v>662</v>
      </c>
      <c r="F1421" s="793" t="s">
        <v>874</v>
      </c>
      <c r="G1421" s="793" t="s">
        <v>813</v>
      </c>
      <c r="H1421" s="793" t="s">
        <v>814</v>
      </c>
      <c r="I1421" s="794">
        <v>0.14126346468672663</v>
      </c>
      <c r="J1421" s="794">
        <v>74.927299663457916</v>
      </c>
      <c r="K1421" s="771"/>
    </row>
    <row r="1422" spans="1:11" ht="18.75" customHeight="1" outlineLevel="2">
      <c r="A1422" s="791" t="s">
        <v>776</v>
      </c>
      <c r="B1422" s="791" t="s">
        <v>1025</v>
      </c>
      <c r="C1422" s="791" t="s">
        <v>1026</v>
      </c>
      <c r="D1422" s="792" t="s">
        <v>779</v>
      </c>
      <c r="E1422" s="793" t="s">
        <v>662</v>
      </c>
      <c r="F1422" s="793" t="s">
        <v>875</v>
      </c>
      <c r="G1422" s="793" t="s">
        <v>813</v>
      </c>
      <c r="H1422" s="793" t="s">
        <v>814</v>
      </c>
      <c r="I1422" s="794">
        <v>7.3790585584410429E-2</v>
      </c>
      <c r="J1422" s="794">
        <v>107.38922979719214</v>
      </c>
      <c r="K1422" s="771"/>
    </row>
    <row r="1423" spans="1:11" ht="18.75" customHeight="1" outlineLevel="2">
      <c r="A1423" s="791" t="s">
        <v>776</v>
      </c>
      <c r="B1423" s="791" t="s">
        <v>1025</v>
      </c>
      <c r="C1423" s="791" t="s">
        <v>1026</v>
      </c>
      <c r="D1423" s="792" t="s">
        <v>779</v>
      </c>
      <c r="E1423" s="793" t="s">
        <v>662</v>
      </c>
      <c r="F1423" s="793" t="s">
        <v>876</v>
      </c>
      <c r="G1423" s="793" t="s">
        <v>813</v>
      </c>
      <c r="H1423" s="793" t="s">
        <v>814</v>
      </c>
      <c r="I1423" s="794">
        <v>1.6800308796290117E-2</v>
      </c>
      <c r="J1423" s="794">
        <v>25.316124453870451</v>
      </c>
      <c r="K1423" s="771"/>
    </row>
    <row r="1424" spans="1:11" ht="18.75" customHeight="1" outlineLevel="2">
      <c r="A1424" s="791" t="s">
        <v>776</v>
      </c>
      <c r="B1424" s="791" t="s">
        <v>1025</v>
      </c>
      <c r="C1424" s="791" t="s">
        <v>1026</v>
      </c>
      <c r="D1424" s="792" t="s">
        <v>779</v>
      </c>
      <c r="E1424" s="793" t="s">
        <v>662</v>
      </c>
      <c r="F1424" s="793" t="s">
        <v>877</v>
      </c>
      <c r="G1424" s="793" t="s">
        <v>813</v>
      </c>
      <c r="H1424" s="793" t="s">
        <v>814</v>
      </c>
      <c r="I1424" s="794">
        <v>2.2165297976042275E-2</v>
      </c>
      <c r="J1424" s="794">
        <v>28.655364800038505</v>
      </c>
      <c r="K1424" s="771"/>
    </row>
    <row r="1425" spans="1:11" ht="18.75" customHeight="1" outlineLevel="2">
      <c r="A1425" s="791" t="s">
        <v>776</v>
      </c>
      <c r="B1425" s="791" t="s">
        <v>1025</v>
      </c>
      <c r="C1425" s="791" t="s">
        <v>1026</v>
      </c>
      <c r="D1425" s="792" t="s">
        <v>779</v>
      </c>
      <c r="E1425" s="793" t="s">
        <v>662</v>
      </c>
      <c r="F1425" s="793" t="s">
        <v>878</v>
      </c>
      <c r="G1425" s="793" t="s">
        <v>813</v>
      </c>
      <c r="H1425" s="793" t="s">
        <v>814</v>
      </c>
      <c r="I1425" s="794">
        <v>1.1310207429138323E-2</v>
      </c>
      <c r="J1425" s="794">
        <v>13.605396483360343</v>
      </c>
      <c r="K1425" s="771"/>
    </row>
    <row r="1426" spans="1:11" ht="18.75" customHeight="1" outlineLevel="2">
      <c r="A1426" s="791" t="s">
        <v>776</v>
      </c>
      <c r="B1426" s="791" t="s">
        <v>1025</v>
      </c>
      <c r="C1426" s="791" t="s">
        <v>1026</v>
      </c>
      <c r="D1426" s="792" t="s">
        <v>779</v>
      </c>
      <c r="E1426" s="793" t="s">
        <v>662</v>
      </c>
      <c r="F1426" s="793" t="s">
        <v>879</v>
      </c>
      <c r="G1426" s="793" t="s">
        <v>813</v>
      </c>
      <c r="H1426" s="793" t="s">
        <v>814</v>
      </c>
      <c r="I1426" s="794">
        <v>0.98685604944783722</v>
      </c>
      <c r="J1426" s="794">
        <v>1439.4655031573468</v>
      </c>
      <c r="K1426" s="771"/>
    </row>
    <row r="1427" spans="1:11" ht="18.75" customHeight="1" outlineLevel="2">
      <c r="A1427" s="791" t="s">
        <v>776</v>
      </c>
      <c r="B1427" s="791" t="s">
        <v>1025</v>
      </c>
      <c r="C1427" s="791" t="s">
        <v>1026</v>
      </c>
      <c r="D1427" s="792" t="s">
        <v>779</v>
      </c>
      <c r="E1427" s="793" t="s">
        <v>662</v>
      </c>
      <c r="F1427" s="793" t="s">
        <v>880</v>
      </c>
      <c r="G1427" s="793" t="s">
        <v>813</v>
      </c>
      <c r="H1427" s="793" t="s">
        <v>814</v>
      </c>
      <c r="I1427" s="794">
        <v>0.22826551227639499</v>
      </c>
      <c r="J1427" s="794">
        <v>344.04723881511484</v>
      </c>
      <c r="K1427" s="771"/>
    </row>
    <row r="1428" spans="1:11" ht="18.75" customHeight="1" outlineLevel="2">
      <c r="A1428" s="791" t="s">
        <v>776</v>
      </c>
      <c r="B1428" s="791" t="s">
        <v>1025</v>
      </c>
      <c r="C1428" s="791" t="s">
        <v>1026</v>
      </c>
      <c r="D1428" s="792" t="s">
        <v>779</v>
      </c>
      <c r="E1428" s="793" t="s">
        <v>662</v>
      </c>
      <c r="F1428" s="793" t="s">
        <v>881</v>
      </c>
      <c r="G1428" s="793" t="s">
        <v>813</v>
      </c>
      <c r="H1428" s="793" t="s">
        <v>814</v>
      </c>
      <c r="I1428" s="794">
        <v>2.5542403868252701E-2</v>
      </c>
      <c r="J1428" s="794">
        <v>57.446895402396073</v>
      </c>
      <c r="K1428" s="771"/>
    </row>
    <row r="1429" spans="1:11" ht="18.75" customHeight="1" outlineLevel="2">
      <c r="A1429" s="791" t="s">
        <v>776</v>
      </c>
      <c r="B1429" s="791" t="s">
        <v>1025</v>
      </c>
      <c r="C1429" s="791" t="s">
        <v>1026</v>
      </c>
      <c r="D1429" s="792" t="s">
        <v>779</v>
      </c>
      <c r="E1429" s="793" t="s">
        <v>662</v>
      </c>
      <c r="F1429" s="793" t="s">
        <v>882</v>
      </c>
      <c r="G1429" s="793" t="s">
        <v>813</v>
      </c>
      <c r="H1429" s="793" t="s">
        <v>814</v>
      </c>
      <c r="I1429" s="794">
        <v>0.70306874540856934</v>
      </c>
      <c r="J1429" s="794">
        <v>1110.6065742785026</v>
      </c>
      <c r="K1429" s="771"/>
    </row>
    <row r="1430" spans="1:11" ht="18.75" customHeight="1" outlineLevel="2">
      <c r="A1430" s="791" t="s">
        <v>776</v>
      </c>
      <c r="B1430" s="791" t="s">
        <v>1025</v>
      </c>
      <c r="C1430" s="791" t="s">
        <v>1026</v>
      </c>
      <c r="D1430" s="792" t="s">
        <v>779</v>
      </c>
      <c r="E1430" s="793" t="s">
        <v>662</v>
      </c>
      <c r="F1430" s="793" t="s">
        <v>883</v>
      </c>
      <c r="G1430" s="793" t="s">
        <v>813</v>
      </c>
      <c r="H1430" s="793" t="s">
        <v>814</v>
      </c>
      <c r="I1430" s="794">
        <v>4.4927320507213597E-2</v>
      </c>
      <c r="J1430" s="794">
        <v>51.167854345117981</v>
      </c>
      <c r="K1430" s="771"/>
    </row>
    <row r="1431" spans="1:11" ht="18.75" customHeight="1" outlineLevel="2">
      <c r="A1431" s="791" t="s">
        <v>776</v>
      </c>
      <c r="B1431" s="791" t="s">
        <v>1025</v>
      </c>
      <c r="C1431" s="791" t="s">
        <v>1026</v>
      </c>
      <c r="D1431" s="792" t="s">
        <v>779</v>
      </c>
      <c r="E1431" s="793" t="s">
        <v>662</v>
      </c>
      <c r="F1431" s="793" t="s">
        <v>884</v>
      </c>
      <c r="G1431" s="793" t="s">
        <v>813</v>
      </c>
      <c r="H1431" s="793" t="s">
        <v>814</v>
      </c>
      <c r="I1431" s="794">
        <v>2.950366807338644E-2</v>
      </c>
      <c r="J1431" s="794">
        <v>34.127089971253675</v>
      </c>
      <c r="K1431" s="771"/>
    </row>
    <row r="1432" spans="1:11" ht="18.75" customHeight="1" outlineLevel="2">
      <c r="A1432" s="791" t="s">
        <v>776</v>
      </c>
      <c r="B1432" s="791" t="s">
        <v>1025</v>
      </c>
      <c r="C1432" s="791" t="s">
        <v>1026</v>
      </c>
      <c r="D1432" s="792" t="s">
        <v>779</v>
      </c>
      <c r="E1432" s="793" t="s">
        <v>662</v>
      </c>
      <c r="F1432" s="793" t="s">
        <v>885</v>
      </c>
      <c r="G1432" s="793" t="s">
        <v>791</v>
      </c>
      <c r="H1432" s="793" t="s">
        <v>826</v>
      </c>
      <c r="I1432" s="794">
        <v>5.7284861229447254E-4</v>
      </c>
      <c r="J1432" s="794">
        <v>0.84327498378599186</v>
      </c>
      <c r="K1432" s="771"/>
    </row>
    <row r="1433" spans="1:11" ht="18.75" customHeight="1" outlineLevel="2">
      <c r="A1433" s="791" t="s">
        <v>776</v>
      </c>
      <c r="B1433" s="791" t="s">
        <v>1025</v>
      </c>
      <c r="C1433" s="791" t="s">
        <v>1026</v>
      </c>
      <c r="D1433" s="792" t="s">
        <v>779</v>
      </c>
      <c r="E1433" s="793" t="s">
        <v>662</v>
      </c>
      <c r="F1433" s="793" t="s">
        <v>886</v>
      </c>
      <c r="G1433" s="793" t="s">
        <v>791</v>
      </c>
      <c r="H1433" s="793" t="s">
        <v>826</v>
      </c>
      <c r="I1433" s="794">
        <v>7.4960916233779917E-4</v>
      </c>
      <c r="J1433" s="794">
        <v>3.2631707345425993</v>
      </c>
      <c r="K1433" s="771"/>
    </row>
    <row r="1434" spans="1:11" ht="18.75" customHeight="1" outlineLevel="2">
      <c r="A1434" s="791" t="s">
        <v>776</v>
      </c>
      <c r="B1434" s="791" t="s">
        <v>1025</v>
      </c>
      <c r="C1434" s="791" t="s">
        <v>1026</v>
      </c>
      <c r="D1434" s="792" t="s">
        <v>779</v>
      </c>
      <c r="E1434" s="793" t="s">
        <v>662</v>
      </c>
      <c r="F1434" s="793" t="s">
        <v>887</v>
      </c>
      <c r="G1434" s="793" t="s">
        <v>791</v>
      </c>
      <c r="H1434" s="793" t="s">
        <v>826</v>
      </c>
      <c r="I1434" s="794">
        <v>2.7943948449003332E-5</v>
      </c>
      <c r="J1434" s="794">
        <v>2.617628740063857E-2</v>
      </c>
      <c r="K1434" s="771"/>
    </row>
    <row r="1435" spans="1:11" ht="18.75" customHeight="1" outlineLevel="2">
      <c r="A1435" s="791" t="s">
        <v>776</v>
      </c>
      <c r="B1435" s="791" t="s">
        <v>1025</v>
      </c>
      <c r="C1435" s="791" t="s">
        <v>1026</v>
      </c>
      <c r="D1435" s="792" t="s">
        <v>779</v>
      </c>
      <c r="E1435" s="793" t="s">
        <v>662</v>
      </c>
      <c r="F1435" s="793" t="s">
        <v>888</v>
      </c>
      <c r="G1435" s="793" t="s">
        <v>791</v>
      </c>
      <c r="H1435" s="793" t="s">
        <v>826</v>
      </c>
      <c r="I1435" s="794">
        <v>2.5065271547498576E-3</v>
      </c>
      <c r="J1435" s="794">
        <v>2.3432941784044101</v>
      </c>
      <c r="K1435" s="771"/>
    </row>
    <row r="1436" spans="1:11" ht="18.75" customHeight="1" outlineLevel="2">
      <c r="A1436" s="791" t="s">
        <v>776</v>
      </c>
      <c r="B1436" s="791" t="s">
        <v>1025</v>
      </c>
      <c r="C1436" s="791" t="s">
        <v>1026</v>
      </c>
      <c r="D1436" s="792" t="s">
        <v>779</v>
      </c>
      <c r="E1436" s="793" t="s">
        <v>662</v>
      </c>
      <c r="F1436" s="793" t="s">
        <v>889</v>
      </c>
      <c r="G1436" s="793" t="s">
        <v>791</v>
      </c>
      <c r="H1436" s="793" t="s">
        <v>826</v>
      </c>
      <c r="I1436" s="794">
        <v>4.8195979799187414E-4</v>
      </c>
      <c r="J1436" s="794">
        <v>0.69330012069696612</v>
      </c>
      <c r="K1436" s="771"/>
    </row>
    <row r="1437" spans="1:11" ht="18.75" customHeight="1" outlineLevel="2">
      <c r="A1437" s="791" t="s">
        <v>776</v>
      </c>
      <c r="B1437" s="791" t="s">
        <v>1025</v>
      </c>
      <c r="C1437" s="791" t="s">
        <v>1026</v>
      </c>
      <c r="D1437" s="792" t="s">
        <v>779</v>
      </c>
      <c r="E1437" s="793" t="s">
        <v>662</v>
      </c>
      <c r="F1437" s="793" t="s">
        <v>890</v>
      </c>
      <c r="G1437" s="793" t="s">
        <v>791</v>
      </c>
      <c r="H1437" s="793" t="s">
        <v>826</v>
      </c>
      <c r="I1437" s="794">
        <v>6.8861533034521825E-3</v>
      </c>
      <c r="J1437" s="794">
        <v>7.6817274982318251</v>
      </c>
      <c r="K1437" s="771"/>
    </row>
    <row r="1438" spans="1:11" ht="18.75" customHeight="1" outlineLevel="2">
      <c r="A1438" s="791" t="s">
        <v>776</v>
      </c>
      <c r="B1438" s="791" t="s">
        <v>1025</v>
      </c>
      <c r="C1438" s="791" t="s">
        <v>1026</v>
      </c>
      <c r="D1438" s="792" t="s">
        <v>779</v>
      </c>
      <c r="E1438" s="793" t="s">
        <v>662</v>
      </c>
      <c r="F1438" s="793" t="s">
        <v>891</v>
      </c>
      <c r="G1438" s="793" t="s">
        <v>791</v>
      </c>
      <c r="H1438" s="793" t="s">
        <v>826</v>
      </c>
      <c r="I1438" s="794">
        <v>3.5248177463390866E-2</v>
      </c>
      <c r="J1438" s="794">
        <v>17.221644318220385</v>
      </c>
      <c r="K1438" s="771"/>
    </row>
    <row r="1439" spans="1:11" ht="18.75" customHeight="1" outlineLevel="2">
      <c r="A1439" s="791" t="s">
        <v>776</v>
      </c>
      <c r="B1439" s="791" t="s">
        <v>1025</v>
      </c>
      <c r="C1439" s="791" t="s">
        <v>1026</v>
      </c>
      <c r="D1439" s="792" t="s">
        <v>779</v>
      </c>
      <c r="E1439" s="793" t="s">
        <v>662</v>
      </c>
      <c r="F1439" s="793" t="s">
        <v>892</v>
      </c>
      <c r="G1439" s="793" t="s">
        <v>791</v>
      </c>
      <c r="H1439" s="793" t="s">
        <v>826</v>
      </c>
      <c r="I1439" s="794">
        <v>3.9695679881361608E-3</v>
      </c>
      <c r="J1439" s="794">
        <v>3.7110577582122555</v>
      </c>
      <c r="K1439" s="771"/>
    </row>
    <row r="1440" spans="1:11" ht="18.75" customHeight="1" outlineLevel="2">
      <c r="A1440" s="791" t="s">
        <v>776</v>
      </c>
      <c r="B1440" s="791" t="s">
        <v>1025</v>
      </c>
      <c r="C1440" s="791" t="s">
        <v>1026</v>
      </c>
      <c r="D1440" s="792" t="s">
        <v>779</v>
      </c>
      <c r="E1440" s="793" t="s">
        <v>662</v>
      </c>
      <c r="F1440" s="793" t="s">
        <v>893</v>
      </c>
      <c r="G1440" s="793" t="s">
        <v>791</v>
      </c>
      <c r="H1440" s="793" t="s">
        <v>826</v>
      </c>
      <c r="I1440" s="794">
        <v>5.2117993331372396E-3</v>
      </c>
      <c r="J1440" s="794">
        <v>5.2958134666642085</v>
      </c>
      <c r="K1440" s="771"/>
    </row>
    <row r="1441" spans="1:11" ht="18.75" customHeight="1" outlineLevel="2">
      <c r="A1441" s="791" t="s">
        <v>776</v>
      </c>
      <c r="B1441" s="791" t="s">
        <v>1025</v>
      </c>
      <c r="C1441" s="791" t="s">
        <v>1026</v>
      </c>
      <c r="D1441" s="792" t="s">
        <v>779</v>
      </c>
      <c r="E1441" s="793" t="s">
        <v>662</v>
      </c>
      <c r="F1441" s="793" t="s">
        <v>894</v>
      </c>
      <c r="G1441" s="793" t="s">
        <v>791</v>
      </c>
      <c r="H1441" s="793" t="s">
        <v>826</v>
      </c>
      <c r="I1441" s="794">
        <v>6.2464341605745642E-4</v>
      </c>
      <c r="J1441" s="794">
        <v>5.6596685348435187</v>
      </c>
      <c r="K1441" s="771"/>
    </row>
    <row r="1442" spans="1:11" ht="18.75" customHeight="1" outlineLevel="2">
      <c r="A1442" s="791" t="s">
        <v>776</v>
      </c>
      <c r="B1442" s="791" t="s">
        <v>1025</v>
      </c>
      <c r="C1442" s="791" t="s">
        <v>1026</v>
      </c>
      <c r="D1442" s="792" t="s">
        <v>779</v>
      </c>
      <c r="E1442" s="793" t="s">
        <v>662</v>
      </c>
      <c r="F1442" s="793" t="s">
        <v>895</v>
      </c>
      <c r="G1442" s="793" t="s">
        <v>794</v>
      </c>
      <c r="H1442" s="793" t="s">
        <v>828</v>
      </c>
      <c r="I1442" s="794">
        <v>0.41623846046249297</v>
      </c>
      <c r="J1442" s="794">
        <v>575.65523286126904</v>
      </c>
      <c r="K1442" s="771"/>
    </row>
    <row r="1443" spans="1:11" ht="18.75" customHeight="1" outlineLevel="2">
      <c r="A1443" s="791" t="s">
        <v>776</v>
      </c>
      <c r="B1443" s="791" t="s">
        <v>1025</v>
      </c>
      <c r="C1443" s="791" t="s">
        <v>1026</v>
      </c>
      <c r="D1443" s="792" t="s">
        <v>779</v>
      </c>
      <c r="E1443" s="793" t="s">
        <v>662</v>
      </c>
      <c r="F1443" s="793" t="s">
        <v>896</v>
      </c>
      <c r="G1443" s="793" t="s">
        <v>794</v>
      </c>
      <c r="H1443" s="793" t="s">
        <v>828</v>
      </c>
      <c r="I1443" s="794">
        <v>9.7766003473312407E-2</v>
      </c>
      <c r="J1443" s="794">
        <v>144.0237362445796</v>
      </c>
      <c r="K1443" s="771"/>
    </row>
    <row r="1444" spans="1:11" ht="18.75" customHeight="1" outlineLevel="2">
      <c r="A1444" s="791" t="s">
        <v>776</v>
      </c>
      <c r="B1444" s="791" t="s">
        <v>1025</v>
      </c>
      <c r="C1444" s="791" t="s">
        <v>1026</v>
      </c>
      <c r="D1444" s="792" t="s">
        <v>779</v>
      </c>
      <c r="E1444" s="793" t="s">
        <v>662</v>
      </c>
      <c r="F1444" s="793" t="s">
        <v>897</v>
      </c>
      <c r="G1444" s="793" t="s">
        <v>794</v>
      </c>
      <c r="H1444" s="793" t="s">
        <v>828</v>
      </c>
      <c r="I1444" s="794">
        <v>4.5102059785808508E-2</v>
      </c>
      <c r="J1444" s="794">
        <v>76.155035640635191</v>
      </c>
      <c r="K1444" s="771"/>
    </row>
    <row r="1445" spans="1:11" ht="18.75" customHeight="1" outlineLevel="2">
      <c r="A1445" s="791" t="s">
        <v>776</v>
      </c>
      <c r="B1445" s="791" t="s">
        <v>1025</v>
      </c>
      <c r="C1445" s="791" t="s">
        <v>1026</v>
      </c>
      <c r="D1445" s="792" t="s">
        <v>779</v>
      </c>
      <c r="E1445" s="793" t="s">
        <v>662</v>
      </c>
      <c r="F1445" s="793" t="s">
        <v>898</v>
      </c>
      <c r="G1445" s="793" t="s">
        <v>794</v>
      </c>
      <c r="H1445" s="793" t="s">
        <v>828</v>
      </c>
      <c r="I1445" s="794">
        <v>0.10392602271714718</v>
      </c>
      <c r="J1445" s="794">
        <v>163.7126492169082</v>
      </c>
      <c r="K1445" s="771"/>
    </row>
    <row r="1446" spans="1:11" ht="18.75" customHeight="1" outlineLevel="2">
      <c r="A1446" s="791" t="s">
        <v>776</v>
      </c>
      <c r="B1446" s="791" t="s">
        <v>1025</v>
      </c>
      <c r="C1446" s="791" t="s">
        <v>1026</v>
      </c>
      <c r="D1446" s="792" t="s">
        <v>779</v>
      </c>
      <c r="E1446" s="793" t="s">
        <v>662</v>
      </c>
      <c r="F1446" s="793" t="s">
        <v>899</v>
      </c>
      <c r="G1446" s="793" t="s">
        <v>794</v>
      </c>
      <c r="H1446" s="793" t="s">
        <v>828</v>
      </c>
      <c r="I1446" s="794">
        <v>0.18308289681182868</v>
      </c>
      <c r="J1446" s="794">
        <v>258.66172059848941</v>
      </c>
      <c r="K1446" s="771"/>
    </row>
    <row r="1447" spans="1:11" ht="18.75" customHeight="1" outlineLevel="2">
      <c r="A1447" s="791" t="s">
        <v>776</v>
      </c>
      <c r="B1447" s="791" t="s">
        <v>1025</v>
      </c>
      <c r="C1447" s="791" t="s">
        <v>1026</v>
      </c>
      <c r="D1447" s="792" t="s">
        <v>779</v>
      </c>
      <c r="E1447" s="793" t="s">
        <v>662</v>
      </c>
      <c r="F1447" s="793" t="s">
        <v>900</v>
      </c>
      <c r="G1447" s="793" t="s">
        <v>794</v>
      </c>
      <c r="H1447" s="793" t="s">
        <v>828</v>
      </c>
      <c r="I1447" s="794">
        <v>8.481741873855005E-3</v>
      </c>
      <c r="J1447" s="794">
        <v>12.135980178615018</v>
      </c>
      <c r="K1447" s="771"/>
    </row>
    <row r="1448" spans="1:11" ht="18.75" customHeight="1" outlineLevel="2">
      <c r="A1448" s="791" t="s">
        <v>776</v>
      </c>
      <c r="B1448" s="791" t="s">
        <v>1025</v>
      </c>
      <c r="C1448" s="791" t="s">
        <v>1026</v>
      </c>
      <c r="D1448" s="792" t="s">
        <v>779</v>
      </c>
      <c r="E1448" s="793" t="s">
        <v>662</v>
      </c>
      <c r="F1448" s="793" t="s">
        <v>901</v>
      </c>
      <c r="G1448" s="793" t="s">
        <v>833</v>
      </c>
      <c r="H1448" s="793" t="s">
        <v>834</v>
      </c>
      <c r="I1448" s="794">
        <v>9.2777878958998094E-4</v>
      </c>
      <c r="J1448" s="794">
        <v>0.96584184347003432</v>
      </c>
      <c r="K1448" s="771"/>
    </row>
    <row r="1449" spans="1:11" ht="18.75" customHeight="1" outlineLevel="2">
      <c r="A1449" s="791" t="s">
        <v>776</v>
      </c>
      <c r="B1449" s="791" t="s">
        <v>1025</v>
      </c>
      <c r="C1449" s="791" t="s">
        <v>1026</v>
      </c>
      <c r="D1449" s="792" t="s">
        <v>779</v>
      </c>
      <c r="E1449" s="793" t="s">
        <v>662</v>
      </c>
      <c r="F1449" s="793" t="s">
        <v>902</v>
      </c>
      <c r="G1449" s="793" t="s">
        <v>833</v>
      </c>
      <c r="H1449" s="793" t="s">
        <v>834</v>
      </c>
      <c r="I1449" s="794">
        <v>8.0759557794537387E-6</v>
      </c>
      <c r="J1449" s="794">
        <v>1.0293604896147052E-2</v>
      </c>
      <c r="K1449" s="771"/>
    </row>
    <row r="1450" spans="1:11" ht="18.75" customHeight="1" outlineLevel="2">
      <c r="A1450" s="791" t="s">
        <v>776</v>
      </c>
      <c r="B1450" s="791" t="s">
        <v>1025</v>
      </c>
      <c r="C1450" s="791" t="s">
        <v>1026</v>
      </c>
      <c r="D1450" s="792" t="s">
        <v>779</v>
      </c>
      <c r="E1450" s="793" t="s">
        <v>662</v>
      </c>
      <c r="F1450" s="793" t="s">
        <v>903</v>
      </c>
      <c r="G1450" s="793" t="s">
        <v>904</v>
      </c>
      <c r="H1450" s="793" t="s">
        <v>905</v>
      </c>
      <c r="I1450" s="794">
        <v>5.2811975509894911</v>
      </c>
      <c r="J1450" s="794">
        <v>4493.3410843087131</v>
      </c>
      <c r="K1450" s="771"/>
    </row>
    <row r="1451" spans="1:11" ht="18.75" customHeight="1" outlineLevel="2">
      <c r="A1451" s="791" t="s">
        <v>776</v>
      </c>
      <c r="B1451" s="791" t="s">
        <v>1025</v>
      </c>
      <c r="C1451" s="791" t="s">
        <v>1026</v>
      </c>
      <c r="D1451" s="792" t="s">
        <v>779</v>
      </c>
      <c r="E1451" s="793" t="s">
        <v>662</v>
      </c>
      <c r="F1451" s="793" t="s">
        <v>906</v>
      </c>
      <c r="G1451" s="793" t="s">
        <v>904</v>
      </c>
      <c r="H1451" s="793" t="s">
        <v>905</v>
      </c>
      <c r="I1451" s="794">
        <v>2.2229229564322619</v>
      </c>
      <c r="J1451" s="794">
        <v>1896.3983045864682</v>
      </c>
      <c r="K1451" s="771"/>
    </row>
    <row r="1452" spans="1:11" ht="18.75" customHeight="1" outlineLevel="2">
      <c r="A1452" s="791" t="s">
        <v>776</v>
      </c>
      <c r="B1452" s="791" t="s">
        <v>1025</v>
      </c>
      <c r="C1452" s="791" t="s">
        <v>1026</v>
      </c>
      <c r="D1452" s="792" t="s">
        <v>779</v>
      </c>
      <c r="E1452" s="793" t="s">
        <v>662</v>
      </c>
      <c r="F1452" s="793" t="s">
        <v>907</v>
      </c>
      <c r="G1452" s="793" t="s">
        <v>908</v>
      </c>
      <c r="H1452" s="793" t="s">
        <v>905</v>
      </c>
      <c r="I1452" s="794">
        <v>1.5118717534597086</v>
      </c>
      <c r="J1452" s="794">
        <v>2539.0135905022726</v>
      </c>
      <c r="K1452" s="771"/>
    </row>
    <row r="1453" spans="1:11" ht="18.75" customHeight="1" outlineLevel="2">
      <c r="A1453" s="791" t="s">
        <v>776</v>
      </c>
      <c r="B1453" s="791" t="s">
        <v>1025</v>
      </c>
      <c r="C1453" s="791" t="s">
        <v>1026</v>
      </c>
      <c r="D1453" s="792" t="s">
        <v>779</v>
      </c>
      <c r="E1453" s="793" t="s">
        <v>662</v>
      </c>
      <c r="F1453" s="793" t="s">
        <v>909</v>
      </c>
      <c r="G1453" s="793" t="s">
        <v>910</v>
      </c>
      <c r="H1453" s="793" t="s">
        <v>911</v>
      </c>
      <c r="I1453" s="794">
        <v>5.0385349462563171E-3</v>
      </c>
      <c r="J1453" s="794">
        <v>7.4920403277891703</v>
      </c>
      <c r="K1453" s="771"/>
    </row>
    <row r="1454" spans="1:11" ht="18.75" customHeight="1" outlineLevel="2">
      <c r="A1454" s="791" t="s">
        <v>776</v>
      </c>
      <c r="B1454" s="791" t="s">
        <v>1025</v>
      </c>
      <c r="C1454" s="791" t="s">
        <v>1026</v>
      </c>
      <c r="D1454" s="792" t="s">
        <v>779</v>
      </c>
      <c r="E1454" s="793" t="s">
        <v>763</v>
      </c>
      <c r="F1454" s="793" t="s">
        <v>912</v>
      </c>
      <c r="G1454" s="793" t="s">
        <v>799</v>
      </c>
      <c r="H1454" s="793" t="s">
        <v>913</v>
      </c>
      <c r="I1454" s="794">
        <v>1.0254156072803264E-2</v>
      </c>
      <c r="J1454" s="794">
        <v>19.637208779279998</v>
      </c>
      <c r="K1454" s="771"/>
    </row>
    <row r="1455" spans="1:11" ht="18.75" customHeight="1" outlineLevel="2">
      <c r="A1455" s="791" t="s">
        <v>776</v>
      </c>
      <c r="B1455" s="791" t="s">
        <v>1025</v>
      </c>
      <c r="C1455" s="791" t="s">
        <v>1026</v>
      </c>
      <c r="D1455" s="792" t="s">
        <v>779</v>
      </c>
      <c r="E1455" s="793" t="s">
        <v>763</v>
      </c>
      <c r="F1455" s="793" t="s">
        <v>914</v>
      </c>
      <c r="G1455" s="793" t="s">
        <v>782</v>
      </c>
      <c r="H1455" s="793" t="s">
        <v>913</v>
      </c>
      <c r="I1455" s="794">
        <v>3.3805950779537512E-4</v>
      </c>
      <c r="J1455" s="794">
        <v>1.5736655040871494</v>
      </c>
      <c r="K1455" s="771"/>
    </row>
    <row r="1456" spans="1:11" ht="18.75" customHeight="1" outlineLevel="2">
      <c r="A1456" s="791" t="s">
        <v>776</v>
      </c>
      <c r="B1456" s="791" t="s">
        <v>1025</v>
      </c>
      <c r="C1456" s="791" t="s">
        <v>1026</v>
      </c>
      <c r="D1456" s="792" t="s">
        <v>779</v>
      </c>
      <c r="E1456" s="793" t="s">
        <v>763</v>
      </c>
      <c r="F1456" s="793" t="s">
        <v>915</v>
      </c>
      <c r="G1456" s="793" t="s">
        <v>782</v>
      </c>
      <c r="H1456" s="793" t="s">
        <v>913</v>
      </c>
      <c r="I1456" s="794">
        <v>1.8131212108818794E-4</v>
      </c>
      <c r="J1456" s="794">
        <v>2.6317208145832689</v>
      </c>
      <c r="K1456" s="771"/>
    </row>
    <row r="1457" spans="1:11" ht="18.75" customHeight="1" outlineLevel="2">
      <c r="A1457" s="791" t="s">
        <v>776</v>
      </c>
      <c r="B1457" s="791" t="s">
        <v>1025</v>
      </c>
      <c r="C1457" s="791" t="s">
        <v>1026</v>
      </c>
      <c r="D1457" s="792" t="s">
        <v>779</v>
      </c>
      <c r="E1457" s="793" t="s">
        <v>763</v>
      </c>
      <c r="F1457" s="793" t="s">
        <v>916</v>
      </c>
      <c r="G1457" s="793" t="s">
        <v>782</v>
      </c>
      <c r="H1457" s="793" t="s">
        <v>913</v>
      </c>
      <c r="I1457" s="794">
        <v>2.6882358521273527E-4</v>
      </c>
      <c r="J1457" s="794">
        <v>0.46475949664301025</v>
      </c>
      <c r="K1457" s="771"/>
    </row>
    <row r="1458" spans="1:11" ht="18.75" customHeight="1" outlineLevel="2">
      <c r="A1458" s="791" t="s">
        <v>776</v>
      </c>
      <c r="B1458" s="791" t="s">
        <v>1025</v>
      </c>
      <c r="C1458" s="791" t="s">
        <v>1026</v>
      </c>
      <c r="D1458" s="792" t="s">
        <v>779</v>
      </c>
      <c r="E1458" s="793" t="s">
        <v>763</v>
      </c>
      <c r="F1458" s="793" t="s">
        <v>917</v>
      </c>
      <c r="G1458" s="793" t="s">
        <v>782</v>
      </c>
      <c r="H1458" s="793" t="s">
        <v>913</v>
      </c>
      <c r="I1458" s="794">
        <v>4.9215986187030824E-5</v>
      </c>
      <c r="J1458" s="794">
        <v>0.26944224662116478</v>
      </c>
      <c r="K1458" s="771"/>
    </row>
    <row r="1459" spans="1:11" ht="18.75" customHeight="1" outlineLevel="2">
      <c r="A1459" s="791" t="s">
        <v>776</v>
      </c>
      <c r="B1459" s="791" t="s">
        <v>1025</v>
      </c>
      <c r="C1459" s="791" t="s">
        <v>1026</v>
      </c>
      <c r="D1459" s="792" t="s">
        <v>779</v>
      </c>
      <c r="E1459" s="793" t="s">
        <v>763</v>
      </c>
      <c r="F1459" s="793" t="s">
        <v>918</v>
      </c>
      <c r="G1459" s="793" t="s">
        <v>782</v>
      </c>
      <c r="H1459" s="793" t="s">
        <v>913</v>
      </c>
      <c r="I1459" s="794">
        <v>1.0893202654652945E-3</v>
      </c>
      <c r="J1459" s="794">
        <v>4.8667411257153779</v>
      </c>
      <c r="K1459" s="771"/>
    </row>
    <row r="1460" spans="1:11" ht="18.75" customHeight="1" outlineLevel="2">
      <c r="A1460" s="791" t="s">
        <v>776</v>
      </c>
      <c r="B1460" s="791" t="s">
        <v>1025</v>
      </c>
      <c r="C1460" s="791" t="s">
        <v>1026</v>
      </c>
      <c r="D1460" s="792" t="s">
        <v>779</v>
      </c>
      <c r="E1460" s="793" t="s">
        <v>763</v>
      </c>
      <c r="F1460" s="793" t="s">
        <v>919</v>
      </c>
      <c r="G1460" s="793" t="s">
        <v>782</v>
      </c>
      <c r="H1460" s="793" t="s">
        <v>913</v>
      </c>
      <c r="I1460" s="794">
        <v>2.0836745897311556E-3</v>
      </c>
      <c r="J1460" s="794">
        <v>2.4444604557468468</v>
      </c>
      <c r="K1460" s="771"/>
    </row>
    <row r="1461" spans="1:11" ht="18.75" customHeight="1" outlineLevel="2">
      <c r="A1461" s="791" t="s">
        <v>776</v>
      </c>
      <c r="B1461" s="791" t="s">
        <v>1025</v>
      </c>
      <c r="C1461" s="791" t="s">
        <v>1026</v>
      </c>
      <c r="D1461" s="792" t="s">
        <v>779</v>
      </c>
      <c r="E1461" s="793" t="s">
        <v>763</v>
      </c>
      <c r="F1461" s="793" t="s">
        <v>920</v>
      </c>
      <c r="G1461" s="793" t="s">
        <v>782</v>
      </c>
      <c r="H1461" s="793" t="s">
        <v>913</v>
      </c>
      <c r="I1461" s="794">
        <v>2.2631444561069564E-4</v>
      </c>
      <c r="J1461" s="794">
        <v>4.5026305007982383</v>
      </c>
      <c r="K1461" s="771"/>
    </row>
    <row r="1462" spans="1:11" ht="18.75" customHeight="1" outlineLevel="2">
      <c r="A1462" s="791" t="s">
        <v>776</v>
      </c>
      <c r="B1462" s="791" t="s">
        <v>1025</v>
      </c>
      <c r="C1462" s="791" t="s">
        <v>1026</v>
      </c>
      <c r="D1462" s="792" t="s">
        <v>779</v>
      </c>
      <c r="E1462" s="793" t="s">
        <v>763</v>
      </c>
      <c r="F1462" s="793" t="s">
        <v>921</v>
      </c>
      <c r="G1462" s="793" t="s">
        <v>782</v>
      </c>
      <c r="H1462" s="793" t="s">
        <v>913</v>
      </c>
      <c r="I1462" s="794">
        <v>1.0503830328694524E-3</v>
      </c>
      <c r="J1462" s="794">
        <v>1.834675396231904</v>
      </c>
      <c r="K1462" s="771"/>
    </row>
    <row r="1463" spans="1:11" ht="18.75" customHeight="1" outlineLevel="2">
      <c r="A1463" s="791" t="s">
        <v>776</v>
      </c>
      <c r="B1463" s="791" t="s">
        <v>1025</v>
      </c>
      <c r="C1463" s="791" t="s">
        <v>1026</v>
      </c>
      <c r="D1463" s="792" t="s">
        <v>779</v>
      </c>
      <c r="E1463" s="793" t="s">
        <v>763</v>
      </c>
      <c r="F1463" s="793" t="s">
        <v>922</v>
      </c>
      <c r="G1463" s="793" t="s">
        <v>782</v>
      </c>
      <c r="H1463" s="793" t="s">
        <v>913</v>
      </c>
      <c r="I1463" s="794">
        <v>1.5702019965453548E-4</v>
      </c>
      <c r="J1463" s="794">
        <v>0.3007033634780048</v>
      </c>
      <c r="K1463" s="771"/>
    </row>
    <row r="1464" spans="1:11" ht="18.75" customHeight="1" outlineLevel="2">
      <c r="A1464" s="791" t="s">
        <v>776</v>
      </c>
      <c r="B1464" s="791" t="s">
        <v>1025</v>
      </c>
      <c r="C1464" s="791" t="s">
        <v>1026</v>
      </c>
      <c r="D1464" s="792" t="s">
        <v>779</v>
      </c>
      <c r="E1464" s="793" t="s">
        <v>763</v>
      </c>
      <c r="F1464" s="793" t="s">
        <v>923</v>
      </c>
      <c r="G1464" s="793" t="s">
        <v>782</v>
      </c>
      <c r="H1464" s="793" t="s">
        <v>913</v>
      </c>
      <c r="I1464" s="794">
        <v>8.6055057660107143E-4</v>
      </c>
      <c r="J1464" s="794">
        <v>3.1267899831484347</v>
      </c>
      <c r="K1464" s="771"/>
    </row>
    <row r="1465" spans="1:11" ht="18.75" customHeight="1" outlineLevel="2">
      <c r="A1465" s="791" t="s">
        <v>776</v>
      </c>
      <c r="B1465" s="791" t="s">
        <v>1025</v>
      </c>
      <c r="C1465" s="791" t="s">
        <v>1026</v>
      </c>
      <c r="D1465" s="792" t="s">
        <v>779</v>
      </c>
      <c r="E1465" s="793" t="s">
        <v>763</v>
      </c>
      <c r="F1465" s="793" t="s">
        <v>924</v>
      </c>
      <c r="G1465" s="793" t="s">
        <v>782</v>
      </c>
      <c r="H1465" s="793" t="s">
        <v>913</v>
      </c>
      <c r="I1465" s="794">
        <v>7.0895372852548789E-4</v>
      </c>
      <c r="J1465" s="794">
        <v>7.550513144676418</v>
      </c>
      <c r="K1465" s="771"/>
    </row>
    <row r="1466" spans="1:11" ht="18.75" customHeight="1" outlineLevel="2">
      <c r="A1466" s="791" t="s">
        <v>776</v>
      </c>
      <c r="B1466" s="791" t="s">
        <v>1025</v>
      </c>
      <c r="C1466" s="791" t="s">
        <v>1026</v>
      </c>
      <c r="D1466" s="792" t="s">
        <v>779</v>
      </c>
      <c r="E1466" s="793" t="s">
        <v>763</v>
      </c>
      <c r="F1466" s="793" t="s">
        <v>925</v>
      </c>
      <c r="G1466" s="793" t="s">
        <v>782</v>
      </c>
      <c r="H1466" s="793" t="s">
        <v>913</v>
      </c>
      <c r="I1466" s="794">
        <v>4.988519129276902E-5</v>
      </c>
      <c r="J1466" s="794">
        <v>0.79441267667349424</v>
      </c>
      <c r="K1466" s="771"/>
    </row>
    <row r="1467" spans="1:11" ht="18.75" customHeight="1" outlineLevel="2">
      <c r="A1467" s="791" t="s">
        <v>776</v>
      </c>
      <c r="B1467" s="791" t="s">
        <v>1025</v>
      </c>
      <c r="C1467" s="791" t="s">
        <v>1026</v>
      </c>
      <c r="D1467" s="792" t="s">
        <v>779</v>
      </c>
      <c r="E1467" s="793" t="s">
        <v>763</v>
      </c>
      <c r="F1467" s="793" t="s">
        <v>926</v>
      </c>
      <c r="G1467" s="793" t="s">
        <v>782</v>
      </c>
      <c r="H1467" s="793" t="s">
        <v>913</v>
      </c>
      <c r="I1467" s="794">
        <v>3.6994703561851021E-3</v>
      </c>
      <c r="J1467" s="794">
        <v>6.8011194823326395</v>
      </c>
      <c r="K1467" s="771"/>
    </row>
    <row r="1468" spans="1:11" ht="18.75" customHeight="1" outlineLevel="2">
      <c r="A1468" s="791" t="s">
        <v>776</v>
      </c>
      <c r="B1468" s="791" t="s">
        <v>1025</v>
      </c>
      <c r="C1468" s="791" t="s">
        <v>1026</v>
      </c>
      <c r="D1468" s="792" t="s">
        <v>779</v>
      </c>
      <c r="E1468" s="793" t="s">
        <v>763</v>
      </c>
      <c r="F1468" s="793" t="s">
        <v>927</v>
      </c>
      <c r="G1468" s="793" t="s">
        <v>782</v>
      </c>
      <c r="H1468" s="793" t="s">
        <v>913</v>
      </c>
      <c r="I1468" s="794">
        <v>2.0620804635374081E-3</v>
      </c>
      <c r="J1468" s="794">
        <v>2.8542413830730493</v>
      </c>
      <c r="K1468" s="771"/>
    </row>
    <row r="1469" spans="1:11" ht="18.75" customHeight="1" outlineLevel="2">
      <c r="A1469" s="791" t="s">
        <v>776</v>
      </c>
      <c r="B1469" s="791" t="s">
        <v>1025</v>
      </c>
      <c r="C1469" s="791" t="s">
        <v>1026</v>
      </c>
      <c r="D1469" s="792" t="s">
        <v>779</v>
      </c>
      <c r="E1469" s="793" t="s">
        <v>763</v>
      </c>
      <c r="F1469" s="793" t="s">
        <v>928</v>
      </c>
      <c r="G1469" s="793" t="s">
        <v>785</v>
      </c>
      <c r="H1469" s="793" t="s">
        <v>913</v>
      </c>
      <c r="I1469" s="794">
        <v>1.218319031980869E-2</v>
      </c>
      <c r="J1469" s="794">
        <v>37.504615224111312</v>
      </c>
      <c r="K1469" s="771"/>
    </row>
    <row r="1470" spans="1:11" ht="18.75" customHeight="1" outlineLevel="2">
      <c r="A1470" s="791" t="s">
        <v>776</v>
      </c>
      <c r="B1470" s="791" t="s">
        <v>1025</v>
      </c>
      <c r="C1470" s="791" t="s">
        <v>1026</v>
      </c>
      <c r="D1470" s="792" t="s">
        <v>779</v>
      </c>
      <c r="E1470" s="793" t="s">
        <v>763</v>
      </c>
      <c r="F1470" s="793" t="s">
        <v>929</v>
      </c>
      <c r="G1470" s="793" t="s">
        <v>785</v>
      </c>
      <c r="H1470" s="793" t="s">
        <v>913</v>
      </c>
      <c r="I1470" s="794">
        <v>0.24221005740093907</v>
      </c>
      <c r="J1470" s="794">
        <v>3411.4549710738306</v>
      </c>
      <c r="K1470" s="771"/>
    </row>
    <row r="1471" spans="1:11" ht="18.75" customHeight="1" outlineLevel="2">
      <c r="A1471" s="791" t="s">
        <v>776</v>
      </c>
      <c r="B1471" s="791" t="s">
        <v>1025</v>
      </c>
      <c r="C1471" s="791" t="s">
        <v>1026</v>
      </c>
      <c r="D1471" s="792" t="s">
        <v>779</v>
      </c>
      <c r="E1471" s="793" t="s">
        <v>763</v>
      </c>
      <c r="F1471" s="793" t="s">
        <v>930</v>
      </c>
      <c r="G1471" s="793" t="s">
        <v>785</v>
      </c>
      <c r="H1471" s="793" t="s">
        <v>913</v>
      </c>
      <c r="I1471" s="794">
        <v>1.4419976512665611E-3</v>
      </c>
      <c r="J1471" s="794">
        <v>25.414023805226343</v>
      </c>
      <c r="K1471" s="771"/>
    </row>
    <row r="1472" spans="1:11" ht="18.75" customHeight="1" outlineLevel="2">
      <c r="A1472" s="791" t="s">
        <v>776</v>
      </c>
      <c r="B1472" s="791" t="s">
        <v>1025</v>
      </c>
      <c r="C1472" s="791" t="s">
        <v>1026</v>
      </c>
      <c r="D1472" s="792" t="s">
        <v>779</v>
      </c>
      <c r="E1472" s="793" t="s">
        <v>763</v>
      </c>
      <c r="F1472" s="793" t="s">
        <v>931</v>
      </c>
      <c r="G1472" s="793" t="s">
        <v>785</v>
      </c>
      <c r="H1472" s="793" t="s">
        <v>913</v>
      </c>
      <c r="I1472" s="794">
        <v>4.8237691133898948E-4</v>
      </c>
      <c r="J1472" s="794">
        <v>8.0164906487292775</v>
      </c>
      <c r="K1472" s="771"/>
    </row>
    <row r="1473" spans="1:11" ht="18.75" customHeight="1" outlineLevel="2">
      <c r="A1473" s="791" t="s">
        <v>776</v>
      </c>
      <c r="B1473" s="791" t="s">
        <v>1025</v>
      </c>
      <c r="C1473" s="791" t="s">
        <v>1026</v>
      </c>
      <c r="D1473" s="792" t="s">
        <v>779</v>
      </c>
      <c r="E1473" s="793" t="s">
        <v>763</v>
      </c>
      <c r="F1473" s="793" t="s">
        <v>932</v>
      </c>
      <c r="G1473" s="793" t="s">
        <v>785</v>
      </c>
      <c r="H1473" s="793" t="s">
        <v>913</v>
      </c>
      <c r="I1473" s="794">
        <v>5.1505883857892384E-4</v>
      </c>
      <c r="J1473" s="794">
        <v>1.9798339277045873</v>
      </c>
      <c r="K1473" s="771"/>
    </row>
    <row r="1474" spans="1:11" ht="18.75" customHeight="1" outlineLevel="2">
      <c r="A1474" s="791" t="s">
        <v>776</v>
      </c>
      <c r="B1474" s="791" t="s">
        <v>1025</v>
      </c>
      <c r="C1474" s="791" t="s">
        <v>1026</v>
      </c>
      <c r="D1474" s="792" t="s">
        <v>779</v>
      </c>
      <c r="E1474" s="793" t="s">
        <v>763</v>
      </c>
      <c r="F1474" s="793" t="s">
        <v>933</v>
      </c>
      <c r="G1474" s="793" t="s">
        <v>785</v>
      </c>
      <c r="H1474" s="793" t="s">
        <v>913</v>
      </c>
      <c r="I1474" s="794">
        <v>7.2294856461213401E-4</v>
      </c>
      <c r="J1474" s="794">
        <v>15.745167082173159</v>
      </c>
      <c r="K1474" s="771"/>
    </row>
    <row r="1475" spans="1:11" ht="18.75" customHeight="1" outlineLevel="2">
      <c r="A1475" s="791" t="s">
        <v>776</v>
      </c>
      <c r="B1475" s="791" t="s">
        <v>1025</v>
      </c>
      <c r="C1475" s="791" t="s">
        <v>1026</v>
      </c>
      <c r="D1475" s="792" t="s">
        <v>779</v>
      </c>
      <c r="E1475" s="793" t="s">
        <v>763</v>
      </c>
      <c r="F1475" s="793" t="s">
        <v>934</v>
      </c>
      <c r="G1475" s="793" t="s">
        <v>813</v>
      </c>
      <c r="H1475" s="793" t="s">
        <v>913</v>
      </c>
      <c r="I1475" s="794">
        <v>1.2494576206858738E-3</v>
      </c>
      <c r="J1475" s="794">
        <v>18.934650847636789</v>
      </c>
      <c r="K1475" s="771"/>
    </row>
    <row r="1476" spans="1:11" ht="18.75" customHeight="1" outlineLevel="2">
      <c r="A1476" s="791" t="s">
        <v>776</v>
      </c>
      <c r="B1476" s="791" t="s">
        <v>1025</v>
      </c>
      <c r="C1476" s="791" t="s">
        <v>1026</v>
      </c>
      <c r="D1476" s="792" t="s">
        <v>779</v>
      </c>
      <c r="E1476" s="793" t="s">
        <v>763</v>
      </c>
      <c r="F1476" s="793" t="s">
        <v>935</v>
      </c>
      <c r="G1476" s="793" t="s">
        <v>791</v>
      </c>
      <c r="H1476" s="793" t="s">
        <v>913</v>
      </c>
      <c r="I1476" s="794">
        <v>2.6550410620239747E-5</v>
      </c>
      <c r="J1476" s="794">
        <v>3.3455696186443701E-2</v>
      </c>
      <c r="K1476" s="771"/>
    </row>
    <row r="1477" spans="1:11" ht="18.75" customHeight="1" outlineLevel="2">
      <c r="A1477" s="791" t="s">
        <v>776</v>
      </c>
      <c r="B1477" s="791" t="s">
        <v>1025</v>
      </c>
      <c r="C1477" s="791" t="s">
        <v>1026</v>
      </c>
      <c r="D1477" s="792" t="s">
        <v>779</v>
      </c>
      <c r="E1477" s="793" t="s">
        <v>763</v>
      </c>
      <c r="F1477" s="793" t="s">
        <v>936</v>
      </c>
      <c r="G1477" s="793" t="s">
        <v>791</v>
      </c>
      <c r="H1477" s="793" t="s">
        <v>913</v>
      </c>
      <c r="I1477" s="794">
        <v>3.846908989315584E-6</v>
      </c>
      <c r="J1477" s="794">
        <v>6.5162302722337431E-2</v>
      </c>
      <c r="K1477" s="771"/>
    </row>
    <row r="1478" spans="1:11" ht="18.75" customHeight="1" outlineLevel="2">
      <c r="A1478" s="791" t="s">
        <v>776</v>
      </c>
      <c r="B1478" s="791" t="s">
        <v>1025</v>
      </c>
      <c r="C1478" s="791" t="s">
        <v>1026</v>
      </c>
      <c r="D1478" s="792" t="s">
        <v>779</v>
      </c>
      <c r="E1478" s="793" t="s">
        <v>763</v>
      </c>
      <c r="F1478" s="793" t="s">
        <v>937</v>
      </c>
      <c r="G1478" s="793" t="s">
        <v>794</v>
      </c>
      <c r="H1478" s="793" t="s">
        <v>913</v>
      </c>
      <c r="I1478" s="794">
        <v>2.2530956714115091E-2</v>
      </c>
      <c r="J1478" s="794">
        <v>55.320761246798277</v>
      </c>
      <c r="K1478" s="771"/>
    </row>
    <row r="1479" spans="1:11" ht="18.75" customHeight="1" outlineLevel="2">
      <c r="A1479" s="791" t="s">
        <v>776</v>
      </c>
      <c r="B1479" s="791" t="s">
        <v>1025</v>
      </c>
      <c r="C1479" s="791" t="s">
        <v>1026</v>
      </c>
      <c r="D1479" s="792" t="s">
        <v>779</v>
      </c>
      <c r="E1479" s="793" t="s">
        <v>763</v>
      </c>
      <c r="F1479" s="793" t="s">
        <v>938</v>
      </c>
      <c r="G1479" s="793" t="s">
        <v>794</v>
      </c>
      <c r="H1479" s="793" t="s">
        <v>913</v>
      </c>
      <c r="I1479" s="794">
        <v>2.6511346819102681E-3</v>
      </c>
      <c r="J1479" s="794">
        <v>12.10902034447647</v>
      </c>
      <c r="K1479" s="771"/>
    </row>
    <row r="1480" spans="1:11" ht="18.75" customHeight="1" outlineLevel="2">
      <c r="A1480" s="791" t="s">
        <v>776</v>
      </c>
      <c r="B1480" s="791" t="s">
        <v>1025</v>
      </c>
      <c r="C1480" s="791" t="s">
        <v>1026</v>
      </c>
      <c r="D1480" s="792" t="s">
        <v>779</v>
      </c>
      <c r="E1480" s="793" t="s">
        <v>763</v>
      </c>
      <c r="F1480" s="793" t="s">
        <v>939</v>
      </c>
      <c r="G1480" s="793" t="s">
        <v>794</v>
      </c>
      <c r="H1480" s="793" t="s">
        <v>913</v>
      </c>
      <c r="I1480" s="794">
        <v>1.3823248440430734E-3</v>
      </c>
      <c r="J1480" s="794">
        <v>14.139380779801927</v>
      </c>
      <c r="K1480" s="771"/>
    </row>
    <row r="1481" spans="1:11" ht="18.75" customHeight="1" outlineLevel="2">
      <c r="A1481" s="791" t="s">
        <v>776</v>
      </c>
      <c r="B1481" s="791" t="s">
        <v>1025</v>
      </c>
      <c r="C1481" s="791" t="s">
        <v>1026</v>
      </c>
      <c r="D1481" s="792" t="s">
        <v>779</v>
      </c>
      <c r="E1481" s="793" t="s">
        <v>763</v>
      </c>
      <c r="F1481" s="793" t="s">
        <v>940</v>
      </c>
      <c r="G1481" s="793" t="s">
        <v>794</v>
      </c>
      <c r="H1481" s="793" t="s">
        <v>913</v>
      </c>
      <c r="I1481" s="794">
        <v>2.2884301436405553E-3</v>
      </c>
      <c r="J1481" s="794">
        <v>17.573191354445814</v>
      </c>
      <c r="K1481" s="771"/>
    </row>
    <row r="1482" spans="1:11" ht="18.75" customHeight="1" outlineLevel="2">
      <c r="A1482" s="791" t="s">
        <v>776</v>
      </c>
      <c r="B1482" s="791" t="s">
        <v>1025</v>
      </c>
      <c r="C1482" s="791" t="s">
        <v>1026</v>
      </c>
      <c r="D1482" s="792" t="s">
        <v>779</v>
      </c>
      <c r="E1482" s="793" t="s">
        <v>763</v>
      </c>
      <c r="F1482" s="793" t="s">
        <v>941</v>
      </c>
      <c r="G1482" s="793" t="s">
        <v>794</v>
      </c>
      <c r="H1482" s="793" t="s">
        <v>913</v>
      </c>
      <c r="I1482" s="794">
        <v>7.9216628840978579E-5</v>
      </c>
      <c r="J1482" s="794">
        <v>0.2390051047577966</v>
      </c>
      <c r="K1482" s="771"/>
    </row>
    <row r="1483" spans="1:11" ht="18.75" customHeight="1" outlineLevel="2">
      <c r="A1483" s="791" t="s">
        <v>776</v>
      </c>
      <c r="B1483" s="791" t="s">
        <v>1025</v>
      </c>
      <c r="C1483" s="791" t="s">
        <v>1026</v>
      </c>
      <c r="D1483" s="792" t="s">
        <v>779</v>
      </c>
      <c r="E1483" s="793" t="s">
        <v>763</v>
      </c>
      <c r="F1483" s="793" t="s">
        <v>942</v>
      </c>
      <c r="G1483" s="793" t="s">
        <v>794</v>
      </c>
      <c r="H1483" s="793" t="s">
        <v>913</v>
      </c>
      <c r="I1483" s="794">
        <v>1.877815102216576E-5</v>
      </c>
      <c r="J1483" s="794">
        <v>0.2169959950090817</v>
      </c>
      <c r="K1483" s="771"/>
    </row>
    <row r="1484" spans="1:11" ht="18.75" customHeight="1" outlineLevel="2">
      <c r="A1484" s="791" t="s">
        <v>776</v>
      </c>
      <c r="B1484" s="791" t="s">
        <v>1025</v>
      </c>
      <c r="C1484" s="791" t="s">
        <v>1026</v>
      </c>
      <c r="D1484" s="792" t="s">
        <v>779</v>
      </c>
      <c r="E1484" s="793" t="s">
        <v>763</v>
      </c>
      <c r="F1484" s="793" t="s">
        <v>943</v>
      </c>
      <c r="G1484" s="793" t="s">
        <v>944</v>
      </c>
      <c r="H1484" s="793" t="s">
        <v>913</v>
      </c>
      <c r="I1484" s="794">
        <v>5.2640498584299529E-5</v>
      </c>
      <c r="J1484" s="794">
        <v>0.22742506460735726</v>
      </c>
      <c r="K1484" s="771"/>
    </row>
    <row r="1485" spans="1:11" ht="18.75" customHeight="1" outlineLevel="2">
      <c r="A1485" s="791" t="s">
        <v>776</v>
      </c>
      <c r="B1485" s="791" t="s">
        <v>1025</v>
      </c>
      <c r="C1485" s="791" t="s">
        <v>1026</v>
      </c>
      <c r="D1485" s="792" t="s">
        <v>779</v>
      </c>
      <c r="E1485" s="793" t="s">
        <v>764</v>
      </c>
      <c r="F1485" s="793" t="s">
        <v>945</v>
      </c>
      <c r="G1485" s="793" t="s">
        <v>244</v>
      </c>
      <c r="H1485" s="793" t="s">
        <v>905</v>
      </c>
      <c r="I1485" s="794">
        <v>5.3604898725413082E-2</v>
      </c>
      <c r="J1485" s="794">
        <v>1929.2821925877913</v>
      </c>
      <c r="K1485" s="771"/>
    </row>
    <row r="1486" spans="1:11" ht="18.75" customHeight="1" outlineLevel="2">
      <c r="A1486" s="791" t="s">
        <v>776</v>
      </c>
      <c r="B1486" s="791" t="s">
        <v>1025</v>
      </c>
      <c r="C1486" s="791" t="s">
        <v>1026</v>
      </c>
      <c r="D1486" s="792" t="s">
        <v>779</v>
      </c>
      <c r="E1486" s="793" t="s">
        <v>764</v>
      </c>
      <c r="F1486" s="793" t="s">
        <v>946</v>
      </c>
      <c r="G1486" s="793" t="s">
        <v>244</v>
      </c>
      <c r="H1486" s="793" t="s">
        <v>905</v>
      </c>
      <c r="I1486" s="794">
        <v>4.6870885191729509E-4</v>
      </c>
      <c r="J1486" s="794">
        <v>8.89113987834134</v>
      </c>
      <c r="K1486" s="771"/>
    </row>
    <row r="1487" spans="1:11" ht="18.75" customHeight="1" outlineLevel="2">
      <c r="A1487" s="791" t="s">
        <v>776</v>
      </c>
      <c r="B1487" s="791" t="s">
        <v>1025</v>
      </c>
      <c r="C1487" s="791" t="s">
        <v>1026</v>
      </c>
      <c r="D1487" s="792" t="s">
        <v>779</v>
      </c>
      <c r="E1487" s="793" t="s">
        <v>947</v>
      </c>
      <c r="F1487" s="793" t="s">
        <v>948</v>
      </c>
      <c r="G1487" s="793" t="s">
        <v>799</v>
      </c>
      <c r="H1487" s="793" t="s">
        <v>800</v>
      </c>
      <c r="I1487" s="794">
        <v>1.2431270024559564E-2</v>
      </c>
      <c r="J1487" s="794">
        <v>307.31859532851621</v>
      </c>
      <c r="K1487" s="771"/>
    </row>
    <row r="1488" spans="1:11" ht="18.75" customHeight="1" outlineLevel="2">
      <c r="A1488" s="791" t="s">
        <v>776</v>
      </c>
      <c r="B1488" s="791" t="s">
        <v>1025</v>
      </c>
      <c r="C1488" s="791" t="s">
        <v>1026</v>
      </c>
      <c r="D1488" s="792" t="s">
        <v>779</v>
      </c>
      <c r="E1488" s="793" t="s">
        <v>947</v>
      </c>
      <c r="F1488" s="793" t="s">
        <v>949</v>
      </c>
      <c r="G1488" s="793" t="s">
        <v>782</v>
      </c>
      <c r="H1488" s="793" t="s">
        <v>804</v>
      </c>
      <c r="I1488" s="794">
        <v>3.227162686454163E-3</v>
      </c>
      <c r="J1488" s="794">
        <v>188.20954096842135</v>
      </c>
      <c r="K1488" s="771"/>
    </row>
    <row r="1489" spans="1:11" ht="18.75" customHeight="1" outlineLevel="2">
      <c r="A1489" s="791" t="s">
        <v>776</v>
      </c>
      <c r="B1489" s="791" t="s">
        <v>1025</v>
      </c>
      <c r="C1489" s="791" t="s">
        <v>1026</v>
      </c>
      <c r="D1489" s="792" t="s">
        <v>779</v>
      </c>
      <c r="E1489" s="793" t="s">
        <v>947</v>
      </c>
      <c r="F1489" s="793" t="s">
        <v>950</v>
      </c>
      <c r="G1489" s="793" t="s">
        <v>782</v>
      </c>
      <c r="H1489" s="793" t="s">
        <v>804</v>
      </c>
      <c r="I1489" s="794">
        <v>2.7748113164371516E-5</v>
      </c>
      <c r="J1489" s="794">
        <v>0.30649518788487884</v>
      </c>
      <c r="K1489" s="771"/>
    </row>
    <row r="1490" spans="1:11" ht="18.75" customHeight="1" outlineLevel="2">
      <c r="A1490" s="791" t="s">
        <v>776</v>
      </c>
      <c r="B1490" s="791" t="s">
        <v>1025</v>
      </c>
      <c r="C1490" s="791" t="s">
        <v>1026</v>
      </c>
      <c r="D1490" s="792" t="s">
        <v>779</v>
      </c>
      <c r="E1490" s="793" t="s">
        <v>947</v>
      </c>
      <c r="F1490" s="793" t="s">
        <v>951</v>
      </c>
      <c r="G1490" s="793" t="s">
        <v>782</v>
      </c>
      <c r="H1490" s="793" t="s">
        <v>804</v>
      </c>
      <c r="I1490" s="794">
        <v>4.0241888110053035E-4</v>
      </c>
      <c r="J1490" s="794">
        <v>5.0488116231782643</v>
      </c>
      <c r="K1490" s="771"/>
    </row>
    <row r="1491" spans="1:11" ht="18.75" customHeight="1" outlineLevel="2">
      <c r="A1491" s="791" t="s">
        <v>776</v>
      </c>
      <c r="B1491" s="791" t="s">
        <v>1025</v>
      </c>
      <c r="C1491" s="791" t="s">
        <v>1026</v>
      </c>
      <c r="D1491" s="792" t="s">
        <v>779</v>
      </c>
      <c r="E1491" s="793" t="s">
        <v>947</v>
      </c>
      <c r="F1491" s="793" t="s">
        <v>952</v>
      </c>
      <c r="G1491" s="793" t="s">
        <v>782</v>
      </c>
      <c r="H1491" s="793" t="s">
        <v>804</v>
      </c>
      <c r="I1491" s="794">
        <v>9.189653870803411E-3</v>
      </c>
      <c r="J1491" s="794">
        <v>471.11688314599809</v>
      </c>
      <c r="K1491" s="771"/>
    </row>
    <row r="1492" spans="1:11" ht="18.75" customHeight="1" outlineLevel="2">
      <c r="A1492" s="791" t="s">
        <v>776</v>
      </c>
      <c r="B1492" s="791" t="s">
        <v>1025</v>
      </c>
      <c r="C1492" s="791" t="s">
        <v>1026</v>
      </c>
      <c r="D1492" s="792" t="s">
        <v>779</v>
      </c>
      <c r="E1492" s="793" t="s">
        <v>947</v>
      </c>
      <c r="F1492" s="793" t="s">
        <v>953</v>
      </c>
      <c r="G1492" s="793" t="s">
        <v>782</v>
      </c>
      <c r="H1492" s="793" t="s">
        <v>804</v>
      </c>
      <c r="I1492" s="794">
        <v>6.9761148867499567E-3</v>
      </c>
      <c r="J1492" s="794">
        <v>512.6071327333309</v>
      </c>
      <c r="K1492" s="771"/>
    </row>
    <row r="1493" spans="1:11" ht="18.75" customHeight="1" outlineLevel="2">
      <c r="A1493" s="791" t="s">
        <v>776</v>
      </c>
      <c r="B1493" s="791" t="s">
        <v>1025</v>
      </c>
      <c r="C1493" s="791" t="s">
        <v>1026</v>
      </c>
      <c r="D1493" s="792" t="s">
        <v>779</v>
      </c>
      <c r="E1493" s="793" t="s">
        <v>947</v>
      </c>
      <c r="F1493" s="793" t="s">
        <v>954</v>
      </c>
      <c r="G1493" s="793" t="s">
        <v>782</v>
      </c>
      <c r="H1493" s="793" t="s">
        <v>804</v>
      </c>
      <c r="I1493" s="794">
        <v>7.8815545587217943E-4</v>
      </c>
      <c r="J1493" s="794">
        <v>28.305207205907049</v>
      </c>
      <c r="K1493" s="771"/>
    </row>
    <row r="1494" spans="1:11" ht="18.75" customHeight="1" outlineLevel="2">
      <c r="A1494" s="791" t="s">
        <v>776</v>
      </c>
      <c r="B1494" s="791" t="s">
        <v>1025</v>
      </c>
      <c r="C1494" s="791" t="s">
        <v>1026</v>
      </c>
      <c r="D1494" s="792" t="s">
        <v>779</v>
      </c>
      <c r="E1494" s="793" t="s">
        <v>947</v>
      </c>
      <c r="F1494" s="793" t="s">
        <v>955</v>
      </c>
      <c r="G1494" s="793" t="s">
        <v>782</v>
      </c>
      <c r="H1494" s="793" t="s">
        <v>804</v>
      </c>
      <c r="I1494" s="794">
        <v>4.1921266411715409E-4</v>
      </c>
      <c r="J1494" s="794">
        <v>19.274626518211083</v>
      </c>
      <c r="K1494" s="771"/>
    </row>
    <row r="1495" spans="1:11" ht="18.75" customHeight="1" outlineLevel="2">
      <c r="A1495" s="791" t="s">
        <v>776</v>
      </c>
      <c r="B1495" s="791" t="s">
        <v>1025</v>
      </c>
      <c r="C1495" s="791" t="s">
        <v>1026</v>
      </c>
      <c r="D1495" s="792" t="s">
        <v>779</v>
      </c>
      <c r="E1495" s="793" t="s">
        <v>947</v>
      </c>
      <c r="F1495" s="793" t="s">
        <v>956</v>
      </c>
      <c r="G1495" s="793" t="s">
        <v>782</v>
      </c>
      <c r="H1495" s="793" t="s">
        <v>804</v>
      </c>
      <c r="I1495" s="794">
        <v>2.228098689478434E-3</v>
      </c>
      <c r="J1495" s="794">
        <v>52.929991440086745</v>
      </c>
      <c r="K1495" s="771"/>
    </row>
    <row r="1496" spans="1:11" ht="18.75" customHeight="1" outlineLevel="2">
      <c r="A1496" s="791" t="s">
        <v>776</v>
      </c>
      <c r="B1496" s="791" t="s">
        <v>1025</v>
      </c>
      <c r="C1496" s="791" t="s">
        <v>1026</v>
      </c>
      <c r="D1496" s="792" t="s">
        <v>779</v>
      </c>
      <c r="E1496" s="793" t="s">
        <v>947</v>
      </c>
      <c r="F1496" s="793" t="s">
        <v>957</v>
      </c>
      <c r="G1496" s="793" t="s">
        <v>782</v>
      </c>
      <c r="H1496" s="793" t="s">
        <v>804</v>
      </c>
      <c r="I1496" s="794">
        <v>6.38732221005185E-3</v>
      </c>
      <c r="J1496" s="794">
        <v>226.50139394907049</v>
      </c>
      <c r="K1496" s="771"/>
    </row>
    <row r="1497" spans="1:11" ht="18.75" customHeight="1" outlineLevel="2">
      <c r="A1497" s="791" t="s">
        <v>776</v>
      </c>
      <c r="B1497" s="791" t="s">
        <v>1025</v>
      </c>
      <c r="C1497" s="791" t="s">
        <v>1026</v>
      </c>
      <c r="D1497" s="792" t="s">
        <v>779</v>
      </c>
      <c r="E1497" s="793" t="s">
        <v>947</v>
      </c>
      <c r="F1497" s="793" t="s">
        <v>958</v>
      </c>
      <c r="G1497" s="793" t="s">
        <v>782</v>
      </c>
      <c r="H1497" s="793" t="s">
        <v>804</v>
      </c>
      <c r="I1497" s="794">
        <v>4.5156275903057014E-3</v>
      </c>
      <c r="J1497" s="794">
        <v>248.6844861340719</v>
      </c>
      <c r="K1497" s="771"/>
    </row>
    <row r="1498" spans="1:11" ht="18.75" customHeight="1" outlineLevel="2">
      <c r="A1498" s="791" t="s">
        <v>776</v>
      </c>
      <c r="B1498" s="791" t="s">
        <v>1025</v>
      </c>
      <c r="C1498" s="791" t="s">
        <v>1026</v>
      </c>
      <c r="D1498" s="792" t="s">
        <v>779</v>
      </c>
      <c r="E1498" s="793" t="s">
        <v>947</v>
      </c>
      <c r="F1498" s="793" t="s">
        <v>959</v>
      </c>
      <c r="G1498" s="793" t="s">
        <v>782</v>
      </c>
      <c r="H1498" s="793" t="s">
        <v>804</v>
      </c>
      <c r="I1498" s="794">
        <v>2.4756761844668913E-2</v>
      </c>
      <c r="J1498" s="794">
        <v>1909.5180519941841</v>
      </c>
      <c r="K1498" s="771"/>
    </row>
    <row r="1499" spans="1:11" ht="18.75" customHeight="1" outlineLevel="2">
      <c r="A1499" s="791" t="s">
        <v>776</v>
      </c>
      <c r="B1499" s="791" t="s">
        <v>1025</v>
      </c>
      <c r="C1499" s="791" t="s">
        <v>1026</v>
      </c>
      <c r="D1499" s="792" t="s">
        <v>779</v>
      </c>
      <c r="E1499" s="793" t="s">
        <v>947</v>
      </c>
      <c r="F1499" s="793" t="s">
        <v>960</v>
      </c>
      <c r="G1499" s="793" t="s">
        <v>782</v>
      </c>
      <c r="H1499" s="793" t="s">
        <v>804</v>
      </c>
      <c r="I1499" s="794">
        <v>5.2362413551979036E-4</v>
      </c>
      <c r="J1499" s="794">
        <v>15.877868006328489</v>
      </c>
      <c r="K1499" s="771"/>
    </row>
    <row r="1500" spans="1:11" ht="18.75" customHeight="1" outlineLevel="2">
      <c r="A1500" s="791" t="s">
        <v>776</v>
      </c>
      <c r="B1500" s="791" t="s">
        <v>1025</v>
      </c>
      <c r="C1500" s="791" t="s">
        <v>1026</v>
      </c>
      <c r="D1500" s="792" t="s">
        <v>779</v>
      </c>
      <c r="E1500" s="793" t="s">
        <v>947</v>
      </c>
      <c r="F1500" s="793" t="s">
        <v>961</v>
      </c>
      <c r="G1500" s="793" t="s">
        <v>782</v>
      </c>
      <c r="H1500" s="793" t="s">
        <v>804</v>
      </c>
      <c r="I1500" s="794">
        <v>2.0620892451520722E-4</v>
      </c>
      <c r="J1500" s="794">
        <v>9.7220534186466843</v>
      </c>
      <c r="K1500" s="771"/>
    </row>
    <row r="1501" spans="1:11" ht="18.75" customHeight="1" outlineLevel="2">
      <c r="A1501" s="791" t="s">
        <v>776</v>
      </c>
      <c r="B1501" s="791" t="s">
        <v>1025</v>
      </c>
      <c r="C1501" s="791" t="s">
        <v>1026</v>
      </c>
      <c r="D1501" s="792" t="s">
        <v>779</v>
      </c>
      <c r="E1501" s="793" t="s">
        <v>947</v>
      </c>
      <c r="F1501" s="793" t="s">
        <v>962</v>
      </c>
      <c r="G1501" s="793" t="s">
        <v>782</v>
      </c>
      <c r="H1501" s="793" t="s">
        <v>804</v>
      </c>
      <c r="I1501" s="794">
        <v>7.305336747335146E-3</v>
      </c>
      <c r="J1501" s="794">
        <v>436.46679981058764</v>
      </c>
      <c r="K1501" s="771"/>
    </row>
    <row r="1502" spans="1:11" ht="18.75" customHeight="1" outlineLevel="2">
      <c r="A1502" s="791" t="s">
        <v>776</v>
      </c>
      <c r="B1502" s="791" t="s">
        <v>1025</v>
      </c>
      <c r="C1502" s="791" t="s">
        <v>1026</v>
      </c>
      <c r="D1502" s="792" t="s">
        <v>779</v>
      </c>
      <c r="E1502" s="793" t="s">
        <v>947</v>
      </c>
      <c r="F1502" s="793" t="s">
        <v>963</v>
      </c>
      <c r="G1502" s="793" t="s">
        <v>782</v>
      </c>
      <c r="H1502" s="793" t="s">
        <v>804</v>
      </c>
      <c r="I1502" s="794">
        <v>6.2805004484901205E-3</v>
      </c>
      <c r="J1502" s="794">
        <v>475.09979025466583</v>
      </c>
      <c r="K1502" s="771"/>
    </row>
    <row r="1503" spans="1:11" ht="18.75" customHeight="1" outlineLevel="2">
      <c r="A1503" s="791" t="s">
        <v>776</v>
      </c>
      <c r="B1503" s="791" t="s">
        <v>1025</v>
      </c>
      <c r="C1503" s="791" t="s">
        <v>1026</v>
      </c>
      <c r="D1503" s="792" t="s">
        <v>779</v>
      </c>
      <c r="E1503" s="793" t="s">
        <v>947</v>
      </c>
      <c r="F1503" s="793" t="s">
        <v>964</v>
      </c>
      <c r="G1503" s="793" t="s">
        <v>782</v>
      </c>
      <c r="H1503" s="793" t="s">
        <v>804</v>
      </c>
      <c r="I1503" s="794">
        <v>2.2930696394632737E-2</v>
      </c>
      <c r="J1503" s="794">
        <v>1634.2758919751664</v>
      </c>
      <c r="K1503" s="771"/>
    </row>
    <row r="1504" spans="1:11" ht="18.75" customHeight="1" outlineLevel="2">
      <c r="A1504" s="791" t="s">
        <v>776</v>
      </c>
      <c r="B1504" s="791" t="s">
        <v>1025</v>
      </c>
      <c r="C1504" s="791" t="s">
        <v>1026</v>
      </c>
      <c r="D1504" s="792" t="s">
        <v>779</v>
      </c>
      <c r="E1504" s="793" t="s">
        <v>947</v>
      </c>
      <c r="F1504" s="793" t="s">
        <v>965</v>
      </c>
      <c r="G1504" s="793" t="s">
        <v>782</v>
      </c>
      <c r="H1504" s="793" t="s">
        <v>804</v>
      </c>
      <c r="I1504" s="794">
        <v>1.5784370957828392E-3</v>
      </c>
      <c r="J1504" s="794">
        <v>76.846524631677767</v>
      </c>
      <c r="K1504" s="771"/>
    </row>
    <row r="1505" spans="1:11" ht="18.75" customHeight="1" outlineLevel="2">
      <c r="A1505" s="791" t="s">
        <v>776</v>
      </c>
      <c r="B1505" s="791" t="s">
        <v>1025</v>
      </c>
      <c r="C1505" s="791" t="s">
        <v>1026</v>
      </c>
      <c r="D1505" s="792" t="s">
        <v>779</v>
      </c>
      <c r="E1505" s="793" t="s">
        <v>947</v>
      </c>
      <c r="F1505" s="793" t="s">
        <v>966</v>
      </c>
      <c r="G1505" s="793" t="s">
        <v>782</v>
      </c>
      <c r="H1505" s="793" t="s">
        <v>804</v>
      </c>
      <c r="I1505" s="794">
        <v>1.3272630807672235E-2</v>
      </c>
      <c r="J1505" s="794">
        <v>611.27275666843138</v>
      </c>
      <c r="K1505" s="771"/>
    </row>
    <row r="1506" spans="1:11" ht="18.75" customHeight="1" outlineLevel="2">
      <c r="A1506" s="791" t="s">
        <v>776</v>
      </c>
      <c r="B1506" s="791" t="s">
        <v>1025</v>
      </c>
      <c r="C1506" s="791" t="s">
        <v>1026</v>
      </c>
      <c r="D1506" s="792" t="s">
        <v>779</v>
      </c>
      <c r="E1506" s="793" t="s">
        <v>947</v>
      </c>
      <c r="F1506" s="793" t="s">
        <v>967</v>
      </c>
      <c r="G1506" s="793" t="s">
        <v>782</v>
      </c>
      <c r="H1506" s="793" t="s">
        <v>804</v>
      </c>
      <c r="I1506" s="794">
        <v>3.2429106686691626E-2</v>
      </c>
      <c r="J1506" s="794">
        <v>2078.210635264033</v>
      </c>
      <c r="K1506" s="771"/>
    </row>
    <row r="1507" spans="1:11" ht="18.75" customHeight="1" outlineLevel="2">
      <c r="A1507" s="791" t="s">
        <v>776</v>
      </c>
      <c r="B1507" s="791" t="s">
        <v>1025</v>
      </c>
      <c r="C1507" s="791" t="s">
        <v>1026</v>
      </c>
      <c r="D1507" s="792" t="s">
        <v>779</v>
      </c>
      <c r="E1507" s="793" t="s">
        <v>947</v>
      </c>
      <c r="F1507" s="793" t="s">
        <v>968</v>
      </c>
      <c r="G1507" s="793" t="s">
        <v>782</v>
      </c>
      <c r="H1507" s="793" t="s">
        <v>804</v>
      </c>
      <c r="I1507" s="794">
        <v>7.1027731089973345E-2</v>
      </c>
      <c r="J1507" s="794">
        <v>1394.1953521912467</v>
      </c>
      <c r="K1507" s="771"/>
    </row>
    <row r="1508" spans="1:11" ht="18.75" customHeight="1" outlineLevel="2">
      <c r="A1508" s="791" t="s">
        <v>776</v>
      </c>
      <c r="B1508" s="791" t="s">
        <v>1025</v>
      </c>
      <c r="C1508" s="791" t="s">
        <v>1026</v>
      </c>
      <c r="D1508" s="792" t="s">
        <v>779</v>
      </c>
      <c r="E1508" s="793" t="s">
        <v>947</v>
      </c>
      <c r="F1508" s="793" t="s">
        <v>969</v>
      </c>
      <c r="G1508" s="793" t="s">
        <v>782</v>
      </c>
      <c r="H1508" s="793" t="s">
        <v>804</v>
      </c>
      <c r="I1508" s="794">
        <v>2.6115206799672292E-2</v>
      </c>
      <c r="J1508" s="794">
        <v>1901.1232165290544</v>
      </c>
      <c r="K1508" s="771"/>
    </row>
    <row r="1509" spans="1:11" ht="18.75" customHeight="1" outlineLevel="2">
      <c r="A1509" s="791" t="s">
        <v>776</v>
      </c>
      <c r="B1509" s="791" t="s">
        <v>1025</v>
      </c>
      <c r="C1509" s="791" t="s">
        <v>1026</v>
      </c>
      <c r="D1509" s="792" t="s">
        <v>779</v>
      </c>
      <c r="E1509" s="793" t="s">
        <v>947</v>
      </c>
      <c r="F1509" s="793" t="s">
        <v>970</v>
      </c>
      <c r="G1509" s="793" t="s">
        <v>782</v>
      </c>
      <c r="H1509" s="793" t="s">
        <v>804</v>
      </c>
      <c r="I1509" s="794">
        <v>4.7550709626430508E-2</v>
      </c>
      <c r="J1509" s="794">
        <v>1094.3720128488653</v>
      </c>
      <c r="K1509" s="771"/>
    </row>
    <row r="1510" spans="1:11" ht="18.75" customHeight="1" outlineLevel="2">
      <c r="A1510" s="791" t="s">
        <v>776</v>
      </c>
      <c r="B1510" s="791" t="s">
        <v>1025</v>
      </c>
      <c r="C1510" s="791" t="s">
        <v>1026</v>
      </c>
      <c r="D1510" s="792" t="s">
        <v>779</v>
      </c>
      <c r="E1510" s="793" t="s">
        <v>947</v>
      </c>
      <c r="F1510" s="793" t="s">
        <v>971</v>
      </c>
      <c r="G1510" s="793" t="s">
        <v>782</v>
      </c>
      <c r="H1510" s="793" t="s">
        <v>804</v>
      </c>
      <c r="I1510" s="794">
        <v>2.7913192721115863E-3</v>
      </c>
      <c r="J1510" s="794">
        <v>203.9928715563683</v>
      </c>
      <c r="K1510" s="771"/>
    </row>
    <row r="1511" spans="1:11" ht="18.75" customHeight="1" outlineLevel="2">
      <c r="A1511" s="791" t="s">
        <v>776</v>
      </c>
      <c r="B1511" s="791" t="s">
        <v>1025</v>
      </c>
      <c r="C1511" s="791" t="s">
        <v>1026</v>
      </c>
      <c r="D1511" s="792" t="s">
        <v>779</v>
      </c>
      <c r="E1511" s="793" t="s">
        <v>947</v>
      </c>
      <c r="F1511" s="793" t="s">
        <v>972</v>
      </c>
      <c r="G1511" s="793" t="s">
        <v>782</v>
      </c>
      <c r="H1511" s="793" t="s">
        <v>804</v>
      </c>
      <c r="I1511" s="794">
        <v>1.4497875934604056E-4</v>
      </c>
      <c r="J1511" s="794">
        <v>3.3467726742193982</v>
      </c>
      <c r="K1511" s="771"/>
    </row>
    <row r="1512" spans="1:11" ht="18.75" customHeight="1" outlineLevel="2">
      <c r="A1512" s="791" t="s">
        <v>776</v>
      </c>
      <c r="B1512" s="791" t="s">
        <v>1025</v>
      </c>
      <c r="C1512" s="791" t="s">
        <v>1026</v>
      </c>
      <c r="D1512" s="792" t="s">
        <v>779</v>
      </c>
      <c r="E1512" s="793" t="s">
        <v>947</v>
      </c>
      <c r="F1512" s="793" t="s">
        <v>973</v>
      </c>
      <c r="G1512" s="793" t="s">
        <v>782</v>
      </c>
      <c r="H1512" s="793" t="s">
        <v>804</v>
      </c>
      <c r="I1512" s="794">
        <v>3.9580547689599867E-3</v>
      </c>
      <c r="J1512" s="794">
        <v>212.7845815997957</v>
      </c>
      <c r="K1512" s="771"/>
    </row>
    <row r="1513" spans="1:11" ht="18.75" customHeight="1" outlineLevel="2">
      <c r="A1513" s="791" t="s">
        <v>776</v>
      </c>
      <c r="B1513" s="791" t="s">
        <v>1025</v>
      </c>
      <c r="C1513" s="791" t="s">
        <v>1026</v>
      </c>
      <c r="D1513" s="792" t="s">
        <v>779</v>
      </c>
      <c r="E1513" s="793" t="s">
        <v>947</v>
      </c>
      <c r="F1513" s="793" t="s">
        <v>974</v>
      </c>
      <c r="G1513" s="793" t="s">
        <v>785</v>
      </c>
      <c r="H1513" s="793" t="s">
        <v>727</v>
      </c>
      <c r="I1513" s="794">
        <v>2.5349109774407204E-3</v>
      </c>
      <c r="J1513" s="794">
        <v>61.326249451967222</v>
      </c>
      <c r="K1513" s="771"/>
    </row>
    <row r="1514" spans="1:11" ht="18.75" customHeight="1" outlineLevel="2">
      <c r="A1514" s="791" t="s">
        <v>776</v>
      </c>
      <c r="B1514" s="791" t="s">
        <v>1025</v>
      </c>
      <c r="C1514" s="791" t="s">
        <v>1026</v>
      </c>
      <c r="D1514" s="792" t="s">
        <v>779</v>
      </c>
      <c r="E1514" s="793" t="s">
        <v>947</v>
      </c>
      <c r="F1514" s="793" t="s">
        <v>975</v>
      </c>
      <c r="G1514" s="793" t="s">
        <v>785</v>
      </c>
      <c r="H1514" s="793" t="s">
        <v>727</v>
      </c>
      <c r="I1514" s="794">
        <v>1.2615320376268451E-2</v>
      </c>
      <c r="J1514" s="794">
        <v>889.69663786000513</v>
      </c>
      <c r="K1514" s="771"/>
    </row>
    <row r="1515" spans="1:11" ht="18.75" customHeight="1" outlineLevel="2">
      <c r="A1515" s="791" t="s">
        <v>776</v>
      </c>
      <c r="B1515" s="791" t="s">
        <v>1025</v>
      </c>
      <c r="C1515" s="791" t="s">
        <v>1026</v>
      </c>
      <c r="D1515" s="792" t="s">
        <v>779</v>
      </c>
      <c r="E1515" s="793" t="s">
        <v>947</v>
      </c>
      <c r="F1515" s="793" t="s">
        <v>976</v>
      </c>
      <c r="G1515" s="793" t="s">
        <v>785</v>
      </c>
      <c r="H1515" s="793" t="s">
        <v>727</v>
      </c>
      <c r="I1515" s="794">
        <v>7.4108339587893764E-3</v>
      </c>
      <c r="J1515" s="794">
        <v>388.60122662974646</v>
      </c>
      <c r="K1515" s="771"/>
    </row>
    <row r="1516" spans="1:11" ht="18.75" customHeight="1" outlineLevel="2">
      <c r="A1516" s="791" t="s">
        <v>776</v>
      </c>
      <c r="B1516" s="791" t="s">
        <v>1025</v>
      </c>
      <c r="C1516" s="791" t="s">
        <v>1026</v>
      </c>
      <c r="D1516" s="792" t="s">
        <v>779</v>
      </c>
      <c r="E1516" s="793" t="s">
        <v>947</v>
      </c>
      <c r="F1516" s="793" t="s">
        <v>977</v>
      </c>
      <c r="G1516" s="793" t="s">
        <v>785</v>
      </c>
      <c r="H1516" s="793" t="s">
        <v>727</v>
      </c>
      <c r="I1516" s="794">
        <v>8.7720292765046219E-3</v>
      </c>
      <c r="J1516" s="794">
        <v>394.05678411495109</v>
      </c>
      <c r="K1516" s="771"/>
    </row>
    <row r="1517" spans="1:11" ht="18.75" customHeight="1" outlineLevel="2">
      <c r="A1517" s="791" t="s">
        <v>776</v>
      </c>
      <c r="B1517" s="791" t="s">
        <v>1025</v>
      </c>
      <c r="C1517" s="791" t="s">
        <v>1026</v>
      </c>
      <c r="D1517" s="792" t="s">
        <v>779</v>
      </c>
      <c r="E1517" s="793" t="s">
        <v>947</v>
      </c>
      <c r="F1517" s="793" t="s">
        <v>978</v>
      </c>
      <c r="G1517" s="793" t="s">
        <v>785</v>
      </c>
      <c r="H1517" s="793" t="s">
        <v>727</v>
      </c>
      <c r="I1517" s="794">
        <v>5.5558038224015312E-4</v>
      </c>
      <c r="J1517" s="794">
        <v>15.197259972798399</v>
      </c>
      <c r="K1517" s="771"/>
    </row>
    <row r="1518" spans="1:11" ht="18.75" customHeight="1" outlineLevel="2">
      <c r="A1518" s="791" t="s">
        <v>776</v>
      </c>
      <c r="B1518" s="791" t="s">
        <v>1025</v>
      </c>
      <c r="C1518" s="791" t="s">
        <v>1026</v>
      </c>
      <c r="D1518" s="792" t="s">
        <v>779</v>
      </c>
      <c r="E1518" s="793" t="s">
        <v>947</v>
      </c>
      <c r="F1518" s="793" t="s">
        <v>979</v>
      </c>
      <c r="G1518" s="793" t="s">
        <v>785</v>
      </c>
      <c r="H1518" s="793" t="s">
        <v>727</v>
      </c>
      <c r="I1518" s="794">
        <v>4.8408134830354652E-2</v>
      </c>
      <c r="J1518" s="794">
        <v>1591.0006668233298</v>
      </c>
      <c r="K1518" s="771"/>
    </row>
    <row r="1519" spans="1:11" ht="18.75" customHeight="1" outlineLevel="2">
      <c r="A1519" s="791" t="s">
        <v>776</v>
      </c>
      <c r="B1519" s="791" t="s">
        <v>1025</v>
      </c>
      <c r="C1519" s="791" t="s">
        <v>1026</v>
      </c>
      <c r="D1519" s="792" t="s">
        <v>779</v>
      </c>
      <c r="E1519" s="793" t="s">
        <v>947</v>
      </c>
      <c r="F1519" s="793" t="s">
        <v>980</v>
      </c>
      <c r="G1519" s="793" t="s">
        <v>785</v>
      </c>
      <c r="H1519" s="793" t="s">
        <v>727</v>
      </c>
      <c r="I1519" s="794">
        <v>6.917032339338978E-3</v>
      </c>
      <c r="J1519" s="794">
        <v>560.74370595589289</v>
      </c>
      <c r="K1519" s="771"/>
    </row>
    <row r="1520" spans="1:11" ht="18.75" customHeight="1" outlineLevel="2">
      <c r="A1520" s="791" t="s">
        <v>776</v>
      </c>
      <c r="B1520" s="791" t="s">
        <v>1025</v>
      </c>
      <c r="C1520" s="791" t="s">
        <v>1026</v>
      </c>
      <c r="D1520" s="792" t="s">
        <v>779</v>
      </c>
      <c r="E1520" s="793" t="s">
        <v>947</v>
      </c>
      <c r="F1520" s="793" t="s">
        <v>981</v>
      </c>
      <c r="G1520" s="793" t="s">
        <v>813</v>
      </c>
      <c r="H1520" s="793" t="s">
        <v>814</v>
      </c>
      <c r="I1520" s="794">
        <v>8.8701685932348283E-7</v>
      </c>
      <c r="J1520" s="794">
        <v>2.2232087422150087E-2</v>
      </c>
      <c r="K1520" s="771"/>
    </row>
    <row r="1521" spans="1:11" ht="18.75" customHeight="1" outlineLevel="2">
      <c r="A1521" s="791" t="s">
        <v>776</v>
      </c>
      <c r="B1521" s="791" t="s">
        <v>1025</v>
      </c>
      <c r="C1521" s="791" t="s">
        <v>1026</v>
      </c>
      <c r="D1521" s="792" t="s">
        <v>779</v>
      </c>
      <c r="E1521" s="793" t="s">
        <v>947</v>
      </c>
      <c r="F1521" s="793" t="s">
        <v>982</v>
      </c>
      <c r="G1521" s="793" t="s">
        <v>813</v>
      </c>
      <c r="H1521" s="793" t="s">
        <v>814</v>
      </c>
      <c r="I1521" s="794">
        <v>1.0425084699377431E-4</v>
      </c>
      <c r="J1521" s="794">
        <v>5.8397056578446636</v>
      </c>
      <c r="K1521" s="771"/>
    </row>
    <row r="1522" spans="1:11" ht="18.75" customHeight="1" outlineLevel="2">
      <c r="A1522" s="791" t="s">
        <v>776</v>
      </c>
      <c r="B1522" s="791" t="s">
        <v>1025</v>
      </c>
      <c r="C1522" s="791" t="s">
        <v>1026</v>
      </c>
      <c r="D1522" s="792" t="s">
        <v>779</v>
      </c>
      <c r="E1522" s="793" t="s">
        <v>947</v>
      </c>
      <c r="F1522" s="793" t="s">
        <v>983</v>
      </c>
      <c r="G1522" s="793" t="s">
        <v>813</v>
      </c>
      <c r="H1522" s="793" t="s">
        <v>814</v>
      </c>
      <c r="I1522" s="794">
        <v>7.0151010611420161E-3</v>
      </c>
      <c r="J1522" s="794">
        <v>155.84147073194188</v>
      </c>
      <c r="K1522" s="771"/>
    </row>
    <row r="1523" spans="1:11" ht="18.75" customHeight="1" outlineLevel="2">
      <c r="A1523" s="791" t="s">
        <v>776</v>
      </c>
      <c r="B1523" s="791" t="s">
        <v>1025</v>
      </c>
      <c r="C1523" s="791" t="s">
        <v>1026</v>
      </c>
      <c r="D1523" s="792" t="s">
        <v>779</v>
      </c>
      <c r="E1523" s="793" t="s">
        <v>947</v>
      </c>
      <c r="F1523" s="793" t="s">
        <v>984</v>
      </c>
      <c r="G1523" s="793" t="s">
        <v>813</v>
      </c>
      <c r="H1523" s="793" t="s">
        <v>814</v>
      </c>
      <c r="I1523" s="794">
        <v>1.8448466193494552E-3</v>
      </c>
      <c r="J1523" s="794">
        <v>32.170639640771512</v>
      </c>
      <c r="K1523" s="771"/>
    </row>
    <row r="1524" spans="1:11" ht="18.75" customHeight="1" outlineLevel="2">
      <c r="A1524" s="791" t="s">
        <v>776</v>
      </c>
      <c r="B1524" s="791" t="s">
        <v>1025</v>
      </c>
      <c r="C1524" s="791" t="s">
        <v>1026</v>
      </c>
      <c r="D1524" s="792" t="s">
        <v>779</v>
      </c>
      <c r="E1524" s="793" t="s">
        <v>947</v>
      </c>
      <c r="F1524" s="793" t="s">
        <v>985</v>
      </c>
      <c r="G1524" s="793" t="s">
        <v>813</v>
      </c>
      <c r="H1524" s="793" t="s">
        <v>814</v>
      </c>
      <c r="I1524" s="794">
        <v>4.3604948208493897E-3</v>
      </c>
      <c r="J1524" s="794">
        <v>212.44300253361197</v>
      </c>
      <c r="K1524" s="771"/>
    </row>
    <row r="1525" spans="1:11" ht="18.75" customHeight="1" outlineLevel="2">
      <c r="A1525" s="791" t="s">
        <v>776</v>
      </c>
      <c r="B1525" s="791" t="s">
        <v>1025</v>
      </c>
      <c r="C1525" s="791" t="s">
        <v>1026</v>
      </c>
      <c r="D1525" s="792" t="s">
        <v>779</v>
      </c>
      <c r="E1525" s="793" t="s">
        <v>947</v>
      </c>
      <c r="F1525" s="793" t="s">
        <v>986</v>
      </c>
      <c r="G1525" s="793" t="s">
        <v>813</v>
      </c>
      <c r="H1525" s="793" t="s">
        <v>814</v>
      </c>
      <c r="I1525" s="794">
        <v>7.4780636654874237E-4</v>
      </c>
      <c r="J1525" s="794">
        <v>25.031132113902057</v>
      </c>
      <c r="K1525" s="771"/>
    </row>
    <row r="1526" spans="1:11" ht="18.75" customHeight="1" outlineLevel="2">
      <c r="A1526" s="791" t="s">
        <v>776</v>
      </c>
      <c r="B1526" s="791" t="s">
        <v>1025</v>
      </c>
      <c r="C1526" s="791" t="s">
        <v>1026</v>
      </c>
      <c r="D1526" s="792" t="s">
        <v>779</v>
      </c>
      <c r="E1526" s="793" t="s">
        <v>947</v>
      </c>
      <c r="F1526" s="793" t="s">
        <v>987</v>
      </c>
      <c r="G1526" s="793" t="s">
        <v>813</v>
      </c>
      <c r="H1526" s="793" t="s">
        <v>814</v>
      </c>
      <c r="I1526" s="794">
        <v>2.1024472200092305E-5</v>
      </c>
      <c r="J1526" s="794">
        <v>0.63559540496550593</v>
      </c>
      <c r="K1526" s="771"/>
    </row>
    <row r="1527" spans="1:11" ht="18.75" customHeight="1" outlineLevel="2">
      <c r="A1527" s="791" t="s">
        <v>776</v>
      </c>
      <c r="B1527" s="791" t="s">
        <v>1025</v>
      </c>
      <c r="C1527" s="791" t="s">
        <v>1026</v>
      </c>
      <c r="D1527" s="792" t="s">
        <v>779</v>
      </c>
      <c r="E1527" s="793" t="s">
        <v>947</v>
      </c>
      <c r="F1527" s="793" t="s">
        <v>988</v>
      </c>
      <c r="G1527" s="793" t="s">
        <v>791</v>
      </c>
      <c r="H1527" s="793" t="s">
        <v>826</v>
      </c>
      <c r="I1527" s="794">
        <v>7.6391791606210474E-6</v>
      </c>
      <c r="J1527" s="794">
        <v>6.529515892931205E-2</v>
      </c>
      <c r="K1527" s="771"/>
    </row>
    <row r="1528" spans="1:11" ht="18.75" customHeight="1" outlineLevel="2">
      <c r="A1528" s="791" t="s">
        <v>776</v>
      </c>
      <c r="B1528" s="791" t="s">
        <v>1025</v>
      </c>
      <c r="C1528" s="791" t="s">
        <v>1026</v>
      </c>
      <c r="D1528" s="792" t="s">
        <v>779</v>
      </c>
      <c r="E1528" s="793" t="s">
        <v>947</v>
      </c>
      <c r="F1528" s="793" t="s">
        <v>989</v>
      </c>
      <c r="G1528" s="793" t="s">
        <v>791</v>
      </c>
      <c r="H1528" s="793" t="s">
        <v>826</v>
      </c>
      <c r="I1528" s="794">
        <v>4.6209607039716986E-2</v>
      </c>
      <c r="J1528" s="794">
        <v>2711.197214513737</v>
      </c>
      <c r="K1528" s="771"/>
    </row>
    <row r="1529" spans="1:11" ht="18.75" customHeight="1" outlineLevel="2">
      <c r="A1529" s="791" t="s">
        <v>776</v>
      </c>
      <c r="B1529" s="791" t="s">
        <v>1025</v>
      </c>
      <c r="C1529" s="791" t="s">
        <v>1026</v>
      </c>
      <c r="D1529" s="792" t="s">
        <v>779</v>
      </c>
      <c r="E1529" s="793" t="s">
        <v>947</v>
      </c>
      <c r="F1529" s="793" t="s">
        <v>990</v>
      </c>
      <c r="G1529" s="793" t="s">
        <v>791</v>
      </c>
      <c r="H1529" s="793" t="s">
        <v>826</v>
      </c>
      <c r="I1529" s="794">
        <v>2.2055376770951942E-3</v>
      </c>
      <c r="J1529" s="794">
        <v>243.08192948022221</v>
      </c>
      <c r="K1529" s="771"/>
    </row>
    <row r="1530" spans="1:11" ht="18.75" customHeight="1" outlineLevel="2">
      <c r="A1530" s="791" t="s">
        <v>776</v>
      </c>
      <c r="B1530" s="791" t="s">
        <v>1025</v>
      </c>
      <c r="C1530" s="791" t="s">
        <v>1026</v>
      </c>
      <c r="D1530" s="792" t="s">
        <v>779</v>
      </c>
      <c r="E1530" s="793" t="s">
        <v>947</v>
      </c>
      <c r="F1530" s="793" t="s">
        <v>991</v>
      </c>
      <c r="G1530" s="793" t="s">
        <v>791</v>
      </c>
      <c r="H1530" s="793" t="s">
        <v>826</v>
      </c>
      <c r="I1530" s="794">
        <v>1.7518746797858603E-5</v>
      </c>
      <c r="J1530" s="794">
        <v>1.3454758951950723</v>
      </c>
      <c r="K1530" s="771"/>
    </row>
    <row r="1531" spans="1:11" ht="18.75" customHeight="1" outlineLevel="2">
      <c r="A1531" s="791" t="s">
        <v>776</v>
      </c>
      <c r="B1531" s="791" t="s">
        <v>1025</v>
      </c>
      <c r="C1531" s="791" t="s">
        <v>1026</v>
      </c>
      <c r="D1531" s="792" t="s">
        <v>779</v>
      </c>
      <c r="E1531" s="793" t="s">
        <v>947</v>
      </c>
      <c r="F1531" s="793" t="s">
        <v>992</v>
      </c>
      <c r="G1531" s="793" t="s">
        <v>791</v>
      </c>
      <c r="H1531" s="793" t="s">
        <v>826</v>
      </c>
      <c r="I1531" s="794">
        <v>3.4150287094649781E-6</v>
      </c>
      <c r="J1531" s="794">
        <v>0.28264335321210993</v>
      </c>
      <c r="K1531" s="771"/>
    </row>
    <row r="1532" spans="1:11" ht="18.75" customHeight="1" outlineLevel="2">
      <c r="A1532" s="791" t="s">
        <v>776</v>
      </c>
      <c r="B1532" s="791" t="s">
        <v>1025</v>
      </c>
      <c r="C1532" s="791" t="s">
        <v>1026</v>
      </c>
      <c r="D1532" s="792" t="s">
        <v>779</v>
      </c>
      <c r="E1532" s="793" t="s">
        <v>947</v>
      </c>
      <c r="F1532" s="793" t="s">
        <v>993</v>
      </c>
      <c r="G1532" s="793" t="s">
        <v>791</v>
      </c>
      <c r="H1532" s="793" t="s">
        <v>826</v>
      </c>
      <c r="I1532" s="794">
        <v>2.2419621543946989E-4</v>
      </c>
      <c r="J1532" s="794">
        <v>20.614407420116834</v>
      </c>
      <c r="K1532" s="771"/>
    </row>
    <row r="1533" spans="1:11" ht="18.75" customHeight="1" outlineLevel="2">
      <c r="A1533" s="791" t="s">
        <v>776</v>
      </c>
      <c r="B1533" s="791" t="s">
        <v>1025</v>
      </c>
      <c r="C1533" s="791" t="s">
        <v>1026</v>
      </c>
      <c r="D1533" s="792" t="s">
        <v>779</v>
      </c>
      <c r="E1533" s="793" t="s">
        <v>947</v>
      </c>
      <c r="F1533" s="793" t="s">
        <v>994</v>
      </c>
      <c r="G1533" s="793" t="s">
        <v>791</v>
      </c>
      <c r="H1533" s="793" t="s">
        <v>826</v>
      </c>
      <c r="I1533" s="794">
        <v>4.7400829617758306E-7</v>
      </c>
      <c r="J1533" s="794">
        <v>5.7033722117536795E-2</v>
      </c>
      <c r="K1533" s="771"/>
    </row>
    <row r="1534" spans="1:11" ht="18.75" customHeight="1" outlineLevel="2">
      <c r="A1534" s="791" t="s">
        <v>776</v>
      </c>
      <c r="B1534" s="791" t="s">
        <v>1025</v>
      </c>
      <c r="C1534" s="791" t="s">
        <v>1026</v>
      </c>
      <c r="D1534" s="792" t="s">
        <v>779</v>
      </c>
      <c r="E1534" s="793" t="s">
        <v>947</v>
      </c>
      <c r="F1534" s="793" t="s">
        <v>995</v>
      </c>
      <c r="G1534" s="793" t="s">
        <v>791</v>
      </c>
      <c r="H1534" s="793" t="s">
        <v>826</v>
      </c>
      <c r="I1534" s="794">
        <v>2.0179068824774678E-4</v>
      </c>
      <c r="J1534" s="794">
        <v>19.060748323646507</v>
      </c>
      <c r="K1534" s="771"/>
    </row>
    <row r="1535" spans="1:11" ht="18.75" customHeight="1" outlineLevel="2">
      <c r="A1535" s="791" t="s">
        <v>776</v>
      </c>
      <c r="B1535" s="791" t="s">
        <v>1025</v>
      </c>
      <c r="C1535" s="791" t="s">
        <v>1026</v>
      </c>
      <c r="D1535" s="792" t="s">
        <v>779</v>
      </c>
      <c r="E1535" s="793" t="s">
        <v>947</v>
      </c>
      <c r="F1535" s="793" t="s">
        <v>996</v>
      </c>
      <c r="G1535" s="793" t="s">
        <v>791</v>
      </c>
      <c r="H1535" s="793" t="s">
        <v>826</v>
      </c>
      <c r="I1535" s="794">
        <v>5.9663002825283726E-4</v>
      </c>
      <c r="J1535" s="794">
        <v>53.042924514072268</v>
      </c>
      <c r="K1535" s="771"/>
    </row>
    <row r="1536" spans="1:11" ht="18.75" customHeight="1" outlineLevel="2">
      <c r="A1536" s="791" t="s">
        <v>776</v>
      </c>
      <c r="B1536" s="791" t="s">
        <v>1025</v>
      </c>
      <c r="C1536" s="791" t="s">
        <v>1026</v>
      </c>
      <c r="D1536" s="792" t="s">
        <v>779</v>
      </c>
      <c r="E1536" s="793" t="s">
        <v>947</v>
      </c>
      <c r="F1536" s="793" t="s">
        <v>997</v>
      </c>
      <c r="G1536" s="793" t="s">
        <v>791</v>
      </c>
      <c r="H1536" s="793" t="s">
        <v>826</v>
      </c>
      <c r="I1536" s="794">
        <v>9.0486006488249603E-4</v>
      </c>
      <c r="J1536" s="794">
        <v>39.112346475392279</v>
      </c>
      <c r="K1536" s="771"/>
    </row>
    <row r="1537" spans="1:11" ht="18.75" customHeight="1" outlineLevel="2">
      <c r="A1537" s="791" t="s">
        <v>776</v>
      </c>
      <c r="B1537" s="791" t="s">
        <v>1025</v>
      </c>
      <c r="C1537" s="791" t="s">
        <v>1026</v>
      </c>
      <c r="D1537" s="792" t="s">
        <v>779</v>
      </c>
      <c r="E1537" s="793" t="s">
        <v>947</v>
      </c>
      <c r="F1537" s="793" t="s">
        <v>998</v>
      </c>
      <c r="G1537" s="793" t="s">
        <v>794</v>
      </c>
      <c r="H1537" s="793" t="s">
        <v>828</v>
      </c>
      <c r="I1537" s="794">
        <v>1.1504162431970295E-2</v>
      </c>
      <c r="J1537" s="794">
        <v>420.67233952835801</v>
      </c>
      <c r="K1537" s="771"/>
    </row>
    <row r="1538" spans="1:11" ht="18.75" customHeight="1" outlineLevel="2">
      <c r="A1538" s="791" t="s">
        <v>776</v>
      </c>
      <c r="B1538" s="791" t="s">
        <v>1025</v>
      </c>
      <c r="C1538" s="791" t="s">
        <v>1026</v>
      </c>
      <c r="D1538" s="792" t="s">
        <v>779</v>
      </c>
      <c r="E1538" s="793" t="s">
        <v>947</v>
      </c>
      <c r="F1538" s="793" t="s">
        <v>999</v>
      </c>
      <c r="G1538" s="793" t="s">
        <v>794</v>
      </c>
      <c r="H1538" s="793" t="s">
        <v>828</v>
      </c>
      <c r="I1538" s="794">
        <v>2.7130350247033456E-3</v>
      </c>
      <c r="J1538" s="794">
        <v>99.286349052856679</v>
      </c>
      <c r="K1538" s="771"/>
    </row>
    <row r="1539" spans="1:11" ht="18.75" customHeight="1" outlineLevel="2">
      <c r="A1539" s="791" t="s">
        <v>776</v>
      </c>
      <c r="B1539" s="791" t="s">
        <v>1025</v>
      </c>
      <c r="C1539" s="791" t="s">
        <v>1026</v>
      </c>
      <c r="D1539" s="792" t="s">
        <v>779</v>
      </c>
      <c r="E1539" s="793" t="s">
        <v>947</v>
      </c>
      <c r="F1539" s="793" t="s">
        <v>1000</v>
      </c>
      <c r="G1539" s="793" t="s">
        <v>794</v>
      </c>
      <c r="H1539" s="793" t="s">
        <v>828</v>
      </c>
      <c r="I1539" s="794">
        <v>7.6143491698292751E-3</v>
      </c>
      <c r="J1539" s="794">
        <v>275.45781832774071</v>
      </c>
      <c r="K1539" s="771"/>
    </row>
    <row r="1540" spans="1:11" ht="18.75" customHeight="1" outlineLevel="2">
      <c r="A1540" s="791" t="s">
        <v>776</v>
      </c>
      <c r="B1540" s="791" t="s">
        <v>1025</v>
      </c>
      <c r="C1540" s="791" t="s">
        <v>1026</v>
      </c>
      <c r="D1540" s="792" t="s">
        <v>779</v>
      </c>
      <c r="E1540" s="793" t="s">
        <v>947</v>
      </c>
      <c r="F1540" s="793" t="s">
        <v>1001</v>
      </c>
      <c r="G1540" s="793" t="s">
        <v>794</v>
      </c>
      <c r="H1540" s="793" t="s">
        <v>828</v>
      </c>
      <c r="I1540" s="794">
        <v>6.4296834147167742E-3</v>
      </c>
      <c r="J1540" s="794">
        <v>139.85836612676025</v>
      </c>
      <c r="K1540" s="771"/>
    </row>
    <row r="1541" spans="1:11" ht="18.75" customHeight="1" outlineLevel="2">
      <c r="A1541" s="791" t="s">
        <v>776</v>
      </c>
      <c r="B1541" s="791" t="s">
        <v>1025</v>
      </c>
      <c r="C1541" s="791" t="s">
        <v>1026</v>
      </c>
      <c r="D1541" s="792" t="s">
        <v>779</v>
      </c>
      <c r="E1541" s="793" t="s">
        <v>947</v>
      </c>
      <c r="F1541" s="793" t="s">
        <v>1002</v>
      </c>
      <c r="G1541" s="793" t="s">
        <v>794</v>
      </c>
      <c r="H1541" s="793" t="s">
        <v>828</v>
      </c>
      <c r="I1541" s="794">
        <v>3.198406445953864E-4</v>
      </c>
      <c r="J1541" s="794">
        <v>13.450866053709989</v>
      </c>
      <c r="K1541" s="771"/>
    </row>
    <row r="1542" spans="1:11" ht="18.75" customHeight="1" outlineLevel="2">
      <c r="A1542" s="791" t="s">
        <v>776</v>
      </c>
      <c r="B1542" s="791" t="s">
        <v>1025</v>
      </c>
      <c r="C1542" s="791" t="s">
        <v>1026</v>
      </c>
      <c r="D1542" s="792" t="s">
        <v>779</v>
      </c>
      <c r="E1542" s="793" t="s">
        <v>947</v>
      </c>
      <c r="F1542" s="793" t="s">
        <v>1003</v>
      </c>
      <c r="G1542" s="793" t="s">
        <v>794</v>
      </c>
      <c r="H1542" s="793" t="s">
        <v>828</v>
      </c>
      <c r="I1542" s="794">
        <v>3.7001924317701463E-4</v>
      </c>
      <c r="J1542" s="794">
        <v>11.905096005969122</v>
      </c>
      <c r="K1542" s="771"/>
    </row>
    <row r="1543" spans="1:11" ht="18.75" customHeight="1" outlineLevel="2">
      <c r="A1543" s="791" t="s">
        <v>776</v>
      </c>
      <c r="B1543" s="791" t="s">
        <v>1025</v>
      </c>
      <c r="C1543" s="791" t="s">
        <v>1026</v>
      </c>
      <c r="D1543" s="792" t="s">
        <v>779</v>
      </c>
      <c r="E1543" s="793" t="s">
        <v>947</v>
      </c>
      <c r="F1543" s="793" t="s">
        <v>1004</v>
      </c>
      <c r="G1543" s="793" t="s">
        <v>833</v>
      </c>
      <c r="H1543" s="793" t="s">
        <v>834</v>
      </c>
      <c r="I1543" s="794">
        <v>3.3649973342528565E-4</v>
      </c>
      <c r="J1543" s="794">
        <v>22.053473219166673</v>
      </c>
      <c r="K1543" s="771"/>
    </row>
    <row r="1544" spans="1:11" ht="18.75" customHeight="1" outlineLevel="2">
      <c r="A1544" s="791" t="s">
        <v>776</v>
      </c>
      <c r="B1544" s="791" t="s">
        <v>1025</v>
      </c>
      <c r="C1544" s="791" t="s">
        <v>1026</v>
      </c>
      <c r="D1544" s="792" t="s">
        <v>779</v>
      </c>
      <c r="E1544" s="793" t="s">
        <v>947</v>
      </c>
      <c r="F1544" s="793" t="s">
        <v>1007</v>
      </c>
      <c r="G1544" s="793" t="s">
        <v>244</v>
      </c>
      <c r="H1544" s="793" t="s">
        <v>911</v>
      </c>
      <c r="I1544" s="794">
        <v>5.6859590235268445E-3</v>
      </c>
      <c r="J1544" s="794">
        <v>126.76375489341527</v>
      </c>
      <c r="K1544" s="771"/>
    </row>
    <row r="1545" spans="1:11" ht="18.75" customHeight="1" outlineLevel="2">
      <c r="A1545" s="791" t="s">
        <v>776</v>
      </c>
      <c r="B1545" s="791" t="s">
        <v>1027</v>
      </c>
      <c r="C1545" s="791" t="s">
        <v>1022</v>
      </c>
      <c r="D1545" s="792" t="s">
        <v>779</v>
      </c>
      <c r="E1545" s="793" t="s">
        <v>780</v>
      </c>
      <c r="F1545" s="793" t="s">
        <v>781</v>
      </c>
      <c r="G1545" s="793" t="s">
        <v>782</v>
      </c>
      <c r="H1545" s="793" t="s">
        <v>783</v>
      </c>
      <c r="I1545" s="794">
        <v>1.0481215667067894E-2</v>
      </c>
      <c r="J1545" s="794">
        <v>0.15418112711059223</v>
      </c>
      <c r="K1545" s="771"/>
    </row>
    <row r="1546" spans="1:11" ht="18.75" customHeight="1" outlineLevel="2">
      <c r="A1546" s="791" t="s">
        <v>776</v>
      </c>
      <c r="B1546" s="791" t="s">
        <v>1027</v>
      </c>
      <c r="C1546" s="791" t="s">
        <v>1022</v>
      </c>
      <c r="D1546" s="792" t="s">
        <v>779</v>
      </c>
      <c r="E1546" s="793" t="s">
        <v>780</v>
      </c>
      <c r="F1546" s="793" t="s">
        <v>784</v>
      </c>
      <c r="G1546" s="793" t="s">
        <v>785</v>
      </c>
      <c r="H1546" s="793" t="s">
        <v>783</v>
      </c>
      <c r="I1546" s="794">
        <v>0.49009107015074549</v>
      </c>
      <c r="J1546" s="794">
        <v>79.58786224704393</v>
      </c>
      <c r="K1546" s="771"/>
    </row>
    <row r="1547" spans="1:11" ht="18.75" customHeight="1" outlineLevel="2">
      <c r="A1547" s="791" t="s">
        <v>776</v>
      </c>
      <c r="B1547" s="791" t="s">
        <v>1027</v>
      </c>
      <c r="C1547" s="791" t="s">
        <v>1022</v>
      </c>
      <c r="D1547" s="792" t="s">
        <v>779</v>
      </c>
      <c r="E1547" s="793" t="s">
        <v>780</v>
      </c>
      <c r="F1547" s="793" t="s">
        <v>786</v>
      </c>
      <c r="G1547" s="793" t="s">
        <v>785</v>
      </c>
      <c r="H1547" s="793" t="s">
        <v>783</v>
      </c>
      <c r="I1547" s="794">
        <v>3.9800258112913565E-4</v>
      </c>
      <c r="J1547" s="794">
        <v>6.7425022800743348E-2</v>
      </c>
      <c r="K1547" s="771"/>
    </row>
    <row r="1548" spans="1:11" ht="18.75" customHeight="1" outlineLevel="2">
      <c r="A1548" s="791" t="s">
        <v>776</v>
      </c>
      <c r="B1548" s="791" t="s">
        <v>1027</v>
      </c>
      <c r="C1548" s="791" t="s">
        <v>1022</v>
      </c>
      <c r="D1548" s="792" t="s">
        <v>779</v>
      </c>
      <c r="E1548" s="793" t="s">
        <v>780</v>
      </c>
      <c r="F1548" s="793" t="s">
        <v>787</v>
      </c>
      <c r="G1548" s="793" t="s">
        <v>785</v>
      </c>
      <c r="H1548" s="793" t="s">
        <v>783</v>
      </c>
      <c r="I1548" s="794">
        <v>2.0000682279787551E-4</v>
      </c>
      <c r="J1548" s="794">
        <v>3.6742031787692794E-2</v>
      </c>
      <c r="K1548" s="771"/>
    </row>
    <row r="1549" spans="1:11" ht="18.75" customHeight="1" outlineLevel="2">
      <c r="A1549" s="791" t="s">
        <v>776</v>
      </c>
      <c r="B1549" s="791" t="s">
        <v>1027</v>
      </c>
      <c r="C1549" s="791" t="s">
        <v>1022</v>
      </c>
      <c r="D1549" s="792" t="s">
        <v>779</v>
      </c>
      <c r="E1549" s="793" t="s">
        <v>780</v>
      </c>
      <c r="F1549" s="793" t="s">
        <v>788</v>
      </c>
      <c r="G1549" s="793" t="s">
        <v>785</v>
      </c>
      <c r="H1549" s="793" t="s">
        <v>783</v>
      </c>
      <c r="I1549" s="794">
        <v>5.429183531407698E-3</v>
      </c>
      <c r="J1549" s="794">
        <v>0.8648202892547916</v>
      </c>
      <c r="K1549" s="771"/>
    </row>
    <row r="1550" spans="1:11" ht="18.75" customHeight="1" outlineLevel="2">
      <c r="A1550" s="791" t="s">
        <v>776</v>
      </c>
      <c r="B1550" s="791" t="s">
        <v>1027</v>
      </c>
      <c r="C1550" s="791" t="s">
        <v>1022</v>
      </c>
      <c r="D1550" s="792" t="s">
        <v>779</v>
      </c>
      <c r="E1550" s="793" t="s">
        <v>780</v>
      </c>
      <c r="F1550" s="793" t="s">
        <v>789</v>
      </c>
      <c r="G1550" s="793" t="s">
        <v>785</v>
      </c>
      <c r="H1550" s="793" t="s">
        <v>783</v>
      </c>
      <c r="I1550" s="794">
        <v>1.8307102810830741E-3</v>
      </c>
      <c r="J1550" s="794">
        <v>0.4503392019737113</v>
      </c>
      <c r="K1550" s="771"/>
    </row>
    <row r="1551" spans="1:11" ht="18.75" customHeight="1" outlineLevel="2">
      <c r="A1551" s="791" t="s">
        <v>776</v>
      </c>
      <c r="B1551" s="791" t="s">
        <v>1027</v>
      </c>
      <c r="C1551" s="791" t="s">
        <v>1022</v>
      </c>
      <c r="D1551" s="792" t="s">
        <v>779</v>
      </c>
      <c r="E1551" s="793" t="s">
        <v>780</v>
      </c>
      <c r="F1551" s="793" t="s">
        <v>790</v>
      </c>
      <c r="G1551" s="793" t="s">
        <v>791</v>
      </c>
      <c r="H1551" s="793" t="s">
        <v>783</v>
      </c>
      <c r="I1551" s="794">
        <v>2.1577227704869949E-3</v>
      </c>
      <c r="J1551" s="794">
        <v>2.8660842620431472E-2</v>
      </c>
      <c r="K1551" s="771"/>
    </row>
    <row r="1552" spans="1:11" ht="18.75" customHeight="1" outlineLevel="2">
      <c r="A1552" s="791" t="s">
        <v>776</v>
      </c>
      <c r="B1552" s="791" t="s">
        <v>1027</v>
      </c>
      <c r="C1552" s="791" t="s">
        <v>1022</v>
      </c>
      <c r="D1552" s="792" t="s">
        <v>779</v>
      </c>
      <c r="E1552" s="793" t="s">
        <v>780</v>
      </c>
      <c r="F1552" s="793" t="s">
        <v>792</v>
      </c>
      <c r="G1552" s="793" t="s">
        <v>791</v>
      </c>
      <c r="H1552" s="793" t="s">
        <v>783</v>
      </c>
      <c r="I1552" s="794">
        <v>1.6016433478850851E-2</v>
      </c>
      <c r="J1552" s="794">
        <v>3.1105456122483797</v>
      </c>
      <c r="K1552" s="771"/>
    </row>
    <row r="1553" spans="1:11" ht="18.75" customHeight="1" outlineLevel="2">
      <c r="A1553" s="791" t="s">
        <v>776</v>
      </c>
      <c r="B1553" s="791" t="s">
        <v>1027</v>
      </c>
      <c r="C1553" s="791" t="s">
        <v>1022</v>
      </c>
      <c r="D1553" s="792" t="s">
        <v>779</v>
      </c>
      <c r="E1553" s="793" t="s">
        <v>780</v>
      </c>
      <c r="F1553" s="793" t="s">
        <v>793</v>
      </c>
      <c r="G1553" s="793" t="s">
        <v>794</v>
      </c>
      <c r="H1553" s="793" t="s">
        <v>783</v>
      </c>
      <c r="I1553" s="794">
        <v>0.76140881876107547</v>
      </c>
      <c r="J1553" s="794">
        <v>19.760588440884778</v>
      </c>
      <c r="K1553" s="771"/>
    </row>
    <row r="1554" spans="1:11" ht="18.75" customHeight="1" outlineLevel="2">
      <c r="A1554" s="791" t="s">
        <v>776</v>
      </c>
      <c r="B1554" s="791" t="s">
        <v>1027</v>
      </c>
      <c r="C1554" s="791" t="s">
        <v>1022</v>
      </c>
      <c r="D1554" s="792" t="s">
        <v>779</v>
      </c>
      <c r="E1554" s="793" t="s">
        <v>780</v>
      </c>
      <c r="F1554" s="793" t="s">
        <v>795</v>
      </c>
      <c r="G1554" s="793" t="s">
        <v>794</v>
      </c>
      <c r="H1554" s="793" t="s">
        <v>783</v>
      </c>
      <c r="I1554" s="794">
        <v>2.302489864626376E-2</v>
      </c>
      <c r="J1554" s="794">
        <v>0.94340406478293748</v>
      </c>
      <c r="K1554" s="771"/>
    </row>
    <row r="1555" spans="1:11" ht="18.75" customHeight="1" outlineLevel="2">
      <c r="A1555" s="791" t="s">
        <v>776</v>
      </c>
      <c r="B1555" s="791" t="s">
        <v>1027</v>
      </c>
      <c r="C1555" s="791" t="s">
        <v>1022</v>
      </c>
      <c r="D1555" s="792" t="s">
        <v>779</v>
      </c>
      <c r="E1555" s="793" t="s">
        <v>780</v>
      </c>
      <c r="F1555" s="793" t="s">
        <v>796</v>
      </c>
      <c r="G1555" s="793" t="s">
        <v>794</v>
      </c>
      <c r="H1555" s="793" t="s">
        <v>783</v>
      </c>
      <c r="I1555" s="794">
        <v>1.196777878045167E-2</v>
      </c>
      <c r="J1555" s="794">
        <v>1.3791497539998874</v>
      </c>
      <c r="K1555" s="771"/>
    </row>
    <row r="1556" spans="1:11" ht="18.75" customHeight="1" outlineLevel="2">
      <c r="A1556" s="791" t="s">
        <v>776</v>
      </c>
      <c r="B1556" s="791" t="s">
        <v>1027</v>
      </c>
      <c r="C1556" s="791" t="s">
        <v>1022</v>
      </c>
      <c r="D1556" s="792" t="s">
        <v>779</v>
      </c>
      <c r="E1556" s="793" t="s">
        <v>780</v>
      </c>
      <c r="F1556" s="793" t="s">
        <v>797</v>
      </c>
      <c r="G1556" s="793" t="s">
        <v>794</v>
      </c>
      <c r="H1556" s="793" t="s">
        <v>783</v>
      </c>
      <c r="I1556" s="794">
        <v>0.23403643618011361</v>
      </c>
      <c r="J1556" s="794">
        <v>48.975695291623445</v>
      </c>
      <c r="K1556" s="771"/>
    </row>
    <row r="1557" spans="1:11" ht="18.75" customHeight="1" outlineLevel="2">
      <c r="A1557" s="791" t="s">
        <v>776</v>
      </c>
      <c r="B1557" s="791" t="s">
        <v>1027</v>
      </c>
      <c r="C1557" s="791" t="s">
        <v>1022</v>
      </c>
      <c r="D1557" s="792" t="s">
        <v>779</v>
      </c>
      <c r="E1557" s="793" t="s">
        <v>662</v>
      </c>
      <c r="F1557" s="793" t="s">
        <v>798</v>
      </c>
      <c r="G1557" s="793" t="s">
        <v>799</v>
      </c>
      <c r="H1557" s="793" t="s">
        <v>800</v>
      </c>
      <c r="I1557" s="794">
        <v>0.62709222247279695</v>
      </c>
      <c r="J1557" s="794">
        <v>180.18387379956295</v>
      </c>
      <c r="K1557" s="771"/>
    </row>
    <row r="1558" spans="1:11" ht="18.75" customHeight="1" outlineLevel="2">
      <c r="A1558" s="791" t="s">
        <v>776</v>
      </c>
      <c r="B1558" s="791" t="s">
        <v>1027</v>
      </c>
      <c r="C1558" s="791" t="s">
        <v>1022</v>
      </c>
      <c r="D1558" s="792" t="s">
        <v>779</v>
      </c>
      <c r="E1558" s="793" t="s">
        <v>662</v>
      </c>
      <c r="F1558" s="793" t="s">
        <v>801</v>
      </c>
      <c r="G1558" s="793" t="s">
        <v>799</v>
      </c>
      <c r="H1558" s="793" t="s">
        <v>800</v>
      </c>
      <c r="I1558" s="794">
        <v>0.19155200138827844</v>
      </c>
      <c r="J1558" s="794">
        <v>77.381798849913608</v>
      </c>
      <c r="K1558" s="771"/>
    </row>
    <row r="1559" spans="1:11" ht="18.75" customHeight="1" outlineLevel="2">
      <c r="A1559" s="791" t="s">
        <v>776</v>
      </c>
      <c r="B1559" s="791" t="s">
        <v>1027</v>
      </c>
      <c r="C1559" s="791" t="s">
        <v>1022</v>
      </c>
      <c r="D1559" s="792" t="s">
        <v>779</v>
      </c>
      <c r="E1559" s="793" t="s">
        <v>662</v>
      </c>
      <c r="F1559" s="793" t="s">
        <v>802</v>
      </c>
      <c r="G1559" s="793" t="s">
        <v>799</v>
      </c>
      <c r="H1559" s="793" t="s">
        <v>800</v>
      </c>
      <c r="I1559" s="794">
        <v>8.718567949183896E-2</v>
      </c>
      <c r="J1559" s="794">
        <v>112.12724707176625</v>
      </c>
      <c r="K1559" s="771"/>
    </row>
    <row r="1560" spans="1:11" ht="18.75" customHeight="1" outlineLevel="2">
      <c r="A1560" s="791" t="s">
        <v>776</v>
      </c>
      <c r="B1560" s="791" t="s">
        <v>1027</v>
      </c>
      <c r="C1560" s="791" t="s">
        <v>1022</v>
      </c>
      <c r="D1560" s="792" t="s">
        <v>779</v>
      </c>
      <c r="E1560" s="793" t="s">
        <v>662</v>
      </c>
      <c r="F1560" s="793" t="s">
        <v>803</v>
      </c>
      <c r="G1560" s="793" t="s">
        <v>782</v>
      </c>
      <c r="H1560" s="793" t="s">
        <v>804</v>
      </c>
      <c r="I1560" s="794">
        <v>3.239801742610645E-2</v>
      </c>
      <c r="J1560" s="794">
        <v>20.102314593991647</v>
      </c>
      <c r="K1560" s="771"/>
    </row>
    <row r="1561" spans="1:11" ht="18.75" customHeight="1" outlineLevel="2">
      <c r="A1561" s="791" t="s">
        <v>776</v>
      </c>
      <c r="B1561" s="791" t="s">
        <v>1027</v>
      </c>
      <c r="C1561" s="791" t="s">
        <v>1022</v>
      </c>
      <c r="D1561" s="792" t="s">
        <v>779</v>
      </c>
      <c r="E1561" s="793" t="s">
        <v>662</v>
      </c>
      <c r="F1561" s="793" t="s">
        <v>805</v>
      </c>
      <c r="G1561" s="793" t="s">
        <v>782</v>
      </c>
      <c r="H1561" s="793" t="s">
        <v>804</v>
      </c>
      <c r="I1561" s="794">
        <v>2.6886921297038929E-3</v>
      </c>
      <c r="J1561" s="794">
        <v>1.3021506794599942</v>
      </c>
      <c r="K1561" s="771"/>
    </row>
    <row r="1562" spans="1:11" ht="18.75" customHeight="1" outlineLevel="2">
      <c r="A1562" s="791" t="s">
        <v>776</v>
      </c>
      <c r="B1562" s="791" t="s">
        <v>1027</v>
      </c>
      <c r="C1562" s="791" t="s">
        <v>1022</v>
      </c>
      <c r="D1562" s="792" t="s">
        <v>779</v>
      </c>
      <c r="E1562" s="793" t="s">
        <v>662</v>
      </c>
      <c r="F1562" s="793" t="s">
        <v>806</v>
      </c>
      <c r="G1562" s="793" t="s">
        <v>782</v>
      </c>
      <c r="H1562" s="793" t="s">
        <v>804</v>
      </c>
      <c r="I1562" s="794">
        <v>3.2583423163973098E-3</v>
      </c>
      <c r="J1562" s="794">
        <v>1.5564393873566134</v>
      </c>
      <c r="K1562" s="771"/>
    </row>
    <row r="1563" spans="1:11" ht="18.75" customHeight="1" outlineLevel="2">
      <c r="A1563" s="791" t="s">
        <v>776</v>
      </c>
      <c r="B1563" s="791" t="s">
        <v>1027</v>
      </c>
      <c r="C1563" s="791" t="s">
        <v>1022</v>
      </c>
      <c r="D1563" s="792" t="s">
        <v>779</v>
      </c>
      <c r="E1563" s="793" t="s">
        <v>662</v>
      </c>
      <c r="F1563" s="793" t="s">
        <v>807</v>
      </c>
      <c r="G1563" s="793" t="s">
        <v>782</v>
      </c>
      <c r="H1563" s="793" t="s">
        <v>804</v>
      </c>
      <c r="I1563" s="794">
        <v>2.40968426457507E-5</v>
      </c>
      <c r="J1563" s="794">
        <v>1.078445038711667E-2</v>
      </c>
      <c r="K1563" s="771"/>
    </row>
    <row r="1564" spans="1:11" ht="18.75" customHeight="1" outlineLevel="2">
      <c r="A1564" s="791" t="s">
        <v>776</v>
      </c>
      <c r="B1564" s="791" t="s">
        <v>1027</v>
      </c>
      <c r="C1564" s="791" t="s">
        <v>1022</v>
      </c>
      <c r="D1564" s="792" t="s">
        <v>779</v>
      </c>
      <c r="E1564" s="793" t="s">
        <v>662</v>
      </c>
      <c r="F1564" s="793" t="s">
        <v>808</v>
      </c>
      <c r="G1564" s="793" t="s">
        <v>782</v>
      </c>
      <c r="H1564" s="793" t="s">
        <v>804</v>
      </c>
      <c r="I1564" s="794">
        <v>9.2881612137210634E-2</v>
      </c>
      <c r="J1564" s="794">
        <v>51.863580332886038</v>
      </c>
      <c r="K1564" s="771"/>
    </row>
    <row r="1565" spans="1:11" ht="18.75" customHeight="1" outlineLevel="2">
      <c r="A1565" s="791" t="s">
        <v>776</v>
      </c>
      <c r="B1565" s="791" t="s">
        <v>1027</v>
      </c>
      <c r="C1565" s="791" t="s">
        <v>1022</v>
      </c>
      <c r="D1565" s="792" t="s">
        <v>779</v>
      </c>
      <c r="E1565" s="793" t="s">
        <v>662</v>
      </c>
      <c r="F1565" s="793" t="s">
        <v>809</v>
      </c>
      <c r="G1565" s="793" t="s">
        <v>782</v>
      </c>
      <c r="H1565" s="793" t="s">
        <v>804</v>
      </c>
      <c r="I1565" s="794">
        <v>6.7912134635756533E-4</v>
      </c>
      <c r="J1565" s="794">
        <v>0.30393788680962458</v>
      </c>
      <c r="K1565" s="771"/>
    </row>
    <row r="1566" spans="1:11" ht="18.75" customHeight="1" outlineLevel="2">
      <c r="A1566" s="791" t="s">
        <v>776</v>
      </c>
      <c r="B1566" s="791" t="s">
        <v>1027</v>
      </c>
      <c r="C1566" s="791" t="s">
        <v>1022</v>
      </c>
      <c r="D1566" s="792" t="s">
        <v>779</v>
      </c>
      <c r="E1566" s="793" t="s">
        <v>662</v>
      </c>
      <c r="F1566" s="793" t="s">
        <v>810</v>
      </c>
      <c r="G1566" s="793" t="s">
        <v>785</v>
      </c>
      <c r="H1566" s="793" t="s">
        <v>727</v>
      </c>
      <c r="I1566" s="794">
        <v>4.8538662660672617E-4</v>
      </c>
      <c r="J1566" s="794">
        <v>0.21723278284634817</v>
      </c>
      <c r="K1566" s="771"/>
    </row>
    <row r="1567" spans="1:11" ht="18.75" customHeight="1" outlineLevel="2">
      <c r="A1567" s="791" t="s">
        <v>776</v>
      </c>
      <c r="B1567" s="791" t="s">
        <v>1027</v>
      </c>
      <c r="C1567" s="791" t="s">
        <v>1022</v>
      </c>
      <c r="D1567" s="792" t="s">
        <v>779</v>
      </c>
      <c r="E1567" s="793" t="s">
        <v>662</v>
      </c>
      <c r="F1567" s="793" t="s">
        <v>811</v>
      </c>
      <c r="G1567" s="793" t="s">
        <v>785</v>
      </c>
      <c r="H1567" s="793" t="s">
        <v>727</v>
      </c>
      <c r="I1567" s="794">
        <v>3.7142394953212304E-5</v>
      </c>
      <c r="J1567" s="794">
        <v>1.6622954613845255E-2</v>
      </c>
      <c r="K1567" s="771"/>
    </row>
    <row r="1568" spans="1:11" ht="18.75" customHeight="1" outlineLevel="2">
      <c r="A1568" s="791" t="s">
        <v>776</v>
      </c>
      <c r="B1568" s="791" t="s">
        <v>1027</v>
      </c>
      <c r="C1568" s="791" t="s">
        <v>1022</v>
      </c>
      <c r="D1568" s="792" t="s">
        <v>779</v>
      </c>
      <c r="E1568" s="793" t="s">
        <v>662</v>
      </c>
      <c r="F1568" s="793" t="s">
        <v>812</v>
      </c>
      <c r="G1568" s="793" t="s">
        <v>813</v>
      </c>
      <c r="H1568" s="793" t="s">
        <v>814</v>
      </c>
      <c r="I1568" s="794">
        <v>7.3959934097273172E-3</v>
      </c>
      <c r="J1568" s="794">
        <v>4.0505344705971833</v>
      </c>
      <c r="K1568" s="771"/>
    </row>
    <row r="1569" spans="1:11" ht="18.75" customHeight="1" outlineLevel="2">
      <c r="A1569" s="791" t="s">
        <v>776</v>
      </c>
      <c r="B1569" s="791" t="s">
        <v>1027</v>
      </c>
      <c r="C1569" s="791" t="s">
        <v>1022</v>
      </c>
      <c r="D1569" s="792" t="s">
        <v>779</v>
      </c>
      <c r="E1569" s="793" t="s">
        <v>662</v>
      </c>
      <c r="F1569" s="793" t="s">
        <v>815</v>
      </c>
      <c r="G1569" s="793" t="s">
        <v>813</v>
      </c>
      <c r="H1569" s="793" t="s">
        <v>814</v>
      </c>
      <c r="I1569" s="794">
        <v>3.1674438455895501E-2</v>
      </c>
      <c r="J1569" s="794">
        <v>17.023274590821245</v>
      </c>
      <c r="K1569" s="771"/>
    </row>
    <row r="1570" spans="1:11" ht="18.75" customHeight="1" outlineLevel="2">
      <c r="A1570" s="791" t="s">
        <v>776</v>
      </c>
      <c r="B1570" s="791" t="s">
        <v>1027</v>
      </c>
      <c r="C1570" s="791" t="s">
        <v>1022</v>
      </c>
      <c r="D1570" s="792" t="s">
        <v>779</v>
      </c>
      <c r="E1570" s="793" t="s">
        <v>662</v>
      </c>
      <c r="F1570" s="793" t="s">
        <v>816</v>
      </c>
      <c r="G1570" s="793" t="s">
        <v>813</v>
      </c>
      <c r="H1570" s="793" t="s">
        <v>814</v>
      </c>
      <c r="I1570" s="794">
        <v>0.10409500871882832</v>
      </c>
      <c r="J1570" s="794">
        <v>54.082260704216992</v>
      </c>
      <c r="K1570" s="771"/>
    </row>
    <row r="1571" spans="1:11" ht="18.75" customHeight="1" outlineLevel="2">
      <c r="A1571" s="791" t="s">
        <v>776</v>
      </c>
      <c r="B1571" s="791" t="s">
        <v>1027</v>
      </c>
      <c r="C1571" s="791" t="s">
        <v>1022</v>
      </c>
      <c r="D1571" s="792" t="s">
        <v>779</v>
      </c>
      <c r="E1571" s="793" t="s">
        <v>662</v>
      </c>
      <c r="F1571" s="793" t="s">
        <v>817</v>
      </c>
      <c r="G1571" s="793" t="s">
        <v>813</v>
      </c>
      <c r="H1571" s="793" t="s">
        <v>814</v>
      </c>
      <c r="I1571" s="794">
        <v>0.29949968478191802</v>
      </c>
      <c r="J1571" s="794">
        <v>163.94726807387212</v>
      </c>
      <c r="K1571" s="771"/>
    </row>
    <row r="1572" spans="1:11" ht="18.75" customHeight="1" outlineLevel="2">
      <c r="A1572" s="791" t="s">
        <v>776</v>
      </c>
      <c r="B1572" s="791" t="s">
        <v>1027</v>
      </c>
      <c r="C1572" s="791" t="s">
        <v>1022</v>
      </c>
      <c r="D1572" s="792" t="s">
        <v>779</v>
      </c>
      <c r="E1572" s="793" t="s">
        <v>662</v>
      </c>
      <c r="F1572" s="793" t="s">
        <v>818</v>
      </c>
      <c r="G1572" s="793" t="s">
        <v>813</v>
      </c>
      <c r="H1572" s="793" t="s">
        <v>814</v>
      </c>
      <c r="I1572" s="794">
        <v>0.12787482902545058</v>
      </c>
      <c r="J1572" s="794">
        <v>75.108547618482802</v>
      </c>
      <c r="K1572" s="771"/>
    </row>
    <row r="1573" spans="1:11" ht="18.75" customHeight="1" outlineLevel="2">
      <c r="A1573" s="791" t="s">
        <v>776</v>
      </c>
      <c r="B1573" s="791" t="s">
        <v>1027</v>
      </c>
      <c r="C1573" s="791" t="s">
        <v>1022</v>
      </c>
      <c r="D1573" s="792" t="s">
        <v>779</v>
      </c>
      <c r="E1573" s="793" t="s">
        <v>662</v>
      </c>
      <c r="F1573" s="793" t="s">
        <v>819</v>
      </c>
      <c r="G1573" s="793" t="s">
        <v>813</v>
      </c>
      <c r="H1573" s="793" t="s">
        <v>814</v>
      </c>
      <c r="I1573" s="794">
        <v>0.28339736799345749</v>
      </c>
      <c r="J1573" s="794">
        <v>143.26806980888398</v>
      </c>
      <c r="K1573" s="771"/>
    </row>
    <row r="1574" spans="1:11" ht="18.75" customHeight="1" outlineLevel="2">
      <c r="A1574" s="791" t="s">
        <v>776</v>
      </c>
      <c r="B1574" s="791" t="s">
        <v>1027</v>
      </c>
      <c r="C1574" s="791" t="s">
        <v>1022</v>
      </c>
      <c r="D1574" s="792" t="s">
        <v>779</v>
      </c>
      <c r="E1574" s="793" t="s">
        <v>662</v>
      </c>
      <c r="F1574" s="793" t="s">
        <v>820</v>
      </c>
      <c r="G1574" s="793" t="s">
        <v>813</v>
      </c>
      <c r="H1574" s="793" t="s">
        <v>814</v>
      </c>
      <c r="I1574" s="794">
        <v>9.0132052084686595E-2</v>
      </c>
      <c r="J1574" s="794">
        <v>48.339684496248211</v>
      </c>
      <c r="K1574" s="771"/>
    </row>
    <row r="1575" spans="1:11" ht="18.75" customHeight="1" outlineLevel="2">
      <c r="A1575" s="791" t="s">
        <v>776</v>
      </c>
      <c r="B1575" s="791" t="s">
        <v>1027</v>
      </c>
      <c r="C1575" s="791" t="s">
        <v>1022</v>
      </c>
      <c r="D1575" s="792" t="s">
        <v>779</v>
      </c>
      <c r="E1575" s="793" t="s">
        <v>662</v>
      </c>
      <c r="F1575" s="793" t="s">
        <v>821</v>
      </c>
      <c r="G1575" s="793" t="s">
        <v>813</v>
      </c>
      <c r="H1575" s="793" t="s">
        <v>814</v>
      </c>
      <c r="I1575" s="794">
        <v>0.25012463574617988</v>
      </c>
      <c r="J1575" s="794">
        <v>133.77800434566211</v>
      </c>
      <c r="K1575" s="771"/>
    </row>
    <row r="1576" spans="1:11" ht="18.75" customHeight="1" outlineLevel="2">
      <c r="A1576" s="791" t="s">
        <v>776</v>
      </c>
      <c r="B1576" s="791" t="s">
        <v>1027</v>
      </c>
      <c r="C1576" s="791" t="s">
        <v>1022</v>
      </c>
      <c r="D1576" s="792" t="s">
        <v>779</v>
      </c>
      <c r="E1576" s="793" t="s">
        <v>662</v>
      </c>
      <c r="F1576" s="793" t="s">
        <v>822</v>
      </c>
      <c r="G1576" s="793" t="s">
        <v>813</v>
      </c>
      <c r="H1576" s="793" t="s">
        <v>814</v>
      </c>
      <c r="I1576" s="794">
        <v>0.16335492804769289</v>
      </c>
      <c r="J1576" s="794">
        <v>23.917305683570167</v>
      </c>
      <c r="K1576" s="771"/>
    </row>
    <row r="1577" spans="1:11" ht="18.75" customHeight="1" outlineLevel="2">
      <c r="A1577" s="791" t="s">
        <v>776</v>
      </c>
      <c r="B1577" s="791" t="s">
        <v>1027</v>
      </c>
      <c r="C1577" s="791" t="s">
        <v>1022</v>
      </c>
      <c r="D1577" s="792" t="s">
        <v>779</v>
      </c>
      <c r="E1577" s="793" t="s">
        <v>662</v>
      </c>
      <c r="F1577" s="793" t="s">
        <v>823</v>
      </c>
      <c r="G1577" s="793" t="s">
        <v>813</v>
      </c>
      <c r="H1577" s="793" t="s">
        <v>814</v>
      </c>
      <c r="I1577" s="794">
        <v>0.33269748912915115</v>
      </c>
      <c r="J1577" s="794">
        <v>48.70991927941806</v>
      </c>
      <c r="K1577" s="771"/>
    </row>
    <row r="1578" spans="1:11" ht="18.75" customHeight="1" outlineLevel="2">
      <c r="A1578" s="791" t="s">
        <v>776</v>
      </c>
      <c r="B1578" s="791" t="s">
        <v>1027</v>
      </c>
      <c r="C1578" s="791" t="s">
        <v>1022</v>
      </c>
      <c r="D1578" s="792" t="s">
        <v>779</v>
      </c>
      <c r="E1578" s="793" t="s">
        <v>662</v>
      </c>
      <c r="F1578" s="793" t="s">
        <v>824</v>
      </c>
      <c r="G1578" s="793" t="s">
        <v>813</v>
      </c>
      <c r="H1578" s="793" t="s">
        <v>814</v>
      </c>
      <c r="I1578" s="794">
        <v>1.4306160555737027E-4</v>
      </c>
      <c r="J1578" s="794">
        <v>7.1384985607610182E-2</v>
      </c>
      <c r="K1578" s="771"/>
    </row>
    <row r="1579" spans="1:11" ht="18.75" customHeight="1" outlineLevel="2">
      <c r="A1579" s="791" t="s">
        <v>776</v>
      </c>
      <c r="B1579" s="791" t="s">
        <v>1027</v>
      </c>
      <c r="C1579" s="791" t="s">
        <v>1022</v>
      </c>
      <c r="D1579" s="792" t="s">
        <v>779</v>
      </c>
      <c r="E1579" s="793" t="s">
        <v>662</v>
      </c>
      <c r="F1579" s="793" t="s">
        <v>825</v>
      </c>
      <c r="G1579" s="793" t="s">
        <v>791</v>
      </c>
      <c r="H1579" s="793" t="s">
        <v>826</v>
      </c>
      <c r="I1579" s="794">
        <v>2.6796038250692395E-4</v>
      </c>
      <c r="J1579" s="794">
        <v>0.16295278086125739</v>
      </c>
      <c r="K1579" s="771"/>
    </row>
    <row r="1580" spans="1:11" ht="18.75" customHeight="1" outlineLevel="2">
      <c r="A1580" s="791" t="s">
        <v>776</v>
      </c>
      <c r="B1580" s="791" t="s">
        <v>1027</v>
      </c>
      <c r="C1580" s="791" t="s">
        <v>1022</v>
      </c>
      <c r="D1580" s="792" t="s">
        <v>779</v>
      </c>
      <c r="E1580" s="793" t="s">
        <v>662</v>
      </c>
      <c r="F1580" s="793" t="s">
        <v>827</v>
      </c>
      <c r="G1580" s="793" t="s">
        <v>794</v>
      </c>
      <c r="H1580" s="793" t="s">
        <v>828</v>
      </c>
      <c r="I1580" s="794">
        <v>6.7100990087669097E-3</v>
      </c>
      <c r="J1580" s="794">
        <v>3.3222352465732863</v>
      </c>
      <c r="K1580" s="771"/>
    </row>
    <row r="1581" spans="1:11" ht="18.75" customHeight="1" outlineLevel="2">
      <c r="A1581" s="791" t="s">
        <v>776</v>
      </c>
      <c r="B1581" s="791" t="s">
        <v>1027</v>
      </c>
      <c r="C1581" s="791" t="s">
        <v>1022</v>
      </c>
      <c r="D1581" s="792" t="s">
        <v>779</v>
      </c>
      <c r="E1581" s="793" t="s">
        <v>662</v>
      </c>
      <c r="F1581" s="793" t="s">
        <v>829</v>
      </c>
      <c r="G1581" s="793" t="s">
        <v>794</v>
      </c>
      <c r="H1581" s="793" t="s">
        <v>828</v>
      </c>
      <c r="I1581" s="794">
        <v>4.2821129910911471E-2</v>
      </c>
      <c r="J1581" s="794">
        <v>22.163053921155441</v>
      </c>
      <c r="K1581" s="771"/>
    </row>
    <row r="1582" spans="1:11" ht="18.75" customHeight="1" outlineLevel="2">
      <c r="A1582" s="791" t="s">
        <v>776</v>
      </c>
      <c r="B1582" s="791" t="s">
        <v>1027</v>
      </c>
      <c r="C1582" s="791" t="s">
        <v>1022</v>
      </c>
      <c r="D1582" s="792" t="s">
        <v>779</v>
      </c>
      <c r="E1582" s="793" t="s">
        <v>662</v>
      </c>
      <c r="F1582" s="793" t="s">
        <v>830</v>
      </c>
      <c r="G1582" s="793" t="s">
        <v>794</v>
      </c>
      <c r="H1582" s="793" t="s">
        <v>828</v>
      </c>
      <c r="I1582" s="794">
        <v>1.7175515223873077E-5</v>
      </c>
      <c r="J1582" s="794">
        <v>7.6868354199952299E-3</v>
      </c>
      <c r="K1582" s="771"/>
    </row>
    <row r="1583" spans="1:11" ht="18.75" customHeight="1" outlineLevel="2">
      <c r="A1583" s="791" t="s">
        <v>776</v>
      </c>
      <c r="B1583" s="791" t="s">
        <v>1027</v>
      </c>
      <c r="C1583" s="791" t="s">
        <v>1022</v>
      </c>
      <c r="D1583" s="792" t="s">
        <v>779</v>
      </c>
      <c r="E1583" s="793" t="s">
        <v>662</v>
      </c>
      <c r="F1583" s="793" t="s">
        <v>831</v>
      </c>
      <c r="G1583" s="793" t="s">
        <v>794</v>
      </c>
      <c r="H1583" s="793" t="s">
        <v>828</v>
      </c>
      <c r="I1583" s="794">
        <v>2.9959498923203069E-4</v>
      </c>
      <c r="J1583" s="794">
        <v>0.13408274074502741</v>
      </c>
      <c r="K1583" s="771"/>
    </row>
    <row r="1584" spans="1:11" ht="18.75" customHeight="1" outlineLevel="2">
      <c r="A1584" s="791" t="s">
        <v>776</v>
      </c>
      <c r="B1584" s="791" t="s">
        <v>1027</v>
      </c>
      <c r="C1584" s="791" t="s">
        <v>1022</v>
      </c>
      <c r="D1584" s="792" t="s">
        <v>779</v>
      </c>
      <c r="E1584" s="793" t="s">
        <v>662</v>
      </c>
      <c r="F1584" s="793" t="s">
        <v>832</v>
      </c>
      <c r="G1584" s="793" t="s">
        <v>833</v>
      </c>
      <c r="H1584" s="793" t="s">
        <v>834</v>
      </c>
      <c r="I1584" s="794">
        <v>2.7320240580946221E-2</v>
      </c>
      <c r="J1584" s="794">
        <v>15.772750511573383</v>
      </c>
      <c r="K1584" s="771"/>
    </row>
    <row r="1585" spans="1:11" ht="18.75" customHeight="1" outlineLevel="2">
      <c r="A1585" s="791" t="s">
        <v>776</v>
      </c>
      <c r="B1585" s="791" t="s">
        <v>1027</v>
      </c>
      <c r="C1585" s="791" t="s">
        <v>1022</v>
      </c>
      <c r="D1585" s="792" t="s">
        <v>779</v>
      </c>
      <c r="E1585" s="793" t="s">
        <v>662</v>
      </c>
      <c r="F1585" s="793" t="s">
        <v>835</v>
      </c>
      <c r="G1585" s="793" t="s">
        <v>799</v>
      </c>
      <c r="H1585" s="793" t="s">
        <v>800</v>
      </c>
      <c r="I1585" s="794">
        <v>0.11862184664288902</v>
      </c>
      <c r="J1585" s="794">
        <v>84.034096854422884</v>
      </c>
      <c r="K1585" s="771"/>
    </row>
    <row r="1586" spans="1:11" ht="18.75" customHeight="1" outlineLevel="2">
      <c r="A1586" s="791" t="s">
        <v>776</v>
      </c>
      <c r="B1586" s="791" t="s">
        <v>1027</v>
      </c>
      <c r="C1586" s="791" t="s">
        <v>1022</v>
      </c>
      <c r="D1586" s="792" t="s">
        <v>779</v>
      </c>
      <c r="E1586" s="793" t="s">
        <v>662</v>
      </c>
      <c r="F1586" s="793" t="s">
        <v>836</v>
      </c>
      <c r="G1586" s="793" t="s">
        <v>799</v>
      </c>
      <c r="H1586" s="793" t="s">
        <v>800</v>
      </c>
      <c r="I1586" s="794">
        <v>0.87414473952234784</v>
      </c>
      <c r="J1586" s="794">
        <v>798.8940866960279</v>
      </c>
      <c r="K1586" s="771"/>
    </row>
    <row r="1587" spans="1:11" ht="18.75" customHeight="1" outlineLevel="2">
      <c r="A1587" s="791" t="s">
        <v>776</v>
      </c>
      <c r="B1587" s="791" t="s">
        <v>1027</v>
      </c>
      <c r="C1587" s="791" t="s">
        <v>1022</v>
      </c>
      <c r="D1587" s="792" t="s">
        <v>779</v>
      </c>
      <c r="E1587" s="793" t="s">
        <v>662</v>
      </c>
      <c r="F1587" s="793" t="s">
        <v>837</v>
      </c>
      <c r="G1587" s="793" t="s">
        <v>799</v>
      </c>
      <c r="H1587" s="793" t="s">
        <v>800</v>
      </c>
      <c r="I1587" s="794">
        <v>0.20526319413574293</v>
      </c>
      <c r="J1587" s="794">
        <v>273.27807088923885</v>
      </c>
      <c r="K1587" s="771"/>
    </row>
    <row r="1588" spans="1:11" ht="18.75" customHeight="1" outlineLevel="2">
      <c r="A1588" s="791" t="s">
        <v>776</v>
      </c>
      <c r="B1588" s="791" t="s">
        <v>1027</v>
      </c>
      <c r="C1588" s="791" t="s">
        <v>1022</v>
      </c>
      <c r="D1588" s="792" t="s">
        <v>779</v>
      </c>
      <c r="E1588" s="793" t="s">
        <v>662</v>
      </c>
      <c r="F1588" s="793" t="s">
        <v>838</v>
      </c>
      <c r="G1588" s="793" t="s">
        <v>799</v>
      </c>
      <c r="H1588" s="793" t="s">
        <v>800</v>
      </c>
      <c r="I1588" s="794">
        <v>0.11747019134205901</v>
      </c>
      <c r="J1588" s="794">
        <v>107.15204737313533</v>
      </c>
      <c r="K1588" s="771"/>
    </row>
    <row r="1589" spans="1:11" ht="18.75" customHeight="1" outlineLevel="2">
      <c r="A1589" s="791" t="s">
        <v>776</v>
      </c>
      <c r="B1589" s="791" t="s">
        <v>1027</v>
      </c>
      <c r="C1589" s="791" t="s">
        <v>1022</v>
      </c>
      <c r="D1589" s="792" t="s">
        <v>779</v>
      </c>
      <c r="E1589" s="793" t="s">
        <v>662</v>
      </c>
      <c r="F1589" s="793" t="s">
        <v>839</v>
      </c>
      <c r="G1589" s="793" t="s">
        <v>782</v>
      </c>
      <c r="H1589" s="793" t="s">
        <v>804</v>
      </c>
      <c r="I1589" s="794">
        <v>1.0911507112806126E-2</v>
      </c>
      <c r="J1589" s="794">
        <v>17.819793257615149</v>
      </c>
      <c r="K1589" s="771"/>
    </row>
    <row r="1590" spans="1:11" ht="18.75" customHeight="1" outlineLevel="2">
      <c r="A1590" s="791" t="s">
        <v>776</v>
      </c>
      <c r="B1590" s="791" t="s">
        <v>1027</v>
      </c>
      <c r="C1590" s="791" t="s">
        <v>1022</v>
      </c>
      <c r="D1590" s="792" t="s">
        <v>779</v>
      </c>
      <c r="E1590" s="793" t="s">
        <v>662</v>
      </c>
      <c r="F1590" s="793" t="s">
        <v>840</v>
      </c>
      <c r="G1590" s="793" t="s">
        <v>782</v>
      </c>
      <c r="H1590" s="793" t="s">
        <v>804</v>
      </c>
      <c r="I1590" s="794">
        <v>8.7189151854369175E-5</v>
      </c>
      <c r="J1590" s="794">
        <v>0.13300922072370167</v>
      </c>
      <c r="K1590" s="771"/>
    </row>
    <row r="1591" spans="1:11" ht="18.75" customHeight="1" outlineLevel="2">
      <c r="A1591" s="791" t="s">
        <v>776</v>
      </c>
      <c r="B1591" s="791" t="s">
        <v>1027</v>
      </c>
      <c r="C1591" s="791" t="s">
        <v>1022</v>
      </c>
      <c r="D1591" s="792" t="s">
        <v>779</v>
      </c>
      <c r="E1591" s="793" t="s">
        <v>662</v>
      </c>
      <c r="F1591" s="793" t="s">
        <v>841</v>
      </c>
      <c r="G1591" s="793" t="s">
        <v>782</v>
      </c>
      <c r="H1591" s="793" t="s">
        <v>804</v>
      </c>
      <c r="I1591" s="794">
        <v>2.3574604452539467E-2</v>
      </c>
      <c r="J1591" s="794">
        <v>33.47663690059666</v>
      </c>
      <c r="K1591" s="771"/>
    </row>
    <row r="1592" spans="1:11" ht="18.75" customHeight="1" outlineLevel="2">
      <c r="A1592" s="791" t="s">
        <v>776</v>
      </c>
      <c r="B1592" s="791" t="s">
        <v>1027</v>
      </c>
      <c r="C1592" s="791" t="s">
        <v>1022</v>
      </c>
      <c r="D1592" s="792" t="s">
        <v>779</v>
      </c>
      <c r="E1592" s="793" t="s">
        <v>662</v>
      </c>
      <c r="F1592" s="793" t="s">
        <v>842</v>
      </c>
      <c r="G1592" s="793" t="s">
        <v>782</v>
      </c>
      <c r="H1592" s="793" t="s">
        <v>804</v>
      </c>
      <c r="I1592" s="794">
        <v>1.9237730422207885E-2</v>
      </c>
      <c r="J1592" s="794">
        <v>31.517696889082355</v>
      </c>
      <c r="K1592" s="771"/>
    </row>
    <row r="1593" spans="1:11" ht="18.75" customHeight="1" outlineLevel="2">
      <c r="A1593" s="791" t="s">
        <v>776</v>
      </c>
      <c r="B1593" s="791" t="s">
        <v>1027</v>
      </c>
      <c r="C1593" s="791" t="s">
        <v>1022</v>
      </c>
      <c r="D1593" s="792" t="s">
        <v>779</v>
      </c>
      <c r="E1593" s="793" t="s">
        <v>662</v>
      </c>
      <c r="F1593" s="793" t="s">
        <v>843</v>
      </c>
      <c r="G1593" s="793" t="s">
        <v>782</v>
      </c>
      <c r="H1593" s="793" t="s">
        <v>804</v>
      </c>
      <c r="I1593" s="794">
        <v>4.3022163663829702E-2</v>
      </c>
      <c r="J1593" s="794">
        <v>62.89962384147595</v>
      </c>
      <c r="K1593" s="771"/>
    </row>
    <row r="1594" spans="1:11" ht="18.75" customHeight="1" outlineLevel="2">
      <c r="A1594" s="791" t="s">
        <v>776</v>
      </c>
      <c r="B1594" s="791" t="s">
        <v>1027</v>
      </c>
      <c r="C1594" s="791" t="s">
        <v>1022</v>
      </c>
      <c r="D1594" s="792" t="s">
        <v>779</v>
      </c>
      <c r="E1594" s="793" t="s">
        <v>662</v>
      </c>
      <c r="F1594" s="793" t="s">
        <v>844</v>
      </c>
      <c r="G1594" s="793" t="s">
        <v>782</v>
      </c>
      <c r="H1594" s="793" t="s">
        <v>804</v>
      </c>
      <c r="I1594" s="794">
        <v>1.8663886993107694E-2</v>
      </c>
      <c r="J1594" s="794">
        <v>26.485386295943908</v>
      </c>
      <c r="K1594" s="771"/>
    </row>
    <row r="1595" spans="1:11" ht="18.75" customHeight="1" outlineLevel="2">
      <c r="A1595" s="791" t="s">
        <v>776</v>
      </c>
      <c r="B1595" s="791" t="s">
        <v>1027</v>
      </c>
      <c r="C1595" s="791" t="s">
        <v>1022</v>
      </c>
      <c r="D1595" s="792" t="s">
        <v>779</v>
      </c>
      <c r="E1595" s="793" t="s">
        <v>662</v>
      </c>
      <c r="F1595" s="793" t="s">
        <v>845</v>
      </c>
      <c r="G1595" s="793" t="s">
        <v>782</v>
      </c>
      <c r="H1595" s="793" t="s">
        <v>804</v>
      </c>
      <c r="I1595" s="794">
        <v>1.0164641560677099E-3</v>
      </c>
      <c r="J1595" s="794">
        <v>1.3803701644623672</v>
      </c>
      <c r="K1595" s="771"/>
    </row>
    <row r="1596" spans="1:11" ht="18.75" customHeight="1" outlineLevel="2">
      <c r="A1596" s="791" t="s">
        <v>776</v>
      </c>
      <c r="B1596" s="791" t="s">
        <v>1027</v>
      </c>
      <c r="C1596" s="791" t="s">
        <v>1022</v>
      </c>
      <c r="D1596" s="792" t="s">
        <v>779</v>
      </c>
      <c r="E1596" s="793" t="s">
        <v>662</v>
      </c>
      <c r="F1596" s="793" t="s">
        <v>846</v>
      </c>
      <c r="G1596" s="793" t="s">
        <v>782</v>
      </c>
      <c r="H1596" s="793" t="s">
        <v>804</v>
      </c>
      <c r="I1596" s="794">
        <v>3.537387513874015E-2</v>
      </c>
      <c r="J1596" s="794">
        <v>55.425810947174845</v>
      </c>
      <c r="K1596" s="771"/>
    </row>
    <row r="1597" spans="1:11" ht="18.75" customHeight="1" outlineLevel="2">
      <c r="A1597" s="791" t="s">
        <v>776</v>
      </c>
      <c r="B1597" s="791" t="s">
        <v>1027</v>
      </c>
      <c r="C1597" s="791" t="s">
        <v>1022</v>
      </c>
      <c r="D1597" s="792" t="s">
        <v>779</v>
      </c>
      <c r="E1597" s="793" t="s">
        <v>662</v>
      </c>
      <c r="F1597" s="793" t="s">
        <v>847</v>
      </c>
      <c r="G1597" s="793" t="s">
        <v>782</v>
      </c>
      <c r="H1597" s="793" t="s">
        <v>804</v>
      </c>
      <c r="I1597" s="794">
        <v>1.6863911278874825E-2</v>
      </c>
      <c r="J1597" s="794">
        <v>20.556433275083375</v>
      </c>
      <c r="K1597" s="771"/>
    </row>
    <row r="1598" spans="1:11" ht="18.75" customHeight="1" outlineLevel="2">
      <c r="A1598" s="791" t="s">
        <v>776</v>
      </c>
      <c r="B1598" s="791" t="s">
        <v>1027</v>
      </c>
      <c r="C1598" s="791" t="s">
        <v>1022</v>
      </c>
      <c r="D1598" s="792" t="s">
        <v>779</v>
      </c>
      <c r="E1598" s="793" t="s">
        <v>662</v>
      </c>
      <c r="F1598" s="793" t="s">
        <v>848</v>
      </c>
      <c r="G1598" s="793" t="s">
        <v>782</v>
      </c>
      <c r="H1598" s="793" t="s">
        <v>804</v>
      </c>
      <c r="I1598" s="794">
        <v>7.9688148932936631E-2</v>
      </c>
      <c r="J1598" s="794">
        <v>115.49528864268622</v>
      </c>
      <c r="K1598" s="771"/>
    </row>
    <row r="1599" spans="1:11" ht="18.75" customHeight="1" outlineLevel="2">
      <c r="A1599" s="791" t="s">
        <v>776</v>
      </c>
      <c r="B1599" s="791" t="s">
        <v>1027</v>
      </c>
      <c r="C1599" s="791" t="s">
        <v>1022</v>
      </c>
      <c r="D1599" s="792" t="s">
        <v>779</v>
      </c>
      <c r="E1599" s="793" t="s">
        <v>662</v>
      </c>
      <c r="F1599" s="793" t="s">
        <v>849</v>
      </c>
      <c r="G1599" s="793" t="s">
        <v>782</v>
      </c>
      <c r="H1599" s="793" t="s">
        <v>804</v>
      </c>
      <c r="I1599" s="794">
        <v>4.0395880924269101E-2</v>
      </c>
      <c r="J1599" s="794">
        <v>55.464002072486792</v>
      </c>
      <c r="K1599" s="771"/>
    </row>
    <row r="1600" spans="1:11" ht="18.75" customHeight="1" outlineLevel="2">
      <c r="A1600" s="791" t="s">
        <v>776</v>
      </c>
      <c r="B1600" s="791" t="s">
        <v>1027</v>
      </c>
      <c r="C1600" s="791" t="s">
        <v>1022</v>
      </c>
      <c r="D1600" s="792" t="s">
        <v>779</v>
      </c>
      <c r="E1600" s="793" t="s">
        <v>662</v>
      </c>
      <c r="F1600" s="793" t="s">
        <v>850</v>
      </c>
      <c r="G1600" s="793" t="s">
        <v>782</v>
      </c>
      <c r="H1600" s="793" t="s">
        <v>804</v>
      </c>
      <c r="I1600" s="794">
        <v>3.1945752418565368E-3</v>
      </c>
      <c r="J1600" s="794">
        <v>4.4675538612630579</v>
      </c>
      <c r="K1600" s="771"/>
    </row>
    <row r="1601" spans="1:11" ht="18.75" customHeight="1" outlineLevel="2">
      <c r="A1601" s="791" t="s">
        <v>776</v>
      </c>
      <c r="B1601" s="791" t="s">
        <v>1027</v>
      </c>
      <c r="C1601" s="791" t="s">
        <v>1022</v>
      </c>
      <c r="D1601" s="792" t="s">
        <v>779</v>
      </c>
      <c r="E1601" s="793" t="s">
        <v>662</v>
      </c>
      <c r="F1601" s="793" t="s">
        <v>851</v>
      </c>
      <c r="G1601" s="793" t="s">
        <v>782</v>
      </c>
      <c r="H1601" s="793" t="s">
        <v>804</v>
      </c>
      <c r="I1601" s="794">
        <v>5.2433144835113514E-3</v>
      </c>
      <c r="J1601" s="794">
        <v>7.5021405625999744</v>
      </c>
      <c r="K1601" s="771"/>
    </row>
    <row r="1602" spans="1:11" ht="18.75" customHeight="1" outlineLevel="2">
      <c r="A1602" s="791" t="s">
        <v>776</v>
      </c>
      <c r="B1602" s="791" t="s">
        <v>1027</v>
      </c>
      <c r="C1602" s="791" t="s">
        <v>1022</v>
      </c>
      <c r="D1602" s="792" t="s">
        <v>779</v>
      </c>
      <c r="E1602" s="793" t="s">
        <v>662</v>
      </c>
      <c r="F1602" s="793" t="s">
        <v>852</v>
      </c>
      <c r="G1602" s="793" t="s">
        <v>782</v>
      </c>
      <c r="H1602" s="793" t="s">
        <v>804</v>
      </c>
      <c r="I1602" s="794">
        <v>2.2964256496199511E-3</v>
      </c>
      <c r="J1602" s="794">
        <v>6.7037779778009368</v>
      </c>
      <c r="K1602" s="771"/>
    </row>
    <row r="1603" spans="1:11" ht="18.75" customHeight="1" outlineLevel="2">
      <c r="A1603" s="791" t="s">
        <v>776</v>
      </c>
      <c r="B1603" s="791" t="s">
        <v>1027</v>
      </c>
      <c r="C1603" s="791" t="s">
        <v>1022</v>
      </c>
      <c r="D1603" s="792" t="s">
        <v>779</v>
      </c>
      <c r="E1603" s="793" t="s">
        <v>662</v>
      </c>
      <c r="F1603" s="793" t="s">
        <v>853</v>
      </c>
      <c r="G1603" s="793" t="s">
        <v>782</v>
      </c>
      <c r="H1603" s="793" t="s">
        <v>804</v>
      </c>
      <c r="I1603" s="794">
        <v>1.8479472016531492E-3</v>
      </c>
      <c r="J1603" s="794">
        <v>15.900200800654053</v>
      </c>
      <c r="K1603" s="771"/>
    </row>
    <row r="1604" spans="1:11" ht="18.75" customHeight="1" outlineLevel="2">
      <c r="A1604" s="791" t="s">
        <v>776</v>
      </c>
      <c r="B1604" s="791" t="s">
        <v>1027</v>
      </c>
      <c r="C1604" s="791" t="s">
        <v>1022</v>
      </c>
      <c r="D1604" s="792" t="s">
        <v>779</v>
      </c>
      <c r="E1604" s="793" t="s">
        <v>662</v>
      </c>
      <c r="F1604" s="793" t="s">
        <v>854</v>
      </c>
      <c r="G1604" s="793" t="s">
        <v>782</v>
      </c>
      <c r="H1604" s="793" t="s">
        <v>804</v>
      </c>
      <c r="I1604" s="794">
        <v>2.5141923632388954E-2</v>
      </c>
      <c r="J1604" s="794">
        <v>37.912885766268595</v>
      </c>
      <c r="K1604" s="771"/>
    </row>
    <row r="1605" spans="1:11" ht="18.75" customHeight="1" outlineLevel="2">
      <c r="A1605" s="791" t="s">
        <v>776</v>
      </c>
      <c r="B1605" s="791" t="s">
        <v>1027</v>
      </c>
      <c r="C1605" s="791" t="s">
        <v>1022</v>
      </c>
      <c r="D1605" s="792" t="s">
        <v>779</v>
      </c>
      <c r="E1605" s="793" t="s">
        <v>662</v>
      </c>
      <c r="F1605" s="793" t="s">
        <v>855</v>
      </c>
      <c r="G1605" s="793" t="s">
        <v>782</v>
      </c>
      <c r="H1605" s="793" t="s">
        <v>804</v>
      </c>
      <c r="I1605" s="794">
        <v>1.7953087353552874E-2</v>
      </c>
      <c r="J1605" s="794">
        <v>26.423773543518152</v>
      </c>
      <c r="K1605" s="771"/>
    </row>
    <row r="1606" spans="1:11" ht="18.75" customHeight="1" outlineLevel="2">
      <c r="A1606" s="791" t="s">
        <v>776</v>
      </c>
      <c r="B1606" s="791" t="s">
        <v>1027</v>
      </c>
      <c r="C1606" s="791" t="s">
        <v>1022</v>
      </c>
      <c r="D1606" s="792" t="s">
        <v>779</v>
      </c>
      <c r="E1606" s="793" t="s">
        <v>662</v>
      </c>
      <c r="F1606" s="793" t="s">
        <v>856</v>
      </c>
      <c r="G1606" s="793" t="s">
        <v>782</v>
      </c>
      <c r="H1606" s="793" t="s">
        <v>804</v>
      </c>
      <c r="I1606" s="794">
        <v>7.0503953967290065E-3</v>
      </c>
      <c r="J1606" s="794">
        <v>8.6581287189351368</v>
      </c>
      <c r="K1606" s="771"/>
    </row>
    <row r="1607" spans="1:11" ht="18.75" customHeight="1" outlineLevel="2">
      <c r="A1607" s="791" t="s">
        <v>776</v>
      </c>
      <c r="B1607" s="791" t="s">
        <v>1027</v>
      </c>
      <c r="C1607" s="791" t="s">
        <v>1022</v>
      </c>
      <c r="D1607" s="792" t="s">
        <v>779</v>
      </c>
      <c r="E1607" s="793" t="s">
        <v>662</v>
      </c>
      <c r="F1607" s="793" t="s">
        <v>857</v>
      </c>
      <c r="G1607" s="793" t="s">
        <v>782</v>
      </c>
      <c r="H1607" s="793" t="s">
        <v>804</v>
      </c>
      <c r="I1607" s="794">
        <v>5.8699654982630424E-3</v>
      </c>
      <c r="J1607" s="794">
        <v>6.3265134837769272</v>
      </c>
      <c r="K1607" s="771"/>
    </row>
    <row r="1608" spans="1:11" ht="18.75" customHeight="1" outlineLevel="2">
      <c r="A1608" s="791" t="s">
        <v>776</v>
      </c>
      <c r="B1608" s="791" t="s">
        <v>1027</v>
      </c>
      <c r="C1608" s="791" t="s">
        <v>1022</v>
      </c>
      <c r="D1608" s="792" t="s">
        <v>779</v>
      </c>
      <c r="E1608" s="793" t="s">
        <v>662</v>
      </c>
      <c r="F1608" s="793" t="s">
        <v>858</v>
      </c>
      <c r="G1608" s="793" t="s">
        <v>785</v>
      </c>
      <c r="H1608" s="793" t="s">
        <v>727</v>
      </c>
      <c r="I1608" s="794">
        <v>1.1997791091633644E-2</v>
      </c>
      <c r="J1608" s="794">
        <v>24.079156571706687</v>
      </c>
      <c r="K1608" s="771"/>
    </row>
    <row r="1609" spans="1:11" ht="18.75" customHeight="1" outlineLevel="2">
      <c r="A1609" s="791" t="s">
        <v>776</v>
      </c>
      <c r="B1609" s="791" t="s">
        <v>1027</v>
      </c>
      <c r="C1609" s="791" t="s">
        <v>1022</v>
      </c>
      <c r="D1609" s="792" t="s">
        <v>779</v>
      </c>
      <c r="E1609" s="793" t="s">
        <v>662</v>
      </c>
      <c r="F1609" s="793" t="s">
        <v>859</v>
      </c>
      <c r="G1609" s="793" t="s">
        <v>785</v>
      </c>
      <c r="H1609" s="793" t="s">
        <v>727</v>
      </c>
      <c r="I1609" s="794">
        <v>8.6190283667428504E-3</v>
      </c>
      <c r="J1609" s="794">
        <v>91.127617591631619</v>
      </c>
      <c r="K1609" s="771"/>
    </row>
    <row r="1610" spans="1:11" ht="18.75" customHeight="1" outlineLevel="2">
      <c r="A1610" s="791" t="s">
        <v>776</v>
      </c>
      <c r="B1610" s="791" t="s">
        <v>1027</v>
      </c>
      <c r="C1610" s="791" t="s">
        <v>1022</v>
      </c>
      <c r="D1610" s="792" t="s">
        <v>779</v>
      </c>
      <c r="E1610" s="793" t="s">
        <v>662</v>
      </c>
      <c r="F1610" s="793" t="s">
        <v>860</v>
      </c>
      <c r="G1610" s="793" t="s">
        <v>785</v>
      </c>
      <c r="H1610" s="793" t="s">
        <v>727</v>
      </c>
      <c r="I1610" s="794">
        <v>7.1513392115662667E-3</v>
      </c>
      <c r="J1610" s="794">
        <v>19.581674651433751</v>
      </c>
      <c r="K1610" s="771"/>
    </row>
    <row r="1611" spans="1:11" ht="18.75" customHeight="1" outlineLevel="2">
      <c r="A1611" s="791" t="s">
        <v>776</v>
      </c>
      <c r="B1611" s="791" t="s">
        <v>1027</v>
      </c>
      <c r="C1611" s="791" t="s">
        <v>1022</v>
      </c>
      <c r="D1611" s="792" t="s">
        <v>779</v>
      </c>
      <c r="E1611" s="793" t="s">
        <v>662</v>
      </c>
      <c r="F1611" s="793" t="s">
        <v>861</v>
      </c>
      <c r="G1611" s="793" t="s">
        <v>785</v>
      </c>
      <c r="H1611" s="793" t="s">
        <v>727</v>
      </c>
      <c r="I1611" s="794">
        <v>2.7508025457396772E-2</v>
      </c>
      <c r="J1611" s="794">
        <v>36.779774373164408</v>
      </c>
      <c r="K1611" s="771"/>
    </row>
    <row r="1612" spans="1:11" ht="18.75" customHeight="1" outlineLevel="2">
      <c r="A1612" s="791" t="s">
        <v>776</v>
      </c>
      <c r="B1612" s="791" t="s">
        <v>1027</v>
      </c>
      <c r="C1612" s="791" t="s">
        <v>1022</v>
      </c>
      <c r="D1612" s="792" t="s">
        <v>779</v>
      </c>
      <c r="E1612" s="793" t="s">
        <v>662</v>
      </c>
      <c r="F1612" s="793" t="s">
        <v>862</v>
      </c>
      <c r="G1612" s="793" t="s">
        <v>785</v>
      </c>
      <c r="H1612" s="793" t="s">
        <v>727</v>
      </c>
      <c r="I1612" s="794">
        <v>7.7616001566358894E-4</v>
      </c>
      <c r="J1612" s="794">
        <v>1.6876124282806328</v>
      </c>
      <c r="K1612" s="771"/>
    </row>
    <row r="1613" spans="1:11" ht="18.75" customHeight="1" outlineLevel="2">
      <c r="A1613" s="791" t="s">
        <v>776</v>
      </c>
      <c r="B1613" s="791" t="s">
        <v>1027</v>
      </c>
      <c r="C1613" s="791" t="s">
        <v>1022</v>
      </c>
      <c r="D1613" s="792" t="s">
        <v>779</v>
      </c>
      <c r="E1613" s="793" t="s">
        <v>662</v>
      </c>
      <c r="F1613" s="793" t="s">
        <v>863</v>
      </c>
      <c r="G1613" s="793" t="s">
        <v>785</v>
      </c>
      <c r="H1613" s="793" t="s">
        <v>727</v>
      </c>
      <c r="I1613" s="794">
        <v>2.8260322329879072E-3</v>
      </c>
      <c r="J1613" s="794">
        <v>4.2021659661383328</v>
      </c>
      <c r="K1613" s="771"/>
    </row>
    <row r="1614" spans="1:11" ht="18.75" customHeight="1" outlineLevel="2">
      <c r="A1614" s="791" t="s">
        <v>776</v>
      </c>
      <c r="B1614" s="791" t="s">
        <v>1027</v>
      </c>
      <c r="C1614" s="791" t="s">
        <v>1022</v>
      </c>
      <c r="D1614" s="792" t="s">
        <v>779</v>
      </c>
      <c r="E1614" s="793" t="s">
        <v>662</v>
      </c>
      <c r="F1614" s="793" t="s">
        <v>864</v>
      </c>
      <c r="G1614" s="793" t="s">
        <v>785</v>
      </c>
      <c r="H1614" s="793" t="s">
        <v>727</v>
      </c>
      <c r="I1614" s="794">
        <v>5.6502221817119193E-4</v>
      </c>
      <c r="J1614" s="794">
        <v>8.0479780160789058</v>
      </c>
      <c r="K1614" s="771"/>
    </row>
    <row r="1615" spans="1:11" ht="18.75" customHeight="1" outlineLevel="2">
      <c r="A1615" s="791" t="s">
        <v>776</v>
      </c>
      <c r="B1615" s="791" t="s">
        <v>1027</v>
      </c>
      <c r="C1615" s="791" t="s">
        <v>1022</v>
      </c>
      <c r="D1615" s="792" t="s">
        <v>779</v>
      </c>
      <c r="E1615" s="793" t="s">
        <v>662</v>
      </c>
      <c r="F1615" s="793" t="s">
        <v>865</v>
      </c>
      <c r="G1615" s="793" t="s">
        <v>813</v>
      </c>
      <c r="H1615" s="793" t="s">
        <v>814</v>
      </c>
      <c r="I1615" s="794">
        <v>0.63834101628780604</v>
      </c>
      <c r="J1615" s="794">
        <v>683.21858889292582</v>
      </c>
      <c r="K1615" s="771"/>
    </row>
    <row r="1616" spans="1:11" ht="18.75" customHeight="1" outlineLevel="2">
      <c r="A1616" s="791" t="s">
        <v>776</v>
      </c>
      <c r="B1616" s="791" t="s">
        <v>1027</v>
      </c>
      <c r="C1616" s="791" t="s">
        <v>1022</v>
      </c>
      <c r="D1616" s="792" t="s">
        <v>779</v>
      </c>
      <c r="E1616" s="793" t="s">
        <v>662</v>
      </c>
      <c r="F1616" s="793" t="s">
        <v>866</v>
      </c>
      <c r="G1616" s="793" t="s">
        <v>813</v>
      </c>
      <c r="H1616" s="793" t="s">
        <v>814</v>
      </c>
      <c r="I1616" s="794">
        <v>0.3084224956125064</v>
      </c>
      <c r="J1616" s="794">
        <v>418.78756309788378</v>
      </c>
      <c r="K1616" s="771"/>
    </row>
    <row r="1617" spans="1:11" ht="18.75" customHeight="1" outlineLevel="2">
      <c r="A1617" s="791" t="s">
        <v>776</v>
      </c>
      <c r="B1617" s="791" t="s">
        <v>1027</v>
      </c>
      <c r="C1617" s="791" t="s">
        <v>1022</v>
      </c>
      <c r="D1617" s="792" t="s">
        <v>779</v>
      </c>
      <c r="E1617" s="793" t="s">
        <v>662</v>
      </c>
      <c r="F1617" s="793" t="s">
        <v>867</v>
      </c>
      <c r="G1617" s="793" t="s">
        <v>813</v>
      </c>
      <c r="H1617" s="793" t="s">
        <v>814</v>
      </c>
      <c r="I1617" s="794">
        <v>5.4951383687029398E-2</v>
      </c>
      <c r="J1617" s="794">
        <v>58.792121911780896</v>
      </c>
      <c r="K1617" s="771"/>
    </row>
    <row r="1618" spans="1:11" ht="18.75" customHeight="1" outlineLevel="2">
      <c r="A1618" s="791" t="s">
        <v>776</v>
      </c>
      <c r="B1618" s="791" t="s">
        <v>1027</v>
      </c>
      <c r="C1618" s="791" t="s">
        <v>1022</v>
      </c>
      <c r="D1618" s="792" t="s">
        <v>779</v>
      </c>
      <c r="E1618" s="793" t="s">
        <v>662</v>
      </c>
      <c r="F1618" s="793" t="s">
        <v>868</v>
      </c>
      <c r="G1618" s="793" t="s">
        <v>813</v>
      </c>
      <c r="H1618" s="793" t="s">
        <v>814</v>
      </c>
      <c r="I1618" s="794">
        <v>0.19654876678356445</v>
      </c>
      <c r="J1618" s="794">
        <v>248.40958132147713</v>
      </c>
      <c r="K1618" s="771"/>
    </row>
    <row r="1619" spans="1:11" ht="18.75" customHeight="1" outlineLevel="2">
      <c r="A1619" s="791" t="s">
        <v>776</v>
      </c>
      <c r="B1619" s="791" t="s">
        <v>1027</v>
      </c>
      <c r="C1619" s="791" t="s">
        <v>1022</v>
      </c>
      <c r="D1619" s="792" t="s">
        <v>779</v>
      </c>
      <c r="E1619" s="793" t="s">
        <v>662</v>
      </c>
      <c r="F1619" s="793" t="s">
        <v>869</v>
      </c>
      <c r="G1619" s="793" t="s">
        <v>813</v>
      </c>
      <c r="H1619" s="793" t="s">
        <v>814</v>
      </c>
      <c r="I1619" s="794">
        <v>2.9935095940248841E-3</v>
      </c>
      <c r="J1619" s="794">
        <v>3.7978199797852277</v>
      </c>
      <c r="K1619" s="771"/>
    </row>
    <row r="1620" spans="1:11" ht="18.75" customHeight="1" outlineLevel="2">
      <c r="A1620" s="791" t="s">
        <v>776</v>
      </c>
      <c r="B1620" s="791" t="s">
        <v>1027</v>
      </c>
      <c r="C1620" s="791" t="s">
        <v>1022</v>
      </c>
      <c r="D1620" s="792" t="s">
        <v>779</v>
      </c>
      <c r="E1620" s="793" t="s">
        <v>662</v>
      </c>
      <c r="F1620" s="793" t="s">
        <v>870</v>
      </c>
      <c r="G1620" s="793" t="s">
        <v>813</v>
      </c>
      <c r="H1620" s="793" t="s">
        <v>814</v>
      </c>
      <c r="I1620" s="794">
        <v>6.847374158282498E-3</v>
      </c>
      <c r="J1620" s="794">
        <v>9.7001702021552187</v>
      </c>
      <c r="K1620" s="771"/>
    </row>
    <row r="1621" spans="1:11" ht="18.75" customHeight="1" outlineLevel="2">
      <c r="A1621" s="791" t="s">
        <v>776</v>
      </c>
      <c r="B1621" s="791" t="s">
        <v>1027</v>
      </c>
      <c r="C1621" s="791" t="s">
        <v>1022</v>
      </c>
      <c r="D1621" s="792" t="s">
        <v>779</v>
      </c>
      <c r="E1621" s="793" t="s">
        <v>662</v>
      </c>
      <c r="F1621" s="793" t="s">
        <v>871</v>
      </c>
      <c r="G1621" s="793" t="s">
        <v>813</v>
      </c>
      <c r="H1621" s="793" t="s">
        <v>814</v>
      </c>
      <c r="I1621" s="794">
        <v>5.7012254994705898E-3</v>
      </c>
      <c r="J1621" s="794">
        <v>7.2453842799232122</v>
      </c>
      <c r="K1621" s="771"/>
    </row>
    <row r="1622" spans="1:11" ht="18.75" customHeight="1" outlineLevel="2">
      <c r="A1622" s="791" t="s">
        <v>776</v>
      </c>
      <c r="B1622" s="791" t="s">
        <v>1027</v>
      </c>
      <c r="C1622" s="791" t="s">
        <v>1022</v>
      </c>
      <c r="D1622" s="792" t="s">
        <v>779</v>
      </c>
      <c r="E1622" s="793" t="s">
        <v>662</v>
      </c>
      <c r="F1622" s="793" t="s">
        <v>872</v>
      </c>
      <c r="G1622" s="793" t="s">
        <v>813</v>
      </c>
      <c r="H1622" s="793" t="s">
        <v>814</v>
      </c>
      <c r="I1622" s="794">
        <v>0.23401721676149612</v>
      </c>
      <c r="J1622" s="794">
        <v>398.04255035690267</v>
      </c>
      <c r="K1622" s="771"/>
    </row>
    <row r="1623" spans="1:11" ht="18.75" customHeight="1" outlineLevel="2">
      <c r="A1623" s="791" t="s">
        <v>776</v>
      </c>
      <c r="B1623" s="791" t="s">
        <v>1027</v>
      </c>
      <c r="C1623" s="791" t="s">
        <v>1022</v>
      </c>
      <c r="D1623" s="792" t="s">
        <v>779</v>
      </c>
      <c r="E1623" s="793" t="s">
        <v>662</v>
      </c>
      <c r="F1623" s="793" t="s">
        <v>873</v>
      </c>
      <c r="G1623" s="793" t="s">
        <v>813</v>
      </c>
      <c r="H1623" s="793" t="s">
        <v>814</v>
      </c>
      <c r="I1623" s="794">
        <v>0.14486339000511697</v>
      </c>
      <c r="J1623" s="794">
        <v>77.323224737217771</v>
      </c>
      <c r="K1623" s="771"/>
    </row>
    <row r="1624" spans="1:11" ht="18.75" customHeight="1" outlineLevel="2">
      <c r="A1624" s="791" t="s">
        <v>776</v>
      </c>
      <c r="B1624" s="791" t="s">
        <v>1027</v>
      </c>
      <c r="C1624" s="791" t="s">
        <v>1022</v>
      </c>
      <c r="D1624" s="792" t="s">
        <v>779</v>
      </c>
      <c r="E1624" s="793" t="s">
        <v>662</v>
      </c>
      <c r="F1624" s="793" t="s">
        <v>874</v>
      </c>
      <c r="G1624" s="793" t="s">
        <v>813</v>
      </c>
      <c r="H1624" s="793" t="s">
        <v>814</v>
      </c>
      <c r="I1624" s="794">
        <v>0.29505950874529452</v>
      </c>
      <c r="J1624" s="794">
        <v>157.4743145518172</v>
      </c>
      <c r="K1624" s="771"/>
    </row>
    <row r="1625" spans="1:11" ht="18.75" customHeight="1" outlineLevel="2">
      <c r="A1625" s="791" t="s">
        <v>776</v>
      </c>
      <c r="B1625" s="791" t="s">
        <v>1027</v>
      </c>
      <c r="C1625" s="791" t="s">
        <v>1022</v>
      </c>
      <c r="D1625" s="792" t="s">
        <v>779</v>
      </c>
      <c r="E1625" s="793" t="s">
        <v>662</v>
      </c>
      <c r="F1625" s="793" t="s">
        <v>875</v>
      </c>
      <c r="G1625" s="793" t="s">
        <v>813</v>
      </c>
      <c r="H1625" s="793" t="s">
        <v>814</v>
      </c>
      <c r="I1625" s="794">
        <v>9.5113579547812244E-2</v>
      </c>
      <c r="J1625" s="794">
        <v>138.76383429083387</v>
      </c>
      <c r="K1625" s="771"/>
    </row>
    <row r="1626" spans="1:11" ht="18.75" customHeight="1" outlineLevel="2">
      <c r="A1626" s="791" t="s">
        <v>776</v>
      </c>
      <c r="B1626" s="791" t="s">
        <v>1027</v>
      </c>
      <c r="C1626" s="791" t="s">
        <v>1022</v>
      </c>
      <c r="D1626" s="792" t="s">
        <v>779</v>
      </c>
      <c r="E1626" s="793" t="s">
        <v>662</v>
      </c>
      <c r="F1626" s="793" t="s">
        <v>876</v>
      </c>
      <c r="G1626" s="793" t="s">
        <v>813</v>
      </c>
      <c r="H1626" s="793" t="s">
        <v>814</v>
      </c>
      <c r="I1626" s="794">
        <v>3.5221915090667757E-2</v>
      </c>
      <c r="J1626" s="794">
        <v>53.206791801730859</v>
      </c>
      <c r="K1626" s="771"/>
    </row>
    <row r="1627" spans="1:11" ht="18.75" customHeight="1" outlineLevel="2">
      <c r="A1627" s="791" t="s">
        <v>776</v>
      </c>
      <c r="B1627" s="791" t="s">
        <v>1027</v>
      </c>
      <c r="C1627" s="791" t="s">
        <v>1022</v>
      </c>
      <c r="D1627" s="792" t="s">
        <v>779</v>
      </c>
      <c r="E1627" s="793" t="s">
        <v>662</v>
      </c>
      <c r="F1627" s="793" t="s">
        <v>877</v>
      </c>
      <c r="G1627" s="793" t="s">
        <v>813</v>
      </c>
      <c r="H1627" s="793" t="s">
        <v>814</v>
      </c>
      <c r="I1627" s="794">
        <v>4.6469924911565021E-2</v>
      </c>
      <c r="J1627" s="794">
        <v>60.224840760655361</v>
      </c>
      <c r="K1627" s="771"/>
    </row>
    <row r="1628" spans="1:11" ht="18.75" customHeight="1" outlineLevel="2">
      <c r="A1628" s="791" t="s">
        <v>776</v>
      </c>
      <c r="B1628" s="791" t="s">
        <v>1027</v>
      </c>
      <c r="C1628" s="791" t="s">
        <v>1022</v>
      </c>
      <c r="D1628" s="792" t="s">
        <v>779</v>
      </c>
      <c r="E1628" s="793" t="s">
        <v>662</v>
      </c>
      <c r="F1628" s="793" t="s">
        <v>878</v>
      </c>
      <c r="G1628" s="793" t="s">
        <v>813</v>
      </c>
      <c r="H1628" s="793" t="s">
        <v>814</v>
      </c>
      <c r="I1628" s="794">
        <v>2.3711890404002459E-2</v>
      </c>
      <c r="J1628" s="794">
        <v>28.594390118012811</v>
      </c>
      <c r="K1628" s="771"/>
    </row>
    <row r="1629" spans="1:11" ht="18.75" customHeight="1" outlineLevel="2">
      <c r="A1629" s="791" t="s">
        <v>776</v>
      </c>
      <c r="B1629" s="791" t="s">
        <v>1027</v>
      </c>
      <c r="C1629" s="791" t="s">
        <v>1022</v>
      </c>
      <c r="D1629" s="792" t="s">
        <v>779</v>
      </c>
      <c r="E1629" s="793" t="s">
        <v>662</v>
      </c>
      <c r="F1629" s="793" t="s">
        <v>879</v>
      </c>
      <c r="G1629" s="793" t="s">
        <v>813</v>
      </c>
      <c r="H1629" s="793" t="s">
        <v>814</v>
      </c>
      <c r="I1629" s="794">
        <v>1.2720234347415</v>
      </c>
      <c r="J1629" s="794">
        <v>1860.0164182473675</v>
      </c>
      <c r="K1629" s="771"/>
    </row>
    <row r="1630" spans="1:11" ht="18.75" customHeight="1" outlineLevel="2">
      <c r="A1630" s="791" t="s">
        <v>776</v>
      </c>
      <c r="B1630" s="791" t="s">
        <v>1027</v>
      </c>
      <c r="C1630" s="791" t="s">
        <v>1022</v>
      </c>
      <c r="D1630" s="792" t="s">
        <v>779</v>
      </c>
      <c r="E1630" s="793" t="s">
        <v>662</v>
      </c>
      <c r="F1630" s="793" t="s">
        <v>880</v>
      </c>
      <c r="G1630" s="793" t="s">
        <v>813</v>
      </c>
      <c r="H1630" s="793" t="s">
        <v>814</v>
      </c>
      <c r="I1630" s="794">
        <v>0.47855934049587673</v>
      </c>
      <c r="J1630" s="794">
        <v>723.08239849763777</v>
      </c>
      <c r="K1630" s="771"/>
    </row>
    <row r="1631" spans="1:11" ht="18.75" customHeight="1" outlineLevel="2">
      <c r="A1631" s="791" t="s">
        <v>776</v>
      </c>
      <c r="B1631" s="791" t="s">
        <v>1027</v>
      </c>
      <c r="C1631" s="791" t="s">
        <v>1022</v>
      </c>
      <c r="D1631" s="792" t="s">
        <v>779</v>
      </c>
      <c r="E1631" s="793" t="s">
        <v>662</v>
      </c>
      <c r="F1631" s="793" t="s">
        <v>881</v>
      </c>
      <c r="G1631" s="793" t="s">
        <v>813</v>
      </c>
      <c r="H1631" s="793" t="s">
        <v>814</v>
      </c>
      <c r="I1631" s="794">
        <v>5.3550137118988025E-2</v>
      </c>
      <c r="J1631" s="794">
        <v>120.7358419574943</v>
      </c>
      <c r="K1631" s="771"/>
    </row>
    <row r="1632" spans="1:11" ht="18.75" customHeight="1" outlineLevel="2">
      <c r="A1632" s="791" t="s">
        <v>776</v>
      </c>
      <c r="B1632" s="791" t="s">
        <v>1027</v>
      </c>
      <c r="C1632" s="791" t="s">
        <v>1022</v>
      </c>
      <c r="D1632" s="792" t="s">
        <v>779</v>
      </c>
      <c r="E1632" s="793" t="s">
        <v>662</v>
      </c>
      <c r="F1632" s="793" t="s">
        <v>882</v>
      </c>
      <c r="G1632" s="793" t="s">
        <v>813</v>
      </c>
      <c r="H1632" s="793" t="s">
        <v>814</v>
      </c>
      <c r="I1632" s="794">
        <v>1.4739863353355092</v>
      </c>
      <c r="J1632" s="794">
        <v>2334.1561080782212</v>
      </c>
      <c r="K1632" s="771"/>
    </row>
    <row r="1633" spans="1:11" ht="18.75" customHeight="1" outlineLevel="2">
      <c r="A1633" s="791" t="s">
        <v>776</v>
      </c>
      <c r="B1633" s="791" t="s">
        <v>1027</v>
      </c>
      <c r="C1633" s="791" t="s">
        <v>1022</v>
      </c>
      <c r="D1633" s="792" t="s">
        <v>779</v>
      </c>
      <c r="E1633" s="793" t="s">
        <v>662</v>
      </c>
      <c r="F1633" s="793" t="s">
        <v>883</v>
      </c>
      <c r="G1633" s="793" t="s">
        <v>813</v>
      </c>
      <c r="H1633" s="793" t="s">
        <v>814</v>
      </c>
      <c r="I1633" s="794">
        <v>5.7909849328199994E-2</v>
      </c>
      <c r="J1633" s="794">
        <v>66.116932089385969</v>
      </c>
      <c r="K1633" s="771"/>
    </row>
    <row r="1634" spans="1:11" ht="18.75" customHeight="1" outlineLevel="2">
      <c r="A1634" s="791" t="s">
        <v>776</v>
      </c>
      <c r="B1634" s="791" t="s">
        <v>1027</v>
      </c>
      <c r="C1634" s="791" t="s">
        <v>1022</v>
      </c>
      <c r="D1634" s="792" t="s">
        <v>779</v>
      </c>
      <c r="E1634" s="793" t="s">
        <v>662</v>
      </c>
      <c r="F1634" s="793" t="s">
        <v>884</v>
      </c>
      <c r="G1634" s="793" t="s">
        <v>813</v>
      </c>
      <c r="H1634" s="793" t="s">
        <v>814</v>
      </c>
      <c r="I1634" s="794">
        <v>6.1854728333932692E-2</v>
      </c>
      <c r="J1634" s="794">
        <v>71.724729688511559</v>
      </c>
      <c r="K1634" s="771"/>
    </row>
    <row r="1635" spans="1:11" ht="18.75" customHeight="1" outlineLevel="2">
      <c r="A1635" s="791" t="s">
        <v>776</v>
      </c>
      <c r="B1635" s="791" t="s">
        <v>1027</v>
      </c>
      <c r="C1635" s="791" t="s">
        <v>1022</v>
      </c>
      <c r="D1635" s="792" t="s">
        <v>779</v>
      </c>
      <c r="E1635" s="793" t="s">
        <v>662</v>
      </c>
      <c r="F1635" s="793" t="s">
        <v>885</v>
      </c>
      <c r="G1635" s="793" t="s">
        <v>791</v>
      </c>
      <c r="H1635" s="793" t="s">
        <v>826</v>
      </c>
      <c r="I1635" s="794">
        <v>2.6861218993785429E-4</v>
      </c>
      <c r="J1635" s="794">
        <v>0.39639568041433365</v>
      </c>
      <c r="K1635" s="771"/>
    </row>
    <row r="1636" spans="1:11" ht="18.75" customHeight="1" outlineLevel="2">
      <c r="A1636" s="791" t="s">
        <v>776</v>
      </c>
      <c r="B1636" s="791" t="s">
        <v>1027</v>
      </c>
      <c r="C1636" s="791" t="s">
        <v>1022</v>
      </c>
      <c r="D1636" s="792" t="s">
        <v>779</v>
      </c>
      <c r="E1636" s="793" t="s">
        <v>662</v>
      </c>
      <c r="F1636" s="793" t="s">
        <v>886</v>
      </c>
      <c r="G1636" s="793" t="s">
        <v>791</v>
      </c>
      <c r="H1636" s="793" t="s">
        <v>826</v>
      </c>
      <c r="I1636" s="794">
        <v>3.515217334903083E-4</v>
      </c>
      <c r="J1636" s="794">
        <v>1.5339086752805373</v>
      </c>
      <c r="K1636" s="771"/>
    </row>
    <row r="1637" spans="1:11" ht="18.75" customHeight="1" outlineLevel="2">
      <c r="A1637" s="791" t="s">
        <v>776</v>
      </c>
      <c r="B1637" s="791" t="s">
        <v>1027</v>
      </c>
      <c r="C1637" s="791" t="s">
        <v>1022</v>
      </c>
      <c r="D1637" s="792" t="s">
        <v>779</v>
      </c>
      <c r="E1637" s="793" t="s">
        <v>662</v>
      </c>
      <c r="F1637" s="793" t="s">
        <v>887</v>
      </c>
      <c r="G1637" s="793" t="s">
        <v>791</v>
      </c>
      <c r="H1637" s="793" t="s">
        <v>826</v>
      </c>
      <c r="I1637" s="794">
        <v>1.3111988778506211E-5</v>
      </c>
      <c r="J1637" s="794">
        <v>1.2304611460215557E-2</v>
      </c>
      <c r="K1637" s="771"/>
    </row>
    <row r="1638" spans="1:11" ht="18.75" customHeight="1" outlineLevel="2">
      <c r="A1638" s="791" t="s">
        <v>776</v>
      </c>
      <c r="B1638" s="791" t="s">
        <v>1027</v>
      </c>
      <c r="C1638" s="791" t="s">
        <v>1022</v>
      </c>
      <c r="D1638" s="792" t="s">
        <v>779</v>
      </c>
      <c r="E1638" s="793" t="s">
        <v>662</v>
      </c>
      <c r="F1638" s="793" t="s">
        <v>888</v>
      </c>
      <c r="G1638" s="793" t="s">
        <v>791</v>
      </c>
      <c r="H1638" s="793" t="s">
        <v>826</v>
      </c>
      <c r="I1638" s="794">
        <v>1.176124403860872E-3</v>
      </c>
      <c r="J1638" s="794">
        <v>1.1015054939340501</v>
      </c>
      <c r="K1638" s="771"/>
    </row>
    <row r="1639" spans="1:11" ht="18.75" customHeight="1" outlineLevel="2">
      <c r="A1639" s="791" t="s">
        <v>776</v>
      </c>
      <c r="B1639" s="791" t="s">
        <v>1027</v>
      </c>
      <c r="C1639" s="791" t="s">
        <v>1022</v>
      </c>
      <c r="D1639" s="792" t="s">
        <v>779</v>
      </c>
      <c r="E1639" s="793" t="s">
        <v>662</v>
      </c>
      <c r="F1639" s="793" t="s">
        <v>889</v>
      </c>
      <c r="G1639" s="793" t="s">
        <v>791</v>
      </c>
      <c r="H1639" s="793" t="s">
        <v>826</v>
      </c>
      <c r="I1639" s="794">
        <v>2.2599376614032657E-4</v>
      </c>
      <c r="J1639" s="794">
        <v>0.32589741984694981</v>
      </c>
      <c r="K1639" s="771"/>
    </row>
    <row r="1640" spans="1:11" ht="18.75" customHeight="1" outlineLevel="2">
      <c r="A1640" s="791" t="s">
        <v>776</v>
      </c>
      <c r="B1640" s="791" t="s">
        <v>1027</v>
      </c>
      <c r="C1640" s="791" t="s">
        <v>1022</v>
      </c>
      <c r="D1640" s="792" t="s">
        <v>779</v>
      </c>
      <c r="E1640" s="793" t="s">
        <v>662</v>
      </c>
      <c r="F1640" s="793" t="s">
        <v>890</v>
      </c>
      <c r="G1640" s="793" t="s">
        <v>791</v>
      </c>
      <c r="H1640" s="793" t="s">
        <v>826</v>
      </c>
      <c r="I1640" s="794">
        <v>3.2298311324912153E-3</v>
      </c>
      <c r="J1640" s="794">
        <v>3.6109263640395994</v>
      </c>
      <c r="K1640" s="771"/>
    </row>
    <row r="1641" spans="1:11" ht="18.75" customHeight="1" outlineLevel="2">
      <c r="A1641" s="791" t="s">
        <v>776</v>
      </c>
      <c r="B1641" s="791" t="s">
        <v>1027</v>
      </c>
      <c r="C1641" s="791" t="s">
        <v>1022</v>
      </c>
      <c r="D1641" s="792" t="s">
        <v>779</v>
      </c>
      <c r="E1641" s="793" t="s">
        <v>662</v>
      </c>
      <c r="F1641" s="793" t="s">
        <v>891</v>
      </c>
      <c r="G1641" s="793" t="s">
        <v>791</v>
      </c>
      <c r="H1641" s="793" t="s">
        <v>826</v>
      </c>
      <c r="I1641" s="794">
        <v>1.6536563135202468E-2</v>
      </c>
      <c r="J1641" s="794">
        <v>8.0953256424846352</v>
      </c>
      <c r="K1641" s="771"/>
    </row>
    <row r="1642" spans="1:11" ht="18.75" customHeight="1" outlineLevel="2">
      <c r="A1642" s="791" t="s">
        <v>776</v>
      </c>
      <c r="B1642" s="791" t="s">
        <v>1027</v>
      </c>
      <c r="C1642" s="791" t="s">
        <v>1022</v>
      </c>
      <c r="D1642" s="792" t="s">
        <v>779</v>
      </c>
      <c r="E1642" s="793" t="s">
        <v>662</v>
      </c>
      <c r="F1642" s="793" t="s">
        <v>892</v>
      </c>
      <c r="G1642" s="793" t="s">
        <v>791</v>
      </c>
      <c r="H1642" s="793" t="s">
        <v>826</v>
      </c>
      <c r="I1642" s="794">
        <v>1.8626194974969382E-3</v>
      </c>
      <c r="J1642" s="794">
        <v>1.7444457776925044</v>
      </c>
      <c r="K1642" s="771"/>
    </row>
    <row r="1643" spans="1:11" ht="18.75" customHeight="1" outlineLevel="2">
      <c r="A1643" s="791" t="s">
        <v>776</v>
      </c>
      <c r="B1643" s="791" t="s">
        <v>1027</v>
      </c>
      <c r="C1643" s="791" t="s">
        <v>1022</v>
      </c>
      <c r="D1643" s="792" t="s">
        <v>779</v>
      </c>
      <c r="E1643" s="793" t="s">
        <v>662</v>
      </c>
      <c r="F1643" s="793" t="s">
        <v>893</v>
      </c>
      <c r="G1643" s="793" t="s">
        <v>791</v>
      </c>
      <c r="H1643" s="793" t="s">
        <v>826</v>
      </c>
      <c r="I1643" s="794">
        <v>2.4452011949857989E-3</v>
      </c>
      <c r="J1643" s="794">
        <v>2.489387054195662</v>
      </c>
      <c r="K1643" s="771"/>
    </row>
    <row r="1644" spans="1:11" ht="18.75" customHeight="1" outlineLevel="2">
      <c r="A1644" s="791" t="s">
        <v>776</v>
      </c>
      <c r="B1644" s="791" t="s">
        <v>1027</v>
      </c>
      <c r="C1644" s="791" t="s">
        <v>1022</v>
      </c>
      <c r="D1644" s="792" t="s">
        <v>779</v>
      </c>
      <c r="E1644" s="793" t="s">
        <v>662</v>
      </c>
      <c r="F1644" s="793" t="s">
        <v>894</v>
      </c>
      <c r="G1644" s="793" t="s">
        <v>791</v>
      </c>
      <c r="H1644" s="793" t="s">
        <v>826</v>
      </c>
      <c r="I1644" s="794">
        <v>2.9289890904477613E-4</v>
      </c>
      <c r="J1644" s="794">
        <v>2.6604231579362727</v>
      </c>
      <c r="K1644" s="771"/>
    </row>
    <row r="1645" spans="1:11" ht="18.75" customHeight="1" outlineLevel="2">
      <c r="A1645" s="791" t="s">
        <v>776</v>
      </c>
      <c r="B1645" s="791" t="s">
        <v>1027</v>
      </c>
      <c r="C1645" s="791" t="s">
        <v>1022</v>
      </c>
      <c r="D1645" s="792" t="s">
        <v>779</v>
      </c>
      <c r="E1645" s="793" t="s">
        <v>662</v>
      </c>
      <c r="F1645" s="793" t="s">
        <v>895</v>
      </c>
      <c r="G1645" s="793" t="s">
        <v>794</v>
      </c>
      <c r="H1645" s="793" t="s">
        <v>828</v>
      </c>
      <c r="I1645" s="794">
        <v>0.49240985781585461</v>
      </c>
      <c r="J1645" s="794">
        <v>683.59044182762034</v>
      </c>
      <c r="K1645" s="771"/>
    </row>
    <row r="1646" spans="1:11" ht="18.75" customHeight="1" outlineLevel="2">
      <c r="A1646" s="791" t="s">
        <v>776</v>
      </c>
      <c r="B1646" s="791" t="s">
        <v>1027</v>
      </c>
      <c r="C1646" s="791" t="s">
        <v>1022</v>
      </c>
      <c r="D1646" s="792" t="s">
        <v>779</v>
      </c>
      <c r="E1646" s="793" t="s">
        <v>662</v>
      </c>
      <c r="F1646" s="793" t="s">
        <v>896</v>
      </c>
      <c r="G1646" s="793" t="s">
        <v>794</v>
      </c>
      <c r="H1646" s="793" t="s">
        <v>828</v>
      </c>
      <c r="I1646" s="794">
        <v>0.11566196806015755</v>
      </c>
      <c r="J1646" s="794">
        <v>171.02820871150345</v>
      </c>
      <c r="K1646" s="771"/>
    </row>
    <row r="1647" spans="1:11" ht="18.75" customHeight="1" outlineLevel="2">
      <c r="A1647" s="791" t="s">
        <v>776</v>
      </c>
      <c r="B1647" s="791" t="s">
        <v>1027</v>
      </c>
      <c r="C1647" s="791" t="s">
        <v>1022</v>
      </c>
      <c r="D1647" s="792" t="s">
        <v>779</v>
      </c>
      <c r="E1647" s="793" t="s">
        <v>662</v>
      </c>
      <c r="F1647" s="793" t="s">
        <v>897</v>
      </c>
      <c r="G1647" s="793" t="s">
        <v>794</v>
      </c>
      <c r="H1647" s="793" t="s">
        <v>828</v>
      </c>
      <c r="I1647" s="794">
        <v>5.335725268252807E-2</v>
      </c>
      <c r="J1647" s="794">
        <v>90.434069246880199</v>
      </c>
      <c r="K1647" s="771"/>
    </row>
    <row r="1648" spans="1:11" ht="18.75" customHeight="1" outlineLevel="2">
      <c r="A1648" s="791" t="s">
        <v>776</v>
      </c>
      <c r="B1648" s="791" t="s">
        <v>1027</v>
      </c>
      <c r="C1648" s="791" t="s">
        <v>1022</v>
      </c>
      <c r="D1648" s="792" t="s">
        <v>779</v>
      </c>
      <c r="E1648" s="793" t="s">
        <v>662</v>
      </c>
      <c r="F1648" s="793" t="s">
        <v>898</v>
      </c>
      <c r="G1648" s="793" t="s">
        <v>794</v>
      </c>
      <c r="H1648" s="793" t="s">
        <v>828</v>
      </c>
      <c r="I1648" s="794">
        <v>0.12294670255657773</v>
      </c>
      <c r="J1648" s="794">
        <v>194.40875939508405</v>
      </c>
      <c r="K1648" s="771"/>
    </row>
    <row r="1649" spans="1:11" ht="18.75" customHeight="1" outlineLevel="2">
      <c r="A1649" s="791" t="s">
        <v>776</v>
      </c>
      <c r="B1649" s="791" t="s">
        <v>1027</v>
      </c>
      <c r="C1649" s="791" t="s">
        <v>1022</v>
      </c>
      <c r="D1649" s="792" t="s">
        <v>779</v>
      </c>
      <c r="E1649" s="793" t="s">
        <v>662</v>
      </c>
      <c r="F1649" s="793" t="s">
        <v>899</v>
      </c>
      <c r="G1649" s="793" t="s">
        <v>794</v>
      </c>
      <c r="H1649" s="793" t="s">
        <v>828</v>
      </c>
      <c r="I1649" s="794">
        <v>0.21658707231254218</v>
      </c>
      <c r="J1649" s="794">
        <v>307.16070765834638</v>
      </c>
      <c r="K1649" s="771"/>
    </row>
    <row r="1650" spans="1:11" ht="18.75" customHeight="1" outlineLevel="2">
      <c r="A1650" s="791" t="s">
        <v>776</v>
      </c>
      <c r="B1650" s="791" t="s">
        <v>1027</v>
      </c>
      <c r="C1650" s="791" t="s">
        <v>1022</v>
      </c>
      <c r="D1650" s="792" t="s">
        <v>779</v>
      </c>
      <c r="E1650" s="793" t="s">
        <v>662</v>
      </c>
      <c r="F1650" s="793" t="s">
        <v>900</v>
      </c>
      <c r="G1650" s="793" t="s">
        <v>794</v>
      </c>
      <c r="H1650" s="793" t="s">
        <v>828</v>
      </c>
      <c r="I1650" s="794">
        <v>1.0033909317341817E-2</v>
      </c>
      <c r="J1650" s="794">
        <v>14.411479652098139</v>
      </c>
      <c r="K1650" s="771"/>
    </row>
    <row r="1651" spans="1:11" ht="18.75" customHeight="1" outlineLevel="2">
      <c r="A1651" s="791" t="s">
        <v>776</v>
      </c>
      <c r="B1651" s="791" t="s">
        <v>1027</v>
      </c>
      <c r="C1651" s="791" t="s">
        <v>1022</v>
      </c>
      <c r="D1651" s="792" t="s">
        <v>779</v>
      </c>
      <c r="E1651" s="793" t="s">
        <v>662</v>
      </c>
      <c r="F1651" s="793" t="s">
        <v>901</v>
      </c>
      <c r="G1651" s="793" t="s">
        <v>833</v>
      </c>
      <c r="H1651" s="793" t="s">
        <v>834</v>
      </c>
      <c r="I1651" s="794">
        <v>3.6374294312727977E-2</v>
      </c>
      <c r="J1651" s="794">
        <v>38.009881102132134</v>
      </c>
      <c r="K1651" s="771"/>
    </row>
    <row r="1652" spans="1:11" ht="18.75" customHeight="1" outlineLevel="2">
      <c r="A1652" s="791" t="s">
        <v>776</v>
      </c>
      <c r="B1652" s="791" t="s">
        <v>1027</v>
      </c>
      <c r="C1652" s="791" t="s">
        <v>1022</v>
      </c>
      <c r="D1652" s="792" t="s">
        <v>779</v>
      </c>
      <c r="E1652" s="793" t="s">
        <v>662</v>
      </c>
      <c r="F1652" s="793" t="s">
        <v>902</v>
      </c>
      <c r="G1652" s="793" t="s">
        <v>833</v>
      </c>
      <c r="H1652" s="793" t="s">
        <v>834</v>
      </c>
      <c r="I1652" s="794">
        <v>3.1661763682654451E-4</v>
      </c>
      <c r="J1652" s="794">
        <v>0.40509578934836454</v>
      </c>
      <c r="K1652" s="771"/>
    </row>
    <row r="1653" spans="1:11" ht="18.75" customHeight="1" outlineLevel="2">
      <c r="A1653" s="791" t="s">
        <v>776</v>
      </c>
      <c r="B1653" s="791" t="s">
        <v>1027</v>
      </c>
      <c r="C1653" s="791" t="s">
        <v>1022</v>
      </c>
      <c r="D1653" s="792" t="s">
        <v>779</v>
      </c>
      <c r="E1653" s="793" t="s">
        <v>662</v>
      </c>
      <c r="F1653" s="793" t="s">
        <v>903</v>
      </c>
      <c r="G1653" s="793" t="s">
        <v>904</v>
      </c>
      <c r="H1653" s="793" t="s">
        <v>905</v>
      </c>
      <c r="I1653" s="794">
        <v>5.50124687896946</v>
      </c>
      <c r="J1653" s="794">
        <v>4680.5640486653219</v>
      </c>
      <c r="K1653" s="771"/>
    </row>
    <row r="1654" spans="1:11" ht="18.75" customHeight="1" outlineLevel="2">
      <c r="A1654" s="791" t="s">
        <v>776</v>
      </c>
      <c r="B1654" s="791" t="s">
        <v>1027</v>
      </c>
      <c r="C1654" s="791" t="s">
        <v>1022</v>
      </c>
      <c r="D1654" s="792" t="s">
        <v>779</v>
      </c>
      <c r="E1654" s="793" t="s">
        <v>662</v>
      </c>
      <c r="F1654" s="793" t="s">
        <v>906</v>
      </c>
      <c r="G1654" s="793" t="s">
        <v>904</v>
      </c>
      <c r="H1654" s="793" t="s">
        <v>905</v>
      </c>
      <c r="I1654" s="794">
        <v>2.3155448092596997</v>
      </c>
      <c r="J1654" s="794">
        <v>1975.4151428267835</v>
      </c>
      <c r="K1654" s="771"/>
    </row>
    <row r="1655" spans="1:11" ht="18.75" customHeight="1" outlineLevel="2">
      <c r="A1655" s="791" t="s">
        <v>776</v>
      </c>
      <c r="B1655" s="791" t="s">
        <v>1027</v>
      </c>
      <c r="C1655" s="791" t="s">
        <v>1022</v>
      </c>
      <c r="D1655" s="792" t="s">
        <v>779</v>
      </c>
      <c r="E1655" s="793" t="s">
        <v>662</v>
      </c>
      <c r="F1655" s="793" t="s">
        <v>907</v>
      </c>
      <c r="G1655" s="793" t="s">
        <v>908</v>
      </c>
      <c r="H1655" s="793" t="s">
        <v>905</v>
      </c>
      <c r="I1655" s="794">
        <v>2.5946563758971721</v>
      </c>
      <c r="J1655" s="794">
        <v>4363.0176235775962</v>
      </c>
      <c r="K1655" s="771"/>
    </row>
    <row r="1656" spans="1:11" ht="18.75" customHeight="1" outlineLevel="2">
      <c r="A1656" s="791" t="s">
        <v>776</v>
      </c>
      <c r="B1656" s="791" t="s">
        <v>1027</v>
      </c>
      <c r="C1656" s="791" t="s">
        <v>1022</v>
      </c>
      <c r="D1656" s="792" t="s">
        <v>779</v>
      </c>
      <c r="E1656" s="793" t="s">
        <v>662</v>
      </c>
      <c r="F1656" s="793" t="s">
        <v>909</v>
      </c>
      <c r="G1656" s="793" t="s">
        <v>910</v>
      </c>
      <c r="H1656" s="793" t="s">
        <v>911</v>
      </c>
      <c r="I1656" s="794">
        <v>1.147244466240718E-4</v>
      </c>
      <c r="J1656" s="794">
        <v>0.17123655948076563</v>
      </c>
      <c r="K1656" s="771"/>
    </row>
    <row r="1657" spans="1:11" ht="18.75" customHeight="1" outlineLevel="2">
      <c r="A1657" s="791" t="s">
        <v>776</v>
      </c>
      <c r="B1657" s="791" t="s">
        <v>1027</v>
      </c>
      <c r="C1657" s="791" t="s">
        <v>1022</v>
      </c>
      <c r="D1657" s="792" t="s">
        <v>779</v>
      </c>
      <c r="E1657" s="793" t="s">
        <v>763</v>
      </c>
      <c r="F1657" s="793" t="s">
        <v>912</v>
      </c>
      <c r="G1657" s="793" t="s">
        <v>799</v>
      </c>
      <c r="H1657" s="793" t="s">
        <v>913</v>
      </c>
      <c r="I1657" s="794">
        <v>3.8453088531034026E-3</v>
      </c>
      <c r="J1657" s="794">
        <v>7.3639532715053111</v>
      </c>
      <c r="K1657" s="771"/>
    </row>
    <row r="1658" spans="1:11" ht="18.75" customHeight="1" outlineLevel="2">
      <c r="A1658" s="791" t="s">
        <v>776</v>
      </c>
      <c r="B1658" s="791" t="s">
        <v>1027</v>
      </c>
      <c r="C1658" s="791" t="s">
        <v>1022</v>
      </c>
      <c r="D1658" s="792" t="s">
        <v>779</v>
      </c>
      <c r="E1658" s="793" t="s">
        <v>763</v>
      </c>
      <c r="F1658" s="793" t="s">
        <v>914</v>
      </c>
      <c r="G1658" s="793" t="s">
        <v>782</v>
      </c>
      <c r="H1658" s="793" t="s">
        <v>913</v>
      </c>
      <c r="I1658" s="794">
        <v>5.6143695841458935E-4</v>
      </c>
      <c r="J1658" s="794">
        <v>2.6134863321239914</v>
      </c>
      <c r="K1658" s="771"/>
    </row>
    <row r="1659" spans="1:11" ht="18.75" customHeight="1" outlineLevel="2">
      <c r="A1659" s="791" t="s">
        <v>776</v>
      </c>
      <c r="B1659" s="791" t="s">
        <v>1027</v>
      </c>
      <c r="C1659" s="791" t="s">
        <v>1022</v>
      </c>
      <c r="D1659" s="792" t="s">
        <v>779</v>
      </c>
      <c r="E1659" s="793" t="s">
        <v>763</v>
      </c>
      <c r="F1659" s="793" t="s">
        <v>915</v>
      </c>
      <c r="G1659" s="793" t="s">
        <v>782</v>
      </c>
      <c r="H1659" s="793" t="s">
        <v>913</v>
      </c>
      <c r="I1659" s="794">
        <v>3.0111665440067057E-4</v>
      </c>
      <c r="J1659" s="794">
        <v>4.3706667861417126</v>
      </c>
      <c r="K1659" s="771"/>
    </row>
    <row r="1660" spans="1:11" ht="18.75" customHeight="1" outlineLevel="2">
      <c r="A1660" s="791" t="s">
        <v>776</v>
      </c>
      <c r="B1660" s="791" t="s">
        <v>1027</v>
      </c>
      <c r="C1660" s="791" t="s">
        <v>1022</v>
      </c>
      <c r="D1660" s="792" t="s">
        <v>779</v>
      </c>
      <c r="E1660" s="793" t="s">
        <v>763</v>
      </c>
      <c r="F1660" s="793" t="s">
        <v>916</v>
      </c>
      <c r="G1660" s="793" t="s">
        <v>782</v>
      </c>
      <c r="H1660" s="793" t="s">
        <v>913</v>
      </c>
      <c r="I1660" s="794">
        <v>4.4645240291436476E-4</v>
      </c>
      <c r="J1660" s="794">
        <v>0.77185557462948429</v>
      </c>
      <c r="K1660" s="771"/>
    </row>
    <row r="1661" spans="1:11" ht="18.75" customHeight="1" outlineLevel="2">
      <c r="A1661" s="791" t="s">
        <v>776</v>
      </c>
      <c r="B1661" s="791" t="s">
        <v>1027</v>
      </c>
      <c r="C1661" s="791" t="s">
        <v>1022</v>
      </c>
      <c r="D1661" s="792" t="s">
        <v>779</v>
      </c>
      <c r="E1661" s="793" t="s">
        <v>763</v>
      </c>
      <c r="F1661" s="793" t="s">
        <v>917</v>
      </c>
      <c r="G1661" s="793" t="s">
        <v>782</v>
      </c>
      <c r="H1661" s="793" t="s">
        <v>913</v>
      </c>
      <c r="I1661" s="794">
        <v>8.1736126838632809E-5</v>
      </c>
      <c r="J1661" s="794">
        <v>0.44747989011300393</v>
      </c>
      <c r="K1661" s="771"/>
    </row>
    <row r="1662" spans="1:11" ht="18.75" customHeight="1" outlineLevel="2">
      <c r="A1662" s="791" t="s">
        <v>776</v>
      </c>
      <c r="B1662" s="791" t="s">
        <v>1027</v>
      </c>
      <c r="C1662" s="791" t="s">
        <v>1022</v>
      </c>
      <c r="D1662" s="792" t="s">
        <v>779</v>
      </c>
      <c r="E1662" s="793" t="s">
        <v>763</v>
      </c>
      <c r="F1662" s="793" t="s">
        <v>918</v>
      </c>
      <c r="G1662" s="793" t="s">
        <v>782</v>
      </c>
      <c r="H1662" s="793" t="s">
        <v>913</v>
      </c>
      <c r="I1662" s="794">
        <v>1.8091040913046142E-3</v>
      </c>
      <c r="J1662" s="794">
        <v>8.0825052709505965</v>
      </c>
      <c r="K1662" s="771"/>
    </row>
    <row r="1663" spans="1:11" ht="18.75" customHeight="1" outlineLevel="2">
      <c r="A1663" s="791" t="s">
        <v>776</v>
      </c>
      <c r="B1663" s="791" t="s">
        <v>1027</v>
      </c>
      <c r="C1663" s="791" t="s">
        <v>1022</v>
      </c>
      <c r="D1663" s="792" t="s">
        <v>779</v>
      </c>
      <c r="E1663" s="793" t="s">
        <v>763</v>
      </c>
      <c r="F1663" s="793" t="s">
        <v>919</v>
      </c>
      <c r="G1663" s="793" t="s">
        <v>782</v>
      </c>
      <c r="H1663" s="793" t="s">
        <v>913</v>
      </c>
      <c r="I1663" s="794">
        <v>3.4604914613040193E-3</v>
      </c>
      <c r="J1663" s="794">
        <v>4.0596706758872889</v>
      </c>
      <c r="K1663" s="771"/>
    </row>
    <row r="1664" spans="1:11" ht="18.75" customHeight="1" outlineLevel="2">
      <c r="A1664" s="791" t="s">
        <v>776</v>
      </c>
      <c r="B1664" s="791" t="s">
        <v>1027</v>
      </c>
      <c r="C1664" s="791" t="s">
        <v>1022</v>
      </c>
      <c r="D1664" s="792" t="s">
        <v>779</v>
      </c>
      <c r="E1664" s="793" t="s">
        <v>763</v>
      </c>
      <c r="F1664" s="793" t="s">
        <v>920</v>
      </c>
      <c r="G1664" s="793" t="s">
        <v>782</v>
      </c>
      <c r="H1664" s="793" t="s">
        <v>913</v>
      </c>
      <c r="I1664" s="794">
        <v>3.7585486534214322E-4</v>
      </c>
      <c r="J1664" s="794">
        <v>7.4778069515617061</v>
      </c>
      <c r="K1664" s="771"/>
    </row>
    <row r="1665" spans="1:11" ht="18.75" customHeight="1" outlineLevel="2">
      <c r="A1665" s="791" t="s">
        <v>776</v>
      </c>
      <c r="B1665" s="791" t="s">
        <v>1027</v>
      </c>
      <c r="C1665" s="791" t="s">
        <v>1022</v>
      </c>
      <c r="D1665" s="792" t="s">
        <v>779</v>
      </c>
      <c r="E1665" s="793" t="s">
        <v>763</v>
      </c>
      <c r="F1665" s="793" t="s">
        <v>921</v>
      </c>
      <c r="G1665" s="793" t="s">
        <v>782</v>
      </c>
      <c r="H1665" s="793" t="s">
        <v>913</v>
      </c>
      <c r="I1665" s="794">
        <v>1.7444384759290334E-3</v>
      </c>
      <c r="J1665" s="794">
        <v>3.0469618571003689</v>
      </c>
      <c r="K1665" s="771"/>
    </row>
    <row r="1666" spans="1:11" ht="18.75" customHeight="1" outlineLevel="2">
      <c r="A1666" s="791" t="s">
        <v>776</v>
      </c>
      <c r="B1666" s="791" t="s">
        <v>1027</v>
      </c>
      <c r="C1666" s="791" t="s">
        <v>1022</v>
      </c>
      <c r="D1666" s="792" t="s">
        <v>779</v>
      </c>
      <c r="E1666" s="793" t="s">
        <v>763</v>
      </c>
      <c r="F1666" s="793" t="s">
        <v>922</v>
      </c>
      <c r="G1666" s="793" t="s">
        <v>782</v>
      </c>
      <c r="H1666" s="793" t="s">
        <v>913</v>
      </c>
      <c r="I1666" s="794">
        <v>2.6077343878501148E-4</v>
      </c>
      <c r="J1666" s="794">
        <v>0.49939708957558515</v>
      </c>
      <c r="K1666" s="771"/>
    </row>
    <row r="1667" spans="1:11" ht="18.75" customHeight="1" outlineLevel="2">
      <c r="A1667" s="791" t="s">
        <v>776</v>
      </c>
      <c r="B1667" s="791" t="s">
        <v>1027</v>
      </c>
      <c r="C1667" s="791" t="s">
        <v>1022</v>
      </c>
      <c r="D1667" s="792" t="s">
        <v>779</v>
      </c>
      <c r="E1667" s="793" t="s">
        <v>763</v>
      </c>
      <c r="F1667" s="793" t="s">
        <v>923</v>
      </c>
      <c r="G1667" s="793" t="s">
        <v>782</v>
      </c>
      <c r="H1667" s="793" t="s">
        <v>913</v>
      </c>
      <c r="I1667" s="794">
        <v>1.4291711101378311E-3</v>
      </c>
      <c r="J1667" s="794">
        <v>5.1928600425237024</v>
      </c>
      <c r="K1667" s="771"/>
    </row>
    <row r="1668" spans="1:11" ht="18.75" customHeight="1" outlineLevel="2">
      <c r="A1668" s="791" t="s">
        <v>776</v>
      </c>
      <c r="B1668" s="791" t="s">
        <v>1027</v>
      </c>
      <c r="C1668" s="791" t="s">
        <v>1022</v>
      </c>
      <c r="D1668" s="792" t="s">
        <v>779</v>
      </c>
      <c r="E1668" s="793" t="s">
        <v>763</v>
      </c>
      <c r="F1668" s="793" t="s">
        <v>924</v>
      </c>
      <c r="G1668" s="793" t="s">
        <v>782</v>
      </c>
      <c r="H1668" s="793" t="s">
        <v>913</v>
      </c>
      <c r="I1668" s="794">
        <v>1.1774043005685921E-3</v>
      </c>
      <c r="J1668" s="794">
        <v>12.539617768431107</v>
      </c>
      <c r="K1668" s="771"/>
    </row>
    <row r="1669" spans="1:11" ht="18.75" customHeight="1" outlineLevel="2">
      <c r="A1669" s="791" t="s">
        <v>776</v>
      </c>
      <c r="B1669" s="791" t="s">
        <v>1027</v>
      </c>
      <c r="C1669" s="791" t="s">
        <v>1022</v>
      </c>
      <c r="D1669" s="792" t="s">
        <v>779</v>
      </c>
      <c r="E1669" s="793" t="s">
        <v>763</v>
      </c>
      <c r="F1669" s="793" t="s">
        <v>925</v>
      </c>
      <c r="G1669" s="793" t="s">
        <v>782</v>
      </c>
      <c r="H1669" s="793" t="s">
        <v>913</v>
      </c>
      <c r="I1669" s="794">
        <v>8.2847489387778418E-5</v>
      </c>
      <c r="J1669" s="794">
        <v>1.3193315813653459</v>
      </c>
      <c r="K1669" s="771"/>
    </row>
    <row r="1670" spans="1:11" ht="18.75" customHeight="1" outlineLevel="2">
      <c r="A1670" s="791" t="s">
        <v>776</v>
      </c>
      <c r="B1670" s="791" t="s">
        <v>1027</v>
      </c>
      <c r="C1670" s="791" t="s">
        <v>1022</v>
      </c>
      <c r="D1670" s="792" t="s">
        <v>779</v>
      </c>
      <c r="E1670" s="793" t="s">
        <v>763</v>
      </c>
      <c r="F1670" s="793" t="s">
        <v>926</v>
      </c>
      <c r="G1670" s="793" t="s">
        <v>782</v>
      </c>
      <c r="H1670" s="793" t="s">
        <v>913</v>
      </c>
      <c r="I1670" s="794">
        <v>6.1439454011401762E-3</v>
      </c>
      <c r="J1670" s="794">
        <v>11.295052947422464</v>
      </c>
      <c r="K1670" s="771"/>
    </row>
    <row r="1671" spans="1:11" ht="18.75" customHeight="1" outlineLevel="2">
      <c r="A1671" s="791" t="s">
        <v>776</v>
      </c>
      <c r="B1671" s="791" t="s">
        <v>1027</v>
      </c>
      <c r="C1671" s="791" t="s">
        <v>1022</v>
      </c>
      <c r="D1671" s="792" t="s">
        <v>779</v>
      </c>
      <c r="E1671" s="793" t="s">
        <v>763</v>
      </c>
      <c r="F1671" s="793" t="s">
        <v>927</v>
      </c>
      <c r="G1671" s="793" t="s">
        <v>782</v>
      </c>
      <c r="H1671" s="793" t="s">
        <v>913</v>
      </c>
      <c r="I1671" s="794">
        <v>3.4246281638191777E-3</v>
      </c>
      <c r="J1671" s="794">
        <v>4.7402194481966422</v>
      </c>
      <c r="K1671" s="771"/>
    </row>
    <row r="1672" spans="1:11" ht="18.75" customHeight="1" outlineLevel="2">
      <c r="A1672" s="791" t="s">
        <v>776</v>
      </c>
      <c r="B1672" s="791" t="s">
        <v>1027</v>
      </c>
      <c r="C1672" s="791" t="s">
        <v>1022</v>
      </c>
      <c r="D1672" s="792" t="s">
        <v>779</v>
      </c>
      <c r="E1672" s="793" t="s">
        <v>763</v>
      </c>
      <c r="F1672" s="793" t="s">
        <v>928</v>
      </c>
      <c r="G1672" s="793" t="s">
        <v>785</v>
      </c>
      <c r="H1672" s="793" t="s">
        <v>913</v>
      </c>
      <c r="I1672" s="794">
        <v>4.2349305760430852E-3</v>
      </c>
      <c r="J1672" s="794">
        <v>13.036765183150951</v>
      </c>
      <c r="K1672" s="771"/>
    </row>
    <row r="1673" spans="1:11" ht="18.75" customHeight="1" outlineLevel="2">
      <c r="A1673" s="791" t="s">
        <v>776</v>
      </c>
      <c r="B1673" s="791" t="s">
        <v>1027</v>
      </c>
      <c r="C1673" s="791" t="s">
        <v>1022</v>
      </c>
      <c r="D1673" s="792" t="s">
        <v>779</v>
      </c>
      <c r="E1673" s="793" t="s">
        <v>763</v>
      </c>
      <c r="F1673" s="793" t="s">
        <v>929</v>
      </c>
      <c r="G1673" s="793" t="s">
        <v>785</v>
      </c>
      <c r="H1673" s="793" t="s">
        <v>913</v>
      </c>
      <c r="I1673" s="794">
        <v>8.4193242192742254E-2</v>
      </c>
      <c r="J1673" s="794">
        <v>1185.8365079356627</v>
      </c>
      <c r="K1673" s="771"/>
    </row>
    <row r="1674" spans="1:11" ht="18.75" customHeight="1" outlineLevel="2">
      <c r="A1674" s="791" t="s">
        <v>776</v>
      </c>
      <c r="B1674" s="791" t="s">
        <v>1027</v>
      </c>
      <c r="C1674" s="791" t="s">
        <v>1022</v>
      </c>
      <c r="D1674" s="792" t="s">
        <v>779</v>
      </c>
      <c r="E1674" s="793" t="s">
        <v>763</v>
      </c>
      <c r="F1674" s="793" t="s">
        <v>930</v>
      </c>
      <c r="G1674" s="793" t="s">
        <v>785</v>
      </c>
      <c r="H1674" s="793" t="s">
        <v>913</v>
      </c>
      <c r="I1674" s="794">
        <v>5.0124484234517015E-4</v>
      </c>
      <c r="J1674" s="794">
        <v>8.8340243942588934</v>
      </c>
      <c r="K1674" s="771"/>
    </row>
    <row r="1675" spans="1:11" ht="18.75" customHeight="1" outlineLevel="2">
      <c r="A1675" s="791" t="s">
        <v>776</v>
      </c>
      <c r="B1675" s="791" t="s">
        <v>1027</v>
      </c>
      <c r="C1675" s="791" t="s">
        <v>1022</v>
      </c>
      <c r="D1675" s="792" t="s">
        <v>779</v>
      </c>
      <c r="E1675" s="793" t="s">
        <v>763</v>
      </c>
      <c r="F1675" s="793" t="s">
        <v>931</v>
      </c>
      <c r="G1675" s="793" t="s">
        <v>785</v>
      </c>
      <c r="H1675" s="793" t="s">
        <v>913</v>
      </c>
      <c r="I1675" s="794">
        <v>1.6767632377920276E-4</v>
      </c>
      <c r="J1675" s="794">
        <v>2.7865668434686808</v>
      </c>
      <c r="K1675" s="771"/>
    </row>
    <row r="1676" spans="1:11" ht="18.75" customHeight="1" outlineLevel="2">
      <c r="A1676" s="791" t="s">
        <v>776</v>
      </c>
      <c r="B1676" s="791" t="s">
        <v>1027</v>
      </c>
      <c r="C1676" s="791" t="s">
        <v>1022</v>
      </c>
      <c r="D1676" s="792" t="s">
        <v>779</v>
      </c>
      <c r="E1676" s="793" t="s">
        <v>763</v>
      </c>
      <c r="F1676" s="793" t="s">
        <v>932</v>
      </c>
      <c r="G1676" s="793" t="s">
        <v>785</v>
      </c>
      <c r="H1676" s="793" t="s">
        <v>913</v>
      </c>
      <c r="I1676" s="794">
        <v>1.79036553054221E-4</v>
      </c>
      <c r="J1676" s="794">
        <v>0.68819875697577915</v>
      </c>
      <c r="K1676" s="771"/>
    </row>
    <row r="1677" spans="1:11" ht="18.75" customHeight="1" outlineLevel="2">
      <c r="A1677" s="791" t="s">
        <v>776</v>
      </c>
      <c r="B1677" s="791" t="s">
        <v>1027</v>
      </c>
      <c r="C1677" s="791" t="s">
        <v>1022</v>
      </c>
      <c r="D1677" s="792" t="s">
        <v>779</v>
      </c>
      <c r="E1677" s="793" t="s">
        <v>763</v>
      </c>
      <c r="F1677" s="793" t="s">
        <v>933</v>
      </c>
      <c r="G1677" s="793" t="s">
        <v>785</v>
      </c>
      <c r="H1677" s="793" t="s">
        <v>913</v>
      </c>
      <c r="I1677" s="794">
        <v>2.5130002984372822E-4</v>
      </c>
      <c r="J1677" s="794">
        <v>5.4730881530130144</v>
      </c>
      <c r="K1677" s="771"/>
    </row>
    <row r="1678" spans="1:11" ht="18.75" customHeight="1" outlineLevel="2">
      <c r="A1678" s="791" t="s">
        <v>776</v>
      </c>
      <c r="B1678" s="791" t="s">
        <v>1027</v>
      </c>
      <c r="C1678" s="791" t="s">
        <v>1022</v>
      </c>
      <c r="D1678" s="792" t="s">
        <v>779</v>
      </c>
      <c r="E1678" s="793" t="s">
        <v>763</v>
      </c>
      <c r="F1678" s="793" t="s">
        <v>934</v>
      </c>
      <c r="G1678" s="793" t="s">
        <v>813</v>
      </c>
      <c r="H1678" s="793" t="s">
        <v>913</v>
      </c>
      <c r="I1678" s="794">
        <v>2.6259780893491073E-3</v>
      </c>
      <c r="J1678" s="794">
        <v>39.794849222222552</v>
      </c>
      <c r="K1678" s="771"/>
    </row>
    <row r="1679" spans="1:11" ht="18.75" customHeight="1" outlineLevel="2">
      <c r="A1679" s="791" t="s">
        <v>776</v>
      </c>
      <c r="B1679" s="791" t="s">
        <v>1027</v>
      </c>
      <c r="C1679" s="791" t="s">
        <v>1022</v>
      </c>
      <c r="D1679" s="792" t="s">
        <v>779</v>
      </c>
      <c r="E1679" s="793" t="s">
        <v>763</v>
      </c>
      <c r="F1679" s="793" t="s">
        <v>935</v>
      </c>
      <c r="G1679" s="793" t="s">
        <v>791</v>
      </c>
      <c r="H1679" s="793" t="s">
        <v>913</v>
      </c>
      <c r="I1679" s="794">
        <v>1.2480467254041986E-5</v>
      </c>
      <c r="J1679" s="794">
        <v>1.5726417838511621E-2</v>
      </c>
      <c r="K1679" s="771"/>
    </row>
    <row r="1680" spans="1:11" ht="18.75" customHeight="1" outlineLevel="2">
      <c r="A1680" s="791" t="s">
        <v>776</v>
      </c>
      <c r="B1680" s="791" t="s">
        <v>1027</v>
      </c>
      <c r="C1680" s="791" t="s">
        <v>1022</v>
      </c>
      <c r="D1680" s="792" t="s">
        <v>779</v>
      </c>
      <c r="E1680" s="793" t="s">
        <v>763</v>
      </c>
      <c r="F1680" s="793" t="s">
        <v>936</v>
      </c>
      <c r="G1680" s="793" t="s">
        <v>791</v>
      </c>
      <c r="H1680" s="793" t="s">
        <v>913</v>
      </c>
      <c r="I1680" s="794">
        <v>1.808304880697405E-6</v>
      </c>
      <c r="J1680" s="794">
        <v>3.063063767889055E-2</v>
      </c>
      <c r="K1680" s="771"/>
    </row>
    <row r="1681" spans="1:11" ht="18.75" customHeight="1" outlineLevel="2">
      <c r="A1681" s="791" t="s">
        <v>776</v>
      </c>
      <c r="B1681" s="791" t="s">
        <v>1027</v>
      </c>
      <c r="C1681" s="791" t="s">
        <v>1022</v>
      </c>
      <c r="D1681" s="792" t="s">
        <v>779</v>
      </c>
      <c r="E1681" s="793" t="s">
        <v>763</v>
      </c>
      <c r="F1681" s="793" t="s">
        <v>937</v>
      </c>
      <c r="G1681" s="793" t="s">
        <v>794</v>
      </c>
      <c r="H1681" s="793" t="s">
        <v>913</v>
      </c>
      <c r="I1681" s="794">
        <v>2.6755509821783995E-2</v>
      </c>
      <c r="J1681" s="794">
        <v>65.693406295268318</v>
      </c>
      <c r="K1681" s="771"/>
    </row>
    <row r="1682" spans="1:11" ht="18.75" customHeight="1" outlineLevel="2">
      <c r="A1682" s="791" t="s">
        <v>776</v>
      </c>
      <c r="B1682" s="791" t="s">
        <v>1027</v>
      </c>
      <c r="C1682" s="791" t="s">
        <v>1022</v>
      </c>
      <c r="D1682" s="792" t="s">
        <v>779</v>
      </c>
      <c r="E1682" s="793" t="s">
        <v>763</v>
      </c>
      <c r="F1682" s="793" t="s">
        <v>938</v>
      </c>
      <c r="G1682" s="793" t="s">
        <v>794</v>
      </c>
      <c r="H1682" s="793" t="s">
        <v>913</v>
      </c>
      <c r="I1682" s="794">
        <v>3.1482217902007209E-3</v>
      </c>
      <c r="J1682" s="794">
        <v>14.37946314145719</v>
      </c>
      <c r="K1682" s="771"/>
    </row>
    <row r="1683" spans="1:11" ht="18.75" customHeight="1" outlineLevel="2">
      <c r="A1683" s="791" t="s">
        <v>776</v>
      </c>
      <c r="B1683" s="791" t="s">
        <v>1027</v>
      </c>
      <c r="C1683" s="791" t="s">
        <v>1022</v>
      </c>
      <c r="D1683" s="792" t="s">
        <v>779</v>
      </c>
      <c r="E1683" s="793" t="s">
        <v>763</v>
      </c>
      <c r="F1683" s="793" t="s">
        <v>939</v>
      </c>
      <c r="G1683" s="793" t="s">
        <v>794</v>
      </c>
      <c r="H1683" s="793" t="s">
        <v>913</v>
      </c>
      <c r="I1683" s="794">
        <v>1.6415109911413731E-3</v>
      </c>
      <c r="J1683" s="794">
        <v>16.790522517310379</v>
      </c>
      <c r="K1683" s="771"/>
    </row>
    <row r="1684" spans="1:11" ht="18.75" customHeight="1" outlineLevel="2">
      <c r="A1684" s="791" t="s">
        <v>776</v>
      </c>
      <c r="B1684" s="791" t="s">
        <v>1027</v>
      </c>
      <c r="C1684" s="791" t="s">
        <v>1022</v>
      </c>
      <c r="D1684" s="792" t="s">
        <v>779</v>
      </c>
      <c r="E1684" s="793" t="s">
        <v>763</v>
      </c>
      <c r="F1684" s="793" t="s">
        <v>940</v>
      </c>
      <c r="G1684" s="793" t="s">
        <v>794</v>
      </c>
      <c r="H1684" s="793" t="s">
        <v>913</v>
      </c>
      <c r="I1684" s="794">
        <v>2.7175115617738476E-3</v>
      </c>
      <c r="J1684" s="794">
        <v>20.868163409757869</v>
      </c>
      <c r="K1684" s="771"/>
    </row>
    <row r="1685" spans="1:11" ht="18.75" customHeight="1" outlineLevel="2">
      <c r="A1685" s="791" t="s">
        <v>776</v>
      </c>
      <c r="B1685" s="791" t="s">
        <v>1027</v>
      </c>
      <c r="C1685" s="791" t="s">
        <v>1022</v>
      </c>
      <c r="D1685" s="792" t="s">
        <v>779</v>
      </c>
      <c r="E1685" s="793" t="s">
        <v>763</v>
      </c>
      <c r="F1685" s="793" t="s">
        <v>941</v>
      </c>
      <c r="G1685" s="793" t="s">
        <v>794</v>
      </c>
      <c r="H1685" s="793" t="s">
        <v>913</v>
      </c>
      <c r="I1685" s="794">
        <v>9.4069776647604081E-5</v>
      </c>
      <c r="J1685" s="794">
        <v>0.2838185788648393</v>
      </c>
      <c r="K1685" s="771"/>
    </row>
    <row r="1686" spans="1:11" ht="18.75" customHeight="1" outlineLevel="2">
      <c r="A1686" s="791" t="s">
        <v>776</v>
      </c>
      <c r="B1686" s="791" t="s">
        <v>1027</v>
      </c>
      <c r="C1686" s="791" t="s">
        <v>1022</v>
      </c>
      <c r="D1686" s="792" t="s">
        <v>779</v>
      </c>
      <c r="E1686" s="793" t="s">
        <v>763</v>
      </c>
      <c r="F1686" s="793" t="s">
        <v>942</v>
      </c>
      <c r="G1686" s="793" t="s">
        <v>794</v>
      </c>
      <c r="H1686" s="793" t="s">
        <v>913</v>
      </c>
      <c r="I1686" s="794">
        <v>2.2299064358032722E-5</v>
      </c>
      <c r="J1686" s="794">
        <v>0.25768270669857452</v>
      </c>
      <c r="K1686" s="771"/>
    </row>
    <row r="1687" spans="1:11" ht="18.75" customHeight="1" outlineLevel="2">
      <c r="A1687" s="791" t="s">
        <v>776</v>
      </c>
      <c r="B1687" s="791" t="s">
        <v>1027</v>
      </c>
      <c r="C1687" s="791" t="s">
        <v>1022</v>
      </c>
      <c r="D1687" s="792" t="s">
        <v>779</v>
      </c>
      <c r="E1687" s="793" t="s">
        <v>763</v>
      </c>
      <c r="F1687" s="793" t="s">
        <v>943</v>
      </c>
      <c r="G1687" s="793" t="s">
        <v>944</v>
      </c>
      <c r="H1687" s="793" t="s">
        <v>913</v>
      </c>
      <c r="I1687" s="794">
        <v>1.203141077876464E-6</v>
      </c>
      <c r="J1687" s="794">
        <v>5.1979808114788889E-3</v>
      </c>
      <c r="K1687" s="771"/>
    </row>
    <row r="1688" spans="1:11" ht="18.75" customHeight="1" outlineLevel="2">
      <c r="A1688" s="791" t="s">
        <v>776</v>
      </c>
      <c r="B1688" s="791" t="s">
        <v>1027</v>
      </c>
      <c r="C1688" s="791" t="s">
        <v>1022</v>
      </c>
      <c r="D1688" s="792" t="s">
        <v>779</v>
      </c>
      <c r="E1688" s="793" t="s">
        <v>764</v>
      </c>
      <c r="F1688" s="793" t="s">
        <v>945</v>
      </c>
      <c r="G1688" s="793" t="s">
        <v>244</v>
      </c>
      <c r="H1688" s="793" t="s">
        <v>905</v>
      </c>
      <c r="I1688" s="794">
        <v>9.2114179667585269E-2</v>
      </c>
      <c r="J1688" s="794">
        <v>3315.2610834160082</v>
      </c>
      <c r="K1688" s="771"/>
    </row>
    <row r="1689" spans="1:11" ht="18.75" customHeight="1" outlineLevel="2">
      <c r="A1689" s="791" t="s">
        <v>776</v>
      </c>
      <c r="B1689" s="791" t="s">
        <v>1027</v>
      </c>
      <c r="C1689" s="791" t="s">
        <v>1022</v>
      </c>
      <c r="D1689" s="792" t="s">
        <v>779</v>
      </c>
      <c r="E1689" s="793" t="s">
        <v>764</v>
      </c>
      <c r="F1689" s="793" t="s">
        <v>946</v>
      </c>
      <c r="G1689" s="793" t="s">
        <v>244</v>
      </c>
      <c r="H1689" s="793" t="s">
        <v>905</v>
      </c>
      <c r="I1689" s="794">
        <v>4.8823825997822536E-4</v>
      </c>
      <c r="J1689" s="794">
        <v>9.2616057489496253</v>
      </c>
      <c r="K1689" s="771"/>
    </row>
    <row r="1690" spans="1:11" ht="18.75" customHeight="1" outlineLevel="2">
      <c r="A1690" s="791" t="s">
        <v>776</v>
      </c>
      <c r="B1690" s="791" t="s">
        <v>1027</v>
      </c>
      <c r="C1690" s="791" t="s">
        <v>1022</v>
      </c>
      <c r="D1690" s="792" t="s">
        <v>779</v>
      </c>
      <c r="E1690" s="793" t="s">
        <v>947</v>
      </c>
      <c r="F1690" s="793" t="s">
        <v>948</v>
      </c>
      <c r="G1690" s="793" t="s">
        <v>799</v>
      </c>
      <c r="H1690" s="793" t="s">
        <v>800</v>
      </c>
      <c r="I1690" s="794">
        <v>4.661726690934313E-3</v>
      </c>
      <c r="J1690" s="794">
        <v>115.24447296446014</v>
      </c>
      <c r="K1690" s="771"/>
    </row>
    <row r="1691" spans="1:11" ht="18.75" customHeight="1" outlineLevel="2">
      <c r="A1691" s="791" t="s">
        <v>776</v>
      </c>
      <c r="B1691" s="791" t="s">
        <v>1027</v>
      </c>
      <c r="C1691" s="791" t="s">
        <v>1022</v>
      </c>
      <c r="D1691" s="792" t="s">
        <v>779</v>
      </c>
      <c r="E1691" s="793" t="s">
        <v>947</v>
      </c>
      <c r="F1691" s="793" t="s">
        <v>949</v>
      </c>
      <c r="G1691" s="793" t="s">
        <v>782</v>
      </c>
      <c r="H1691" s="793" t="s">
        <v>804</v>
      </c>
      <c r="I1691" s="794">
        <v>5.3595547519357705E-3</v>
      </c>
      <c r="J1691" s="794">
        <v>312.57158944249329</v>
      </c>
      <c r="K1691" s="771"/>
    </row>
    <row r="1692" spans="1:11" ht="18.75" customHeight="1" outlineLevel="2">
      <c r="A1692" s="791" t="s">
        <v>776</v>
      </c>
      <c r="B1692" s="791" t="s">
        <v>1027</v>
      </c>
      <c r="C1692" s="791" t="s">
        <v>1022</v>
      </c>
      <c r="D1692" s="792" t="s">
        <v>779</v>
      </c>
      <c r="E1692" s="793" t="s">
        <v>947</v>
      </c>
      <c r="F1692" s="793" t="s">
        <v>950</v>
      </c>
      <c r="G1692" s="793" t="s">
        <v>782</v>
      </c>
      <c r="H1692" s="793" t="s">
        <v>804</v>
      </c>
      <c r="I1692" s="794">
        <v>4.6083059479103845E-5</v>
      </c>
      <c r="J1692" s="794">
        <v>0.50901618354692935</v>
      </c>
      <c r="K1692" s="771"/>
    </row>
    <row r="1693" spans="1:11" ht="18.75" customHeight="1" outlineLevel="2">
      <c r="A1693" s="791" t="s">
        <v>776</v>
      </c>
      <c r="B1693" s="791" t="s">
        <v>1027</v>
      </c>
      <c r="C1693" s="791" t="s">
        <v>1022</v>
      </c>
      <c r="D1693" s="792" t="s">
        <v>779</v>
      </c>
      <c r="E1693" s="793" t="s">
        <v>947</v>
      </c>
      <c r="F1693" s="793" t="s">
        <v>951</v>
      </c>
      <c r="G1693" s="793" t="s">
        <v>782</v>
      </c>
      <c r="H1693" s="793" t="s">
        <v>804</v>
      </c>
      <c r="I1693" s="794">
        <v>6.6832277330110615E-4</v>
      </c>
      <c r="J1693" s="794">
        <v>8.3848837238744363</v>
      </c>
      <c r="K1693" s="771"/>
    </row>
    <row r="1694" spans="1:11" ht="18.75" customHeight="1" outlineLevel="2">
      <c r="A1694" s="791" t="s">
        <v>776</v>
      </c>
      <c r="B1694" s="791" t="s">
        <v>1027</v>
      </c>
      <c r="C1694" s="791" t="s">
        <v>1022</v>
      </c>
      <c r="D1694" s="792" t="s">
        <v>779</v>
      </c>
      <c r="E1694" s="793" t="s">
        <v>947</v>
      </c>
      <c r="F1694" s="793" t="s">
        <v>952</v>
      </c>
      <c r="G1694" s="793" t="s">
        <v>782</v>
      </c>
      <c r="H1694" s="793" t="s">
        <v>804</v>
      </c>
      <c r="I1694" s="794">
        <v>1.5261846024929472E-2</v>
      </c>
      <c r="J1694" s="794">
        <v>782.41391843372014</v>
      </c>
      <c r="K1694" s="771"/>
    </row>
    <row r="1695" spans="1:11" ht="18.75" customHeight="1" outlineLevel="2">
      <c r="A1695" s="791" t="s">
        <v>776</v>
      </c>
      <c r="B1695" s="791" t="s">
        <v>1027</v>
      </c>
      <c r="C1695" s="791" t="s">
        <v>1022</v>
      </c>
      <c r="D1695" s="792" t="s">
        <v>779</v>
      </c>
      <c r="E1695" s="793" t="s">
        <v>947</v>
      </c>
      <c r="F1695" s="793" t="s">
        <v>953</v>
      </c>
      <c r="G1695" s="793" t="s">
        <v>782</v>
      </c>
      <c r="H1695" s="793" t="s">
        <v>804</v>
      </c>
      <c r="I1695" s="794">
        <v>1.1585678492965329E-2</v>
      </c>
      <c r="J1695" s="794">
        <v>851.31929757781711</v>
      </c>
      <c r="K1695" s="771"/>
    </row>
    <row r="1696" spans="1:11" ht="18.75" customHeight="1" outlineLevel="2">
      <c r="A1696" s="791" t="s">
        <v>776</v>
      </c>
      <c r="B1696" s="791" t="s">
        <v>1027</v>
      </c>
      <c r="C1696" s="791" t="s">
        <v>1022</v>
      </c>
      <c r="D1696" s="792" t="s">
        <v>779</v>
      </c>
      <c r="E1696" s="793" t="s">
        <v>947</v>
      </c>
      <c r="F1696" s="793" t="s">
        <v>954</v>
      </c>
      <c r="G1696" s="793" t="s">
        <v>782</v>
      </c>
      <c r="H1696" s="793" t="s">
        <v>804</v>
      </c>
      <c r="I1696" s="794">
        <v>1.3089398256453983E-3</v>
      </c>
      <c r="J1696" s="794">
        <v>47.008263226921308</v>
      </c>
      <c r="K1696" s="771"/>
    </row>
    <row r="1697" spans="1:11" ht="18.75" customHeight="1" outlineLevel="2">
      <c r="A1697" s="791" t="s">
        <v>776</v>
      </c>
      <c r="B1697" s="791" t="s">
        <v>1027</v>
      </c>
      <c r="C1697" s="791" t="s">
        <v>1022</v>
      </c>
      <c r="D1697" s="792" t="s">
        <v>779</v>
      </c>
      <c r="E1697" s="793" t="s">
        <v>947</v>
      </c>
      <c r="F1697" s="793" t="s">
        <v>955</v>
      </c>
      <c r="G1697" s="793" t="s">
        <v>782</v>
      </c>
      <c r="H1697" s="793" t="s">
        <v>804</v>
      </c>
      <c r="I1697" s="794">
        <v>6.9621319996016843E-4</v>
      </c>
      <c r="J1697" s="794">
        <v>32.010598767450325</v>
      </c>
      <c r="K1697" s="771"/>
    </row>
    <row r="1698" spans="1:11" ht="18.75" customHeight="1" outlineLevel="2">
      <c r="A1698" s="791" t="s">
        <v>776</v>
      </c>
      <c r="B1698" s="791" t="s">
        <v>1027</v>
      </c>
      <c r="C1698" s="791" t="s">
        <v>1022</v>
      </c>
      <c r="D1698" s="792" t="s">
        <v>779</v>
      </c>
      <c r="E1698" s="793" t="s">
        <v>947</v>
      </c>
      <c r="F1698" s="793" t="s">
        <v>956</v>
      </c>
      <c r="G1698" s="793" t="s">
        <v>782</v>
      </c>
      <c r="H1698" s="793" t="s">
        <v>804</v>
      </c>
      <c r="I1698" s="794">
        <v>3.7003466417940148E-3</v>
      </c>
      <c r="J1698" s="794">
        <v>87.904195146857631</v>
      </c>
      <c r="K1698" s="771"/>
    </row>
    <row r="1699" spans="1:11" ht="18.75" customHeight="1" outlineLevel="2">
      <c r="A1699" s="791" t="s">
        <v>776</v>
      </c>
      <c r="B1699" s="791" t="s">
        <v>1027</v>
      </c>
      <c r="C1699" s="791" t="s">
        <v>1022</v>
      </c>
      <c r="D1699" s="792" t="s">
        <v>779</v>
      </c>
      <c r="E1699" s="793" t="s">
        <v>947</v>
      </c>
      <c r="F1699" s="793" t="s">
        <v>957</v>
      </c>
      <c r="G1699" s="793" t="s">
        <v>782</v>
      </c>
      <c r="H1699" s="793" t="s">
        <v>804</v>
      </c>
      <c r="I1699" s="794">
        <v>1.0607831832997584E-2</v>
      </c>
      <c r="J1699" s="794">
        <v>376.16534642165499</v>
      </c>
      <c r="K1699" s="771"/>
    </row>
    <row r="1700" spans="1:11" ht="18.75" customHeight="1" outlineLevel="2">
      <c r="A1700" s="791" t="s">
        <v>776</v>
      </c>
      <c r="B1700" s="791" t="s">
        <v>1027</v>
      </c>
      <c r="C1700" s="791" t="s">
        <v>1022</v>
      </c>
      <c r="D1700" s="792" t="s">
        <v>779</v>
      </c>
      <c r="E1700" s="793" t="s">
        <v>947</v>
      </c>
      <c r="F1700" s="793" t="s">
        <v>958</v>
      </c>
      <c r="G1700" s="793" t="s">
        <v>782</v>
      </c>
      <c r="H1700" s="793" t="s">
        <v>804</v>
      </c>
      <c r="I1700" s="794">
        <v>7.4993909885453392E-3</v>
      </c>
      <c r="J1700" s="794">
        <v>413.00621056380322</v>
      </c>
      <c r="K1700" s="771"/>
    </row>
    <row r="1701" spans="1:11" ht="18.75" customHeight="1" outlineLevel="2">
      <c r="A1701" s="791" t="s">
        <v>776</v>
      </c>
      <c r="B1701" s="791" t="s">
        <v>1027</v>
      </c>
      <c r="C1701" s="791" t="s">
        <v>1022</v>
      </c>
      <c r="D1701" s="792" t="s">
        <v>779</v>
      </c>
      <c r="E1701" s="793" t="s">
        <v>947</v>
      </c>
      <c r="F1701" s="793" t="s">
        <v>959</v>
      </c>
      <c r="G1701" s="793" t="s">
        <v>782</v>
      </c>
      <c r="H1701" s="793" t="s">
        <v>804</v>
      </c>
      <c r="I1701" s="794">
        <v>4.1115131761025513E-2</v>
      </c>
      <c r="J1701" s="794">
        <v>3171.2584453558352</v>
      </c>
      <c r="K1701" s="771"/>
    </row>
    <row r="1702" spans="1:11" ht="18.75" customHeight="1" outlineLevel="2">
      <c r="A1702" s="791" t="s">
        <v>776</v>
      </c>
      <c r="B1702" s="791" t="s">
        <v>1027</v>
      </c>
      <c r="C1702" s="791" t="s">
        <v>1022</v>
      </c>
      <c r="D1702" s="792" t="s">
        <v>779</v>
      </c>
      <c r="E1702" s="793" t="s">
        <v>947</v>
      </c>
      <c r="F1702" s="793" t="s">
        <v>960</v>
      </c>
      <c r="G1702" s="793" t="s">
        <v>782</v>
      </c>
      <c r="H1702" s="793" t="s">
        <v>804</v>
      </c>
      <c r="I1702" s="794">
        <v>8.6961609369949307E-4</v>
      </c>
      <c r="J1702" s="794">
        <v>26.369389231706528</v>
      </c>
      <c r="K1702" s="771"/>
    </row>
    <row r="1703" spans="1:11" ht="18.75" customHeight="1" outlineLevel="2">
      <c r="A1703" s="791" t="s">
        <v>776</v>
      </c>
      <c r="B1703" s="791" t="s">
        <v>1027</v>
      </c>
      <c r="C1703" s="791" t="s">
        <v>1022</v>
      </c>
      <c r="D1703" s="792" t="s">
        <v>779</v>
      </c>
      <c r="E1703" s="793" t="s">
        <v>947</v>
      </c>
      <c r="F1703" s="793" t="s">
        <v>961</v>
      </c>
      <c r="G1703" s="793" t="s">
        <v>782</v>
      </c>
      <c r="H1703" s="793" t="s">
        <v>804</v>
      </c>
      <c r="I1703" s="794">
        <v>3.4246428029913612E-4</v>
      </c>
      <c r="J1703" s="794">
        <v>16.146034023384914</v>
      </c>
      <c r="K1703" s="771"/>
    </row>
    <row r="1704" spans="1:11" ht="18.75" customHeight="1" outlineLevel="2">
      <c r="A1704" s="791" t="s">
        <v>776</v>
      </c>
      <c r="B1704" s="791" t="s">
        <v>1027</v>
      </c>
      <c r="C1704" s="791" t="s">
        <v>1022</v>
      </c>
      <c r="D1704" s="792" t="s">
        <v>779</v>
      </c>
      <c r="E1704" s="793" t="s">
        <v>947</v>
      </c>
      <c r="F1704" s="793" t="s">
        <v>962</v>
      </c>
      <c r="G1704" s="793" t="s">
        <v>782</v>
      </c>
      <c r="H1704" s="793" t="s">
        <v>804</v>
      </c>
      <c r="I1704" s="794">
        <v>1.2132436153162882E-2</v>
      </c>
      <c r="J1704" s="794">
        <v>724.86822198327684</v>
      </c>
      <c r="K1704" s="771"/>
    </row>
    <row r="1705" spans="1:11" ht="18.75" customHeight="1" outlineLevel="2">
      <c r="A1705" s="791" t="s">
        <v>776</v>
      </c>
      <c r="B1705" s="791" t="s">
        <v>1027</v>
      </c>
      <c r="C1705" s="791" t="s">
        <v>1022</v>
      </c>
      <c r="D1705" s="792" t="s">
        <v>779</v>
      </c>
      <c r="E1705" s="793" t="s">
        <v>947</v>
      </c>
      <c r="F1705" s="793" t="s">
        <v>963</v>
      </c>
      <c r="G1705" s="793" t="s">
        <v>782</v>
      </c>
      <c r="H1705" s="793" t="s">
        <v>804</v>
      </c>
      <c r="I1705" s="794">
        <v>1.0430428299213888E-2</v>
      </c>
      <c r="J1705" s="794">
        <v>789.02852165441413</v>
      </c>
      <c r="K1705" s="771"/>
    </row>
    <row r="1706" spans="1:11" ht="18.75" customHeight="1" outlineLevel="2">
      <c r="A1706" s="791" t="s">
        <v>776</v>
      </c>
      <c r="B1706" s="791" t="s">
        <v>1027</v>
      </c>
      <c r="C1706" s="791" t="s">
        <v>1022</v>
      </c>
      <c r="D1706" s="792" t="s">
        <v>779</v>
      </c>
      <c r="E1706" s="793" t="s">
        <v>947</v>
      </c>
      <c r="F1706" s="793" t="s">
        <v>964</v>
      </c>
      <c r="G1706" s="793" t="s">
        <v>782</v>
      </c>
      <c r="H1706" s="793" t="s">
        <v>804</v>
      </c>
      <c r="I1706" s="794">
        <v>3.8082478054875718E-2</v>
      </c>
      <c r="J1706" s="794">
        <v>2714.1464108897176</v>
      </c>
      <c r="K1706" s="771"/>
    </row>
    <row r="1707" spans="1:11" ht="18.75" customHeight="1" outlineLevel="2">
      <c r="A1707" s="791" t="s">
        <v>776</v>
      </c>
      <c r="B1707" s="791" t="s">
        <v>1027</v>
      </c>
      <c r="C1707" s="791" t="s">
        <v>1022</v>
      </c>
      <c r="D1707" s="792" t="s">
        <v>779</v>
      </c>
      <c r="E1707" s="793" t="s">
        <v>947</v>
      </c>
      <c r="F1707" s="793" t="s">
        <v>965</v>
      </c>
      <c r="G1707" s="793" t="s">
        <v>782</v>
      </c>
      <c r="H1707" s="793" t="s">
        <v>804</v>
      </c>
      <c r="I1707" s="794">
        <v>2.6214113601484589E-3</v>
      </c>
      <c r="J1707" s="794">
        <v>127.62395533912022</v>
      </c>
      <c r="K1707" s="771"/>
    </row>
    <row r="1708" spans="1:11" ht="18.75" customHeight="1" outlineLevel="2">
      <c r="A1708" s="791" t="s">
        <v>776</v>
      </c>
      <c r="B1708" s="791" t="s">
        <v>1027</v>
      </c>
      <c r="C1708" s="791" t="s">
        <v>1022</v>
      </c>
      <c r="D1708" s="792" t="s">
        <v>779</v>
      </c>
      <c r="E1708" s="793" t="s">
        <v>947</v>
      </c>
      <c r="F1708" s="793" t="s">
        <v>966</v>
      </c>
      <c r="G1708" s="793" t="s">
        <v>782</v>
      </c>
      <c r="H1708" s="793" t="s">
        <v>804</v>
      </c>
      <c r="I1708" s="794">
        <v>2.2042708306169289E-2</v>
      </c>
      <c r="J1708" s="794">
        <v>1015.179613429357</v>
      </c>
      <c r="K1708" s="771"/>
    </row>
    <row r="1709" spans="1:11" ht="18.75" customHeight="1" outlineLevel="2">
      <c r="A1709" s="791" t="s">
        <v>776</v>
      </c>
      <c r="B1709" s="791" t="s">
        <v>1027</v>
      </c>
      <c r="C1709" s="791" t="s">
        <v>1022</v>
      </c>
      <c r="D1709" s="792" t="s">
        <v>779</v>
      </c>
      <c r="E1709" s="793" t="s">
        <v>947</v>
      </c>
      <c r="F1709" s="793" t="s">
        <v>967</v>
      </c>
      <c r="G1709" s="793" t="s">
        <v>782</v>
      </c>
      <c r="H1709" s="793" t="s">
        <v>804</v>
      </c>
      <c r="I1709" s="794">
        <v>5.3857078693577948E-2</v>
      </c>
      <c r="J1709" s="794">
        <v>3451.4165371624499</v>
      </c>
      <c r="K1709" s="771"/>
    </row>
    <row r="1710" spans="1:11" ht="18.75" customHeight="1" outlineLevel="2">
      <c r="A1710" s="791" t="s">
        <v>776</v>
      </c>
      <c r="B1710" s="791" t="s">
        <v>1027</v>
      </c>
      <c r="C1710" s="791" t="s">
        <v>1022</v>
      </c>
      <c r="D1710" s="792" t="s">
        <v>779</v>
      </c>
      <c r="E1710" s="793" t="s">
        <v>947</v>
      </c>
      <c r="F1710" s="793" t="s">
        <v>968</v>
      </c>
      <c r="G1710" s="793" t="s">
        <v>782</v>
      </c>
      <c r="H1710" s="793" t="s">
        <v>804</v>
      </c>
      <c r="I1710" s="794">
        <v>0.11796027460914782</v>
      </c>
      <c r="J1710" s="794">
        <v>2315.4289260291775</v>
      </c>
      <c r="K1710" s="771"/>
    </row>
    <row r="1711" spans="1:11" ht="18.75" customHeight="1" outlineLevel="2">
      <c r="A1711" s="791" t="s">
        <v>776</v>
      </c>
      <c r="B1711" s="791" t="s">
        <v>1027</v>
      </c>
      <c r="C1711" s="791" t="s">
        <v>1022</v>
      </c>
      <c r="D1711" s="792" t="s">
        <v>779</v>
      </c>
      <c r="E1711" s="793" t="s">
        <v>947</v>
      </c>
      <c r="F1711" s="793" t="s">
        <v>969</v>
      </c>
      <c r="G1711" s="793" t="s">
        <v>782</v>
      </c>
      <c r="H1711" s="793" t="s">
        <v>804</v>
      </c>
      <c r="I1711" s="794">
        <v>4.3371188892069548E-2</v>
      </c>
      <c r="J1711" s="794">
        <v>3157.3164265834157</v>
      </c>
      <c r="K1711" s="771"/>
    </row>
    <row r="1712" spans="1:11" ht="18.75" customHeight="1" outlineLevel="2">
      <c r="A1712" s="791" t="s">
        <v>776</v>
      </c>
      <c r="B1712" s="791" t="s">
        <v>1027</v>
      </c>
      <c r="C1712" s="791" t="s">
        <v>1022</v>
      </c>
      <c r="D1712" s="792" t="s">
        <v>779</v>
      </c>
      <c r="E1712" s="793" t="s">
        <v>947</v>
      </c>
      <c r="F1712" s="793" t="s">
        <v>970</v>
      </c>
      <c r="G1712" s="793" t="s">
        <v>782</v>
      </c>
      <c r="H1712" s="793" t="s">
        <v>804</v>
      </c>
      <c r="I1712" s="794">
        <v>7.8970509885878767E-2</v>
      </c>
      <c r="J1712" s="794">
        <v>1817.4933208798077</v>
      </c>
      <c r="K1712" s="771"/>
    </row>
    <row r="1713" spans="1:11" ht="18.75" customHeight="1" outlineLevel="2">
      <c r="A1713" s="791" t="s">
        <v>776</v>
      </c>
      <c r="B1713" s="791" t="s">
        <v>1027</v>
      </c>
      <c r="C1713" s="791" t="s">
        <v>1022</v>
      </c>
      <c r="D1713" s="792" t="s">
        <v>779</v>
      </c>
      <c r="E1713" s="793" t="s">
        <v>947</v>
      </c>
      <c r="F1713" s="793" t="s">
        <v>971</v>
      </c>
      <c r="G1713" s="793" t="s">
        <v>782</v>
      </c>
      <c r="H1713" s="793" t="s">
        <v>804</v>
      </c>
      <c r="I1713" s="794">
        <v>4.6357211713857994E-3</v>
      </c>
      <c r="J1713" s="794">
        <v>338.78393887089157</v>
      </c>
      <c r="K1713" s="771"/>
    </row>
    <row r="1714" spans="1:11" ht="18.75" customHeight="1" outlineLevel="2">
      <c r="A1714" s="791" t="s">
        <v>776</v>
      </c>
      <c r="B1714" s="791" t="s">
        <v>1027</v>
      </c>
      <c r="C1714" s="791" t="s">
        <v>1022</v>
      </c>
      <c r="D1714" s="792" t="s">
        <v>779</v>
      </c>
      <c r="E1714" s="793" t="s">
        <v>947</v>
      </c>
      <c r="F1714" s="793" t="s">
        <v>972</v>
      </c>
      <c r="G1714" s="793" t="s">
        <v>782</v>
      </c>
      <c r="H1714" s="793" t="s">
        <v>804</v>
      </c>
      <c r="I1714" s="794">
        <v>2.4077554750840456E-4</v>
      </c>
      <c r="J1714" s="794">
        <v>5.5581984533133841</v>
      </c>
      <c r="K1714" s="771"/>
    </row>
    <row r="1715" spans="1:11" ht="18.75" customHeight="1" outlineLevel="2">
      <c r="A1715" s="791" t="s">
        <v>776</v>
      </c>
      <c r="B1715" s="791" t="s">
        <v>1027</v>
      </c>
      <c r="C1715" s="791" t="s">
        <v>1022</v>
      </c>
      <c r="D1715" s="792" t="s">
        <v>779</v>
      </c>
      <c r="E1715" s="793" t="s">
        <v>947</v>
      </c>
      <c r="F1715" s="793" t="s">
        <v>973</v>
      </c>
      <c r="G1715" s="793" t="s">
        <v>782</v>
      </c>
      <c r="H1715" s="793" t="s">
        <v>804</v>
      </c>
      <c r="I1715" s="794">
        <v>6.573393371139661E-3</v>
      </c>
      <c r="J1715" s="794">
        <v>353.38489459532974</v>
      </c>
      <c r="K1715" s="771"/>
    </row>
    <row r="1716" spans="1:11" ht="18.75" customHeight="1" outlineLevel="2">
      <c r="A1716" s="791" t="s">
        <v>776</v>
      </c>
      <c r="B1716" s="791" t="s">
        <v>1027</v>
      </c>
      <c r="C1716" s="791" t="s">
        <v>1022</v>
      </c>
      <c r="D1716" s="792" t="s">
        <v>779</v>
      </c>
      <c r="E1716" s="793" t="s">
        <v>947</v>
      </c>
      <c r="F1716" s="793" t="s">
        <v>974</v>
      </c>
      <c r="G1716" s="793" t="s">
        <v>785</v>
      </c>
      <c r="H1716" s="793" t="s">
        <v>727</v>
      </c>
      <c r="I1716" s="794">
        <v>8.811462310228408E-4</v>
      </c>
      <c r="J1716" s="794">
        <v>21.317270254997677</v>
      </c>
      <c r="K1716" s="771"/>
    </row>
    <row r="1717" spans="1:11" ht="18.75" customHeight="1" outlineLevel="2">
      <c r="A1717" s="791" t="s">
        <v>776</v>
      </c>
      <c r="B1717" s="791" t="s">
        <v>1027</v>
      </c>
      <c r="C1717" s="791" t="s">
        <v>1022</v>
      </c>
      <c r="D1717" s="792" t="s">
        <v>779</v>
      </c>
      <c r="E1717" s="793" t="s">
        <v>947</v>
      </c>
      <c r="F1717" s="793" t="s">
        <v>975</v>
      </c>
      <c r="G1717" s="793" t="s">
        <v>785</v>
      </c>
      <c r="H1717" s="793" t="s">
        <v>727</v>
      </c>
      <c r="I1717" s="794">
        <v>4.3851416282350156E-3</v>
      </c>
      <c r="J1717" s="794">
        <v>309.26236607289309</v>
      </c>
      <c r="K1717" s="771"/>
    </row>
    <row r="1718" spans="1:11" ht="18.75" customHeight="1" outlineLevel="2">
      <c r="A1718" s="791" t="s">
        <v>776</v>
      </c>
      <c r="B1718" s="791" t="s">
        <v>1027</v>
      </c>
      <c r="C1718" s="791" t="s">
        <v>1022</v>
      </c>
      <c r="D1718" s="792" t="s">
        <v>779</v>
      </c>
      <c r="E1718" s="793" t="s">
        <v>947</v>
      </c>
      <c r="F1718" s="793" t="s">
        <v>976</v>
      </c>
      <c r="G1718" s="793" t="s">
        <v>785</v>
      </c>
      <c r="H1718" s="793" t="s">
        <v>727</v>
      </c>
      <c r="I1718" s="794">
        <v>2.5760378416616672E-3</v>
      </c>
      <c r="J1718" s="794">
        <v>135.07944139172835</v>
      </c>
      <c r="K1718" s="771"/>
    </row>
    <row r="1719" spans="1:11" ht="18.75" customHeight="1" outlineLevel="2">
      <c r="A1719" s="791" t="s">
        <v>776</v>
      </c>
      <c r="B1719" s="791" t="s">
        <v>1027</v>
      </c>
      <c r="C1719" s="791" t="s">
        <v>1022</v>
      </c>
      <c r="D1719" s="792" t="s">
        <v>779</v>
      </c>
      <c r="E1719" s="793" t="s">
        <v>947</v>
      </c>
      <c r="F1719" s="793" t="s">
        <v>977</v>
      </c>
      <c r="G1719" s="793" t="s">
        <v>785</v>
      </c>
      <c r="H1719" s="793" t="s">
        <v>727</v>
      </c>
      <c r="I1719" s="794">
        <v>3.0491955176436317E-3</v>
      </c>
      <c r="J1719" s="794">
        <v>136.97585918534062</v>
      </c>
      <c r="K1719" s="771"/>
    </row>
    <row r="1720" spans="1:11" ht="18.75" customHeight="1" outlineLevel="2">
      <c r="A1720" s="791" t="s">
        <v>776</v>
      </c>
      <c r="B1720" s="791" t="s">
        <v>1027</v>
      </c>
      <c r="C1720" s="791" t="s">
        <v>1022</v>
      </c>
      <c r="D1720" s="792" t="s">
        <v>779</v>
      </c>
      <c r="E1720" s="793" t="s">
        <v>947</v>
      </c>
      <c r="F1720" s="793" t="s">
        <v>978</v>
      </c>
      <c r="G1720" s="793" t="s">
        <v>785</v>
      </c>
      <c r="H1720" s="793" t="s">
        <v>727</v>
      </c>
      <c r="I1720" s="794">
        <v>1.9312214872307091E-4</v>
      </c>
      <c r="J1720" s="794">
        <v>5.2826334516525257</v>
      </c>
      <c r="K1720" s="771"/>
    </row>
    <row r="1721" spans="1:11" ht="18.75" customHeight="1" outlineLevel="2">
      <c r="A1721" s="791" t="s">
        <v>776</v>
      </c>
      <c r="B1721" s="791" t="s">
        <v>1027</v>
      </c>
      <c r="C1721" s="791" t="s">
        <v>1022</v>
      </c>
      <c r="D1721" s="792" t="s">
        <v>779</v>
      </c>
      <c r="E1721" s="793" t="s">
        <v>947</v>
      </c>
      <c r="F1721" s="793" t="s">
        <v>979</v>
      </c>
      <c r="G1721" s="793" t="s">
        <v>785</v>
      </c>
      <c r="H1721" s="793" t="s">
        <v>727</v>
      </c>
      <c r="I1721" s="794">
        <v>6.8683410876056505E-2</v>
      </c>
      <c r="J1721" s="794">
        <v>2257.3771283600295</v>
      </c>
      <c r="K1721" s="771"/>
    </row>
    <row r="1722" spans="1:11" ht="18.75" customHeight="1" outlineLevel="2">
      <c r="A1722" s="791" t="s">
        <v>776</v>
      </c>
      <c r="B1722" s="791" t="s">
        <v>1027</v>
      </c>
      <c r="C1722" s="791" t="s">
        <v>1022</v>
      </c>
      <c r="D1722" s="792" t="s">
        <v>779</v>
      </c>
      <c r="E1722" s="793" t="s">
        <v>947</v>
      </c>
      <c r="F1722" s="793" t="s">
        <v>980</v>
      </c>
      <c r="G1722" s="793" t="s">
        <v>785</v>
      </c>
      <c r="H1722" s="793" t="s">
        <v>727</v>
      </c>
      <c r="I1722" s="794">
        <v>2.4043908439668827E-3</v>
      </c>
      <c r="J1722" s="794">
        <v>194.91697263373797</v>
      </c>
      <c r="K1722" s="771"/>
    </row>
    <row r="1723" spans="1:11" ht="18.75" customHeight="1" outlineLevel="2">
      <c r="A1723" s="791" t="s">
        <v>776</v>
      </c>
      <c r="B1723" s="791" t="s">
        <v>1027</v>
      </c>
      <c r="C1723" s="791" t="s">
        <v>1022</v>
      </c>
      <c r="D1723" s="792" t="s">
        <v>779</v>
      </c>
      <c r="E1723" s="793" t="s">
        <v>947</v>
      </c>
      <c r="F1723" s="793" t="s">
        <v>981</v>
      </c>
      <c r="G1723" s="793" t="s">
        <v>813</v>
      </c>
      <c r="H1723" s="793" t="s">
        <v>814</v>
      </c>
      <c r="I1723" s="794">
        <v>1.8642393877553435E-6</v>
      </c>
      <c r="J1723" s="794">
        <v>4.6725067869071768E-2</v>
      </c>
      <c r="K1723" s="771"/>
    </row>
    <row r="1724" spans="1:11" ht="18.75" customHeight="1" outlineLevel="2">
      <c r="A1724" s="791" t="s">
        <v>776</v>
      </c>
      <c r="B1724" s="791" t="s">
        <v>1027</v>
      </c>
      <c r="C1724" s="791" t="s">
        <v>1022</v>
      </c>
      <c r="D1724" s="792" t="s">
        <v>779</v>
      </c>
      <c r="E1724" s="793" t="s">
        <v>947</v>
      </c>
      <c r="F1724" s="793" t="s">
        <v>982</v>
      </c>
      <c r="G1724" s="793" t="s">
        <v>813</v>
      </c>
      <c r="H1724" s="793" t="s">
        <v>814</v>
      </c>
      <c r="I1724" s="794">
        <v>2.1910358732447205E-4</v>
      </c>
      <c r="J1724" s="794">
        <v>12.273277512225187</v>
      </c>
      <c r="K1724" s="771"/>
    </row>
    <row r="1725" spans="1:11" ht="18.75" customHeight="1" outlineLevel="2">
      <c r="A1725" s="791" t="s">
        <v>776</v>
      </c>
      <c r="B1725" s="791" t="s">
        <v>1027</v>
      </c>
      <c r="C1725" s="791" t="s">
        <v>1022</v>
      </c>
      <c r="D1725" s="792" t="s">
        <v>779</v>
      </c>
      <c r="E1725" s="793" t="s">
        <v>947</v>
      </c>
      <c r="F1725" s="793" t="s">
        <v>983</v>
      </c>
      <c r="G1725" s="793" t="s">
        <v>813</v>
      </c>
      <c r="H1725" s="793" t="s">
        <v>814</v>
      </c>
      <c r="I1725" s="794">
        <v>1.4743601544238625E-2</v>
      </c>
      <c r="J1725" s="794">
        <v>327.53120139929678</v>
      </c>
      <c r="K1725" s="771"/>
    </row>
    <row r="1726" spans="1:11" ht="18.75" customHeight="1" outlineLevel="2">
      <c r="A1726" s="791" t="s">
        <v>776</v>
      </c>
      <c r="B1726" s="791" t="s">
        <v>1027</v>
      </c>
      <c r="C1726" s="791" t="s">
        <v>1022</v>
      </c>
      <c r="D1726" s="792" t="s">
        <v>779</v>
      </c>
      <c r="E1726" s="793" t="s">
        <v>947</v>
      </c>
      <c r="F1726" s="793" t="s">
        <v>984</v>
      </c>
      <c r="G1726" s="793" t="s">
        <v>813</v>
      </c>
      <c r="H1726" s="793" t="s">
        <v>814</v>
      </c>
      <c r="I1726" s="794">
        <v>3.8773057246354347E-3</v>
      </c>
      <c r="J1726" s="794">
        <v>67.612854884075063</v>
      </c>
      <c r="K1726" s="771"/>
    </row>
    <row r="1727" spans="1:11" ht="18.75" customHeight="1" outlineLevel="2">
      <c r="A1727" s="791" t="s">
        <v>776</v>
      </c>
      <c r="B1727" s="791" t="s">
        <v>1027</v>
      </c>
      <c r="C1727" s="791" t="s">
        <v>1022</v>
      </c>
      <c r="D1727" s="792" t="s">
        <v>779</v>
      </c>
      <c r="E1727" s="793" t="s">
        <v>947</v>
      </c>
      <c r="F1727" s="793" t="s">
        <v>985</v>
      </c>
      <c r="G1727" s="793" t="s">
        <v>813</v>
      </c>
      <c r="H1727" s="793" t="s">
        <v>814</v>
      </c>
      <c r="I1727" s="794">
        <v>9.1644310798980558E-3</v>
      </c>
      <c r="J1727" s="794">
        <v>446.49034749317315</v>
      </c>
      <c r="K1727" s="771"/>
    </row>
    <row r="1728" spans="1:11" ht="18.75" customHeight="1" outlineLevel="2">
      <c r="A1728" s="791" t="s">
        <v>776</v>
      </c>
      <c r="B1728" s="791" t="s">
        <v>1027</v>
      </c>
      <c r="C1728" s="791" t="s">
        <v>1022</v>
      </c>
      <c r="D1728" s="792" t="s">
        <v>779</v>
      </c>
      <c r="E1728" s="793" t="s">
        <v>947</v>
      </c>
      <c r="F1728" s="793" t="s">
        <v>986</v>
      </c>
      <c r="G1728" s="793" t="s">
        <v>813</v>
      </c>
      <c r="H1728" s="793" t="s">
        <v>814</v>
      </c>
      <c r="I1728" s="794">
        <v>1.5716602676399051E-3</v>
      </c>
      <c r="J1728" s="794">
        <v>52.607805042626346</v>
      </c>
      <c r="K1728" s="771"/>
    </row>
    <row r="1729" spans="1:11" ht="18.75" customHeight="1" outlineLevel="2">
      <c r="A1729" s="791" t="s">
        <v>776</v>
      </c>
      <c r="B1729" s="791" t="s">
        <v>1027</v>
      </c>
      <c r="C1729" s="791" t="s">
        <v>1022</v>
      </c>
      <c r="D1729" s="792" t="s">
        <v>779</v>
      </c>
      <c r="E1729" s="793" t="s">
        <v>947</v>
      </c>
      <c r="F1729" s="793" t="s">
        <v>987</v>
      </c>
      <c r="G1729" s="793" t="s">
        <v>813</v>
      </c>
      <c r="H1729" s="793" t="s">
        <v>814</v>
      </c>
      <c r="I1729" s="794">
        <v>4.418702203602842E-5</v>
      </c>
      <c r="J1729" s="794">
        <v>1.3358275900894707</v>
      </c>
      <c r="K1729" s="771"/>
    </row>
    <row r="1730" spans="1:11" ht="18.75" customHeight="1" outlineLevel="2">
      <c r="A1730" s="791" t="s">
        <v>776</v>
      </c>
      <c r="B1730" s="791" t="s">
        <v>1027</v>
      </c>
      <c r="C1730" s="791" t="s">
        <v>1022</v>
      </c>
      <c r="D1730" s="792" t="s">
        <v>779</v>
      </c>
      <c r="E1730" s="793" t="s">
        <v>947</v>
      </c>
      <c r="F1730" s="793" t="s">
        <v>988</v>
      </c>
      <c r="G1730" s="793" t="s">
        <v>791</v>
      </c>
      <c r="H1730" s="793" t="s">
        <v>826</v>
      </c>
      <c r="I1730" s="794">
        <v>3.5909255834193105E-6</v>
      </c>
      <c r="J1730" s="794">
        <v>3.0693097981481197E-2</v>
      </c>
      <c r="K1730" s="771"/>
    </row>
    <row r="1731" spans="1:11" ht="18.75" customHeight="1" outlineLevel="2">
      <c r="A1731" s="791" t="s">
        <v>776</v>
      </c>
      <c r="B1731" s="791" t="s">
        <v>1027</v>
      </c>
      <c r="C1731" s="791" t="s">
        <v>1022</v>
      </c>
      <c r="D1731" s="792" t="s">
        <v>779</v>
      </c>
      <c r="E1731" s="793" t="s">
        <v>947</v>
      </c>
      <c r="F1731" s="793" t="s">
        <v>989</v>
      </c>
      <c r="G1731" s="793" t="s">
        <v>791</v>
      </c>
      <c r="H1731" s="793" t="s">
        <v>826</v>
      </c>
      <c r="I1731" s="794">
        <v>2.1721603990529977E-2</v>
      </c>
      <c r="J1731" s="794">
        <v>1274.4442421899587</v>
      </c>
      <c r="K1731" s="771"/>
    </row>
    <row r="1732" spans="1:11" ht="18.75" customHeight="1" outlineLevel="2">
      <c r="A1732" s="791" t="s">
        <v>776</v>
      </c>
      <c r="B1732" s="791" t="s">
        <v>1027</v>
      </c>
      <c r="C1732" s="791" t="s">
        <v>1022</v>
      </c>
      <c r="D1732" s="792" t="s">
        <v>779</v>
      </c>
      <c r="E1732" s="793" t="s">
        <v>947</v>
      </c>
      <c r="F1732" s="793" t="s">
        <v>990</v>
      </c>
      <c r="G1732" s="793" t="s">
        <v>791</v>
      </c>
      <c r="H1732" s="793" t="s">
        <v>826</v>
      </c>
      <c r="I1732" s="794">
        <v>1.0367504321865193E-3</v>
      </c>
      <c r="J1732" s="794">
        <v>114.26479160138493</v>
      </c>
      <c r="K1732" s="771"/>
    </row>
    <row r="1733" spans="1:11" ht="18.75" customHeight="1" outlineLevel="2">
      <c r="A1733" s="791" t="s">
        <v>776</v>
      </c>
      <c r="B1733" s="791" t="s">
        <v>1027</v>
      </c>
      <c r="C1733" s="791" t="s">
        <v>1022</v>
      </c>
      <c r="D1733" s="792" t="s">
        <v>779</v>
      </c>
      <c r="E1733" s="793" t="s">
        <v>947</v>
      </c>
      <c r="F1733" s="793" t="s">
        <v>991</v>
      </c>
      <c r="G1733" s="793" t="s">
        <v>791</v>
      </c>
      <c r="H1733" s="793" t="s">
        <v>826</v>
      </c>
      <c r="I1733" s="794">
        <v>8.2349836095019848E-6</v>
      </c>
      <c r="J1733" s="794">
        <v>0.63246374779239356</v>
      </c>
      <c r="K1733" s="771"/>
    </row>
    <row r="1734" spans="1:11" ht="18.75" customHeight="1" outlineLevel="2">
      <c r="A1734" s="791" t="s">
        <v>776</v>
      </c>
      <c r="B1734" s="791" t="s">
        <v>1027</v>
      </c>
      <c r="C1734" s="791" t="s">
        <v>1022</v>
      </c>
      <c r="D1734" s="792" t="s">
        <v>779</v>
      </c>
      <c r="E1734" s="793" t="s">
        <v>947</v>
      </c>
      <c r="F1734" s="793" t="s">
        <v>992</v>
      </c>
      <c r="G1734" s="793" t="s">
        <v>791</v>
      </c>
      <c r="H1734" s="793" t="s">
        <v>826</v>
      </c>
      <c r="I1734" s="794">
        <v>1.605292599045207E-6</v>
      </c>
      <c r="J1734" s="794">
        <v>0.13286133120763738</v>
      </c>
      <c r="K1734" s="771"/>
    </row>
    <row r="1735" spans="1:11" ht="18.75" customHeight="1" outlineLevel="2">
      <c r="A1735" s="791" t="s">
        <v>776</v>
      </c>
      <c r="B1735" s="791" t="s">
        <v>1027</v>
      </c>
      <c r="C1735" s="791" t="s">
        <v>1022</v>
      </c>
      <c r="D1735" s="792" t="s">
        <v>779</v>
      </c>
      <c r="E1735" s="793" t="s">
        <v>947</v>
      </c>
      <c r="F1735" s="793" t="s">
        <v>993</v>
      </c>
      <c r="G1735" s="793" t="s">
        <v>791</v>
      </c>
      <c r="H1735" s="793" t="s">
        <v>826</v>
      </c>
      <c r="I1735" s="794">
        <v>1.0538725816624755E-4</v>
      </c>
      <c r="J1735" s="794">
        <v>9.6901526322527882</v>
      </c>
      <c r="K1735" s="771"/>
    </row>
    <row r="1736" spans="1:11" ht="18.75" customHeight="1" outlineLevel="2">
      <c r="A1736" s="791" t="s">
        <v>776</v>
      </c>
      <c r="B1736" s="791" t="s">
        <v>1027</v>
      </c>
      <c r="C1736" s="791" t="s">
        <v>1022</v>
      </c>
      <c r="D1736" s="792" t="s">
        <v>779</v>
      </c>
      <c r="E1736" s="793" t="s">
        <v>947</v>
      </c>
      <c r="F1736" s="793" t="s">
        <v>994</v>
      </c>
      <c r="G1736" s="793" t="s">
        <v>791</v>
      </c>
      <c r="H1736" s="793" t="s">
        <v>826</v>
      </c>
      <c r="I1736" s="794">
        <v>2.2281572426979284E-7</v>
      </c>
      <c r="J1736" s="794">
        <v>2.6809673335334093E-2</v>
      </c>
      <c r="K1736" s="771"/>
    </row>
    <row r="1737" spans="1:11" ht="18.75" customHeight="1" outlineLevel="2">
      <c r="A1737" s="791" t="s">
        <v>776</v>
      </c>
      <c r="B1737" s="791" t="s">
        <v>1027</v>
      </c>
      <c r="C1737" s="791" t="s">
        <v>1022</v>
      </c>
      <c r="D1737" s="792" t="s">
        <v>779</v>
      </c>
      <c r="E1737" s="793" t="s">
        <v>947</v>
      </c>
      <c r="F1737" s="793" t="s">
        <v>995</v>
      </c>
      <c r="G1737" s="793" t="s">
        <v>791</v>
      </c>
      <c r="H1737" s="793" t="s">
        <v>826</v>
      </c>
      <c r="I1737" s="794">
        <v>9.4855139937985217E-5</v>
      </c>
      <c r="J1737" s="794">
        <v>8.9598289385194043</v>
      </c>
      <c r="K1737" s="771"/>
    </row>
    <row r="1738" spans="1:11" ht="18.75" customHeight="1" outlineLevel="2">
      <c r="A1738" s="791" t="s">
        <v>776</v>
      </c>
      <c r="B1738" s="791" t="s">
        <v>1027</v>
      </c>
      <c r="C1738" s="791" t="s">
        <v>1022</v>
      </c>
      <c r="D1738" s="792" t="s">
        <v>779</v>
      </c>
      <c r="E1738" s="793" t="s">
        <v>947</v>
      </c>
      <c r="F1738" s="793" t="s">
        <v>996</v>
      </c>
      <c r="G1738" s="793" t="s">
        <v>791</v>
      </c>
      <c r="H1738" s="793" t="s">
        <v>826</v>
      </c>
      <c r="I1738" s="794">
        <v>2.804561396371006E-4</v>
      </c>
      <c r="J1738" s="794">
        <v>24.933724813791368</v>
      </c>
      <c r="K1738" s="771"/>
    </row>
    <row r="1739" spans="1:11" ht="18.75" customHeight="1" outlineLevel="2">
      <c r="A1739" s="791" t="s">
        <v>776</v>
      </c>
      <c r="B1739" s="791" t="s">
        <v>1027</v>
      </c>
      <c r="C1739" s="791" t="s">
        <v>1022</v>
      </c>
      <c r="D1739" s="792" t="s">
        <v>779</v>
      </c>
      <c r="E1739" s="793" t="s">
        <v>947</v>
      </c>
      <c r="F1739" s="793" t="s">
        <v>997</v>
      </c>
      <c r="G1739" s="793" t="s">
        <v>791</v>
      </c>
      <c r="H1739" s="793" t="s">
        <v>826</v>
      </c>
      <c r="I1739" s="794">
        <v>4.2534472163742345E-4</v>
      </c>
      <c r="J1739" s="794">
        <v>18.385423742278949</v>
      </c>
      <c r="K1739" s="771"/>
    </row>
    <row r="1740" spans="1:11" ht="18.75" customHeight="1" outlineLevel="2">
      <c r="A1740" s="791" t="s">
        <v>776</v>
      </c>
      <c r="B1740" s="791" t="s">
        <v>1027</v>
      </c>
      <c r="C1740" s="791" t="s">
        <v>1022</v>
      </c>
      <c r="D1740" s="792" t="s">
        <v>779</v>
      </c>
      <c r="E1740" s="793" t="s">
        <v>947</v>
      </c>
      <c r="F1740" s="793" t="s">
        <v>998</v>
      </c>
      <c r="G1740" s="793" t="s">
        <v>794</v>
      </c>
      <c r="H1740" s="793" t="s">
        <v>828</v>
      </c>
      <c r="I1740" s="794">
        <v>1.3661189625779908E-2</v>
      </c>
      <c r="J1740" s="794">
        <v>499.54835935717534</v>
      </c>
      <c r="K1740" s="771"/>
    </row>
    <row r="1741" spans="1:11" ht="18.75" customHeight="1" outlineLevel="2">
      <c r="A1741" s="791" t="s">
        <v>776</v>
      </c>
      <c r="B1741" s="791" t="s">
        <v>1027</v>
      </c>
      <c r="C1741" s="791" t="s">
        <v>1022</v>
      </c>
      <c r="D1741" s="792" t="s">
        <v>779</v>
      </c>
      <c r="E1741" s="793" t="s">
        <v>947</v>
      </c>
      <c r="F1741" s="793" t="s">
        <v>999</v>
      </c>
      <c r="G1741" s="793" t="s">
        <v>794</v>
      </c>
      <c r="H1741" s="793" t="s">
        <v>828</v>
      </c>
      <c r="I1741" s="794">
        <v>3.2217289742146257E-3</v>
      </c>
      <c r="J1741" s="794">
        <v>117.9025421074019</v>
      </c>
      <c r="K1741" s="771"/>
    </row>
    <row r="1742" spans="1:11" ht="18.75" customHeight="1" outlineLevel="2">
      <c r="A1742" s="791" t="s">
        <v>776</v>
      </c>
      <c r="B1742" s="791" t="s">
        <v>1027</v>
      </c>
      <c r="C1742" s="791" t="s">
        <v>1022</v>
      </c>
      <c r="D1742" s="792" t="s">
        <v>779</v>
      </c>
      <c r="E1742" s="793" t="s">
        <v>947</v>
      </c>
      <c r="F1742" s="793" t="s">
        <v>1000</v>
      </c>
      <c r="G1742" s="793" t="s">
        <v>794</v>
      </c>
      <c r="H1742" s="793" t="s">
        <v>828</v>
      </c>
      <c r="I1742" s="794">
        <v>9.0420396243005331E-3</v>
      </c>
      <c r="J1742" s="794">
        <v>327.10617458291546</v>
      </c>
      <c r="K1742" s="771"/>
    </row>
    <row r="1743" spans="1:11" ht="18.75" customHeight="1" outlineLevel="2">
      <c r="A1743" s="791" t="s">
        <v>776</v>
      </c>
      <c r="B1743" s="791" t="s">
        <v>1027</v>
      </c>
      <c r="C1743" s="791" t="s">
        <v>1022</v>
      </c>
      <c r="D1743" s="792" t="s">
        <v>779</v>
      </c>
      <c r="E1743" s="793" t="s">
        <v>947</v>
      </c>
      <c r="F1743" s="793" t="s">
        <v>1001</v>
      </c>
      <c r="G1743" s="793" t="s">
        <v>794</v>
      </c>
      <c r="H1743" s="793" t="s">
        <v>828</v>
      </c>
      <c r="I1743" s="794">
        <v>7.635248893240406E-3</v>
      </c>
      <c r="J1743" s="794">
        <v>166.08179492332408</v>
      </c>
      <c r="K1743" s="771"/>
    </row>
    <row r="1744" spans="1:11" ht="18.75" customHeight="1" outlineLevel="2">
      <c r="A1744" s="791" t="s">
        <v>776</v>
      </c>
      <c r="B1744" s="791" t="s">
        <v>1027</v>
      </c>
      <c r="C1744" s="791" t="s">
        <v>1022</v>
      </c>
      <c r="D1744" s="792" t="s">
        <v>779</v>
      </c>
      <c r="E1744" s="793" t="s">
        <v>947</v>
      </c>
      <c r="F1744" s="793" t="s">
        <v>1002</v>
      </c>
      <c r="G1744" s="793" t="s">
        <v>794</v>
      </c>
      <c r="H1744" s="793" t="s">
        <v>828</v>
      </c>
      <c r="I1744" s="794">
        <v>3.7981074858761709E-4</v>
      </c>
      <c r="J1744" s="794">
        <v>15.97290326747228</v>
      </c>
      <c r="K1744" s="771"/>
    </row>
    <row r="1745" spans="1:11" ht="18.75" customHeight="1" outlineLevel="2">
      <c r="A1745" s="791" t="s">
        <v>776</v>
      </c>
      <c r="B1745" s="791" t="s">
        <v>1027</v>
      </c>
      <c r="C1745" s="791" t="s">
        <v>1022</v>
      </c>
      <c r="D1745" s="792" t="s">
        <v>779</v>
      </c>
      <c r="E1745" s="793" t="s">
        <v>947</v>
      </c>
      <c r="F1745" s="793" t="s">
        <v>1003</v>
      </c>
      <c r="G1745" s="793" t="s">
        <v>794</v>
      </c>
      <c r="H1745" s="793" t="s">
        <v>828</v>
      </c>
      <c r="I1745" s="794">
        <v>4.3939780713410858E-4</v>
      </c>
      <c r="J1745" s="794">
        <v>14.137299822243385</v>
      </c>
      <c r="K1745" s="771"/>
    </row>
    <row r="1746" spans="1:11" ht="18.75" customHeight="1" outlineLevel="2">
      <c r="A1746" s="791" t="s">
        <v>776</v>
      </c>
      <c r="B1746" s="791" t="s">
        <v>1027</v>
      </c>
      <c r="C1746" s="791" t="s">
        <v>1022</v>
      </c>
      <c r="D1746" s="792" t="s">
        <v>779</v>
      </c>
      <c r="E1746" s="793" t="s">
        <v>947</v>
      </c>
      <c r="F1746" s="793" t="s">
        <v>1004</v>
      </c>
      <c r="G1746" s="793" t="s">
        <v>833</v>
      </c>
      <c r="H1746" s="793" t="s">
        <v>834</v>
      </c>
      <c r="I1746" s="794">
        <v>1.3242661299077705E-2</v>
      </c>
      <c r="J1746" s="794">
        <v>867.89535572190857</v>
      </c>
      <c r="K1746" s="771"/>
    </row>
    <row r="1747" spans="1:11" ht="18.75" customHeight="1" outlineLevel="2">
      <c r="A1747" s="791" t="s">
        <v>776</v>
      </c>
      <c r="B1747" s="791" t="s">
        <v>1027</v>
      </c>
      <c r="C1747" s="791" t="s">
        <v>1022</v>
      </c>
      <c r="D1747" s="792" t="s">
        <v>779</v>
      </c>
      <c r="E1747" s="793" t="s">
        <v>947</v>
      </c>
      <c r="F1747" s="793" t="s">
        <v>1007</v>
      </c>
      <c r="G1747" s="793" t="s">
        <v>244</v>
      </c>
      <c r="H1747" s="793" t="s">
        <v>911</v>
      </c>
      <c r="I1747" s="794">
        <v>1.2995706480015912E-4</v>
      </c>
      <c r="J1747" s="794">
        <v>2.8972854683002538</v>
      </c>
      <c r="K1747" s="771"/>
    </row>
    <row r="1748" spans="1:11" ht="18.75" customHeight="1" outlineLevel="2">
      <c r="A1748" s="791" t="s">
        <v>776</v>
      </c>
      <c r="B1748" s="791" t="s">
        <v>1028</v>
      </c>
      <c r="C1748" s="791" t="s">
        <v>778</v>
      </c>
      <c r="D1748" s="792" t="s">
        <v>779</v>
      </c>
      <c r="E1748" s="793" t="s">
        <v>780</v>
      </c>
      <c r="F1748" s="793" t="s">
        <v>781</v>
      </c>
      <c r="G1748" s="793" t="s">
        <v>782</v>
      </c>
      <c r="H1748" s="793" t="s">
        <v>783</v>
      </c>
      <c r="I1748" s="794">
        <v>1.3681085028551486E-3</v>
      </c>
      <c r="J1748" s="794">
        <v>2.0125193032257366E-2</v>
      </c>
      <c r="K1748" s="771"/>
    </row>
    <row r="1749" spans="1:11" ht="18.75" customHeight="1" outlineLevel="2">
      <c r="A1749" s="791" t="s">
        <v>776</v>
      </c>
      <c r="B1749" s="791" t="s">
        <v>1028</v>
      </c>
      <c r="C1749" s="791" t="s">
        <v>778</v>
      </c>
      <c r="D1749" s="792" t="s">
        <v>779</v>
      </c>
      <c r="E1749" s="793" t="s">
        <v>780</v>
      </c>
      <c r="F1749" s="793" t="s">
        <v>784</v>
      </c>
      <c r="G1749" s="793" t="s">
        <v>785</v>
      </c>
      <c r="H1749" s="793" t="s">
        <v>783</v>
      </c>
      <c r="I1749" s="794">
        <v>1.0048062992831819</v>
      </c>
      <c r="J1749" s="794">
        <v>163.17458451400068</v>
      </c>
      <c r="K1749" s="771"/>
    </row>
    <row r="1750" spans="1:11" ht="18.75" customHeight="1" outlineLevel="2">
      <c r="A1750" s="791" t="s">
        <v>776</v>
      </c>
      <c r="B1750" s="791" t="s">
        <v>1028</v>
      </c>
      <c r="C1750" s="791" t="s">
        <v>778</v>
      </c>
      <c r="D1750" s="792" t="s">
        <v>779</v>
      </c>
      <c r="E1750" s="793" t="s">
        <v>780</v>
      </c>
      <c r="F1750" s="793" t="s">
        <v>786</v>
      </c>
      <c r="G1750" s="793" t="s">
        <v>785</v>
      </c>
      <c r="H1750" s="793" t="s">
        <v>783</v>
      </c>
      <c r="I1750" s="794">
        <v>8.1600284731048319E-4</v>
      </c>
      <c r="J1750" s="794">
        <v>0.13823779598937913</v>
      </c>
      <c r="K1750" s="771"/>
    </row>
    <row r="1751" spans="1:11" ht="18.75" customHeight="1" outlineLevel="2">
      <c r="A1751" s="791" t="s">
        <v>776</v>
      </c>
      <c r="B1751" s="791" t="s">
        <v>1028</v>
      </c>
      <c r="C1751" s="791" t="s">
        <v>778</v>
      </c>
      <c r="D1751" s="792" t="s">
        <v>779</v>
      </c>
      <c r="E1751" s="793" t="s">
        <v>780</v>
      </c>
      <c r="F1751" s="793" t="s">
        <v>787</v>
      </c>
      <c r="G1751" s="793" t="s">
        <v>785</v>
      </c>
      <c r="H1751" s="793" t="s">
        <v>783</v>
      </c>
      <c r="I1751" s="794">
        <v>4.1006314528888396E-4</v>
      </c>
      <c r="J1751" s="794">
        <v>7.5330208957784861E-2</v>
      </c>
      <c r="K1751" s="771"/>
    </row>
    <row r="1752" spans="1:11" ht="18.75" customHeight="1" outlineLevel="2">
      <c r="A1752" s="791" t="s">
        <v>776</v>
      </c>
      <c r="B1752" s="791" t="s">
        <v>1028</v>
      </c>
      <c r="C1752" s="791" t="s">
        <v>778</v>
      </c>
      <c r="D1752" s="792" t="s">
        <v>779</v>
      </c>
      <c r="E1752" s="793" t="s">
        <v>780</v>
      </c>
      <c r="F1752" s="793" t="s">
        <v>788</v>
      </c>
      <c r="G1752" s="793" t="s">
        <v>785</v>
      </c>
      <c r="H1752" s="793" t="s">
        <v>783</v>
      </c>
      <c r="I1752" s="794">
        <v>1.2912491478949185E-3</v>
      </c>
      <c r="J1752" s="794">
        <v>0.2056844074263581</v>
      </c>
      <c r="K1752" s="771"/>
    </row>
    <row r="1753" spans="1:11" ht="18.75" customHeight="1" outlineLevel="2">
      <c r="A1753" s="791" t="s">
        <v>776</v>
      </c>
      <c r="B1753" s="791" t="s">
        <v>1028</v>
      </c>
      <c r="C1753" s="791" t="s">
        <v>778</v>
      </c>
      <c r="D1753" s="792" t="s">
        <v>779</v>
      </c>
      <c r="E1753" s="793" t="s">
        <v>780</v>
      </c>
      <c r="F1753" s="793" t="s">
        <v>789</v>
      </c>
      <c r="G1753" s="793" t="s">
        <v>785</v>
      </c>
      <c r="H1753" s="793" t="s">
        <v>783</v>
      </c>
      <c r="I1753" s="794">
        <v>3.7534035520746536E-3</v>
      </c>
      <c r="J1753" s="794">
        <v>0.92330548478681851</v>
      </c>
      <c r="K1753" s="771"/>
    </row>
    <row r="1754" spans="1:11" ht="18.75" customHeight="1" outlineLevel="2">
      <c r="A1754" s="791" t="s">
        <v>776</v>
      </c>
      <c r="B1754" s="791" t="s">
        <v>1028</v>
      </c>
      <c r="C1754" s="791" t="s">
        <v>778</v>
      </c>
      <c r="D1754" s="792" t="s">
        <v>779</v>
      </c>
      <c r="E1754" s="793" t="s">
        <v>780</v>
      </c>
      <c r="F1754" s="793" t="s">
        <v>790</v>
      </c>
      <c r="G1754" s="793" t="s">
        <v>791</v>
      </c>
      <c r="H1754" s="793" t="s">
        <v>783</v>
      </c>
      <c r="I1754" s="794">
        <v>7.5270594043352077E-3</v>
      </c>
      <c r="J1754" s="794">
        <v>9.9981214405752916E-2</v>
      </c>
      <c r="K1754" s="771"/>
    </row>
    <row r="1755" spans="1:11" ht="18.75" customHeight="1" outlineLevel="2">
      <c r="A1755" s="791" t="s">
        <v>776</v>
      </c>
      <c r="B1755" s="791" t="s">
        <v>1028</v>
      </c>
      <c r="C1755" s="791" t="s">
        <v>778</v>
      </c>
      <c r="D1755" s="792" t="s">
        <v>779</v>
      </c>
      <c r="E1755" s="793" t="s">
        <v>780</v>
      </c>
      <c r="F1755" s="793" t="s">
        <v>792</v>
      </c>
      <c r="G1755" s="793" t="s">
        <v>791</v>
      </c>
      <c r="H1755" s="793" t="s">
        <v>783</v>
      </c>
      <c r="I1755" s="794">
        <v>5.5872125470209082E-2</v>
      </c>
      <c r="J1755" s="794">
        <v>10.850908947628341</v>
      </c>
      <c r="K1755" s="771"/>
    </row>
    <row r="1756" spans="1:11" ht="18.75" customHeight="1" outlineLevel="2">
      <c r="A1756" s="791" t="s">
        <v>776</v>
      </c>
      <c r="B1756" s="791" t="s">
        <v>1028</v>
      </c>
      <c r="C1756" s="791" t="s">
        <v>778</v>
      </c>
      <c r="D1756" s="792" t="s">
        <v>779</v>
      </c>
      <c r="E1756" s="793" t="s">
        <v>780</v>
      </c>
      <c r="F1756" s="793" t="s">
        <v>793</v>
      </c>
      <c r="G1756" s="793" t="s">
        <v>794</v>
      </c>
      <c r="H1756" s="793" t="s">
        <v>783</v>
      </c>
      <c r="I1756" s="794">
        <v>0.47087127754740488</v>
      </c>
      <c r="J1756" s="794">
        <v>12.220362684179602</v>
      </c>
      <c r="K1756" s="771"/>
    </row>
    <row r="1757" spans="1:11" ht="18.75" customHeight="1" outlineLevel="2">
      <c r="A1757" s="791" t="s">
        <v>776</v>
      </c>
      <c r="B1757" s="791" t="s">
        <v>1028</v>
      </c>
      <c r="C1757" s="791" t="s">
        <v>778</v>
      </c>
      <c r="D1757" s="792" t="s">
        <v>779</v>
      </c>
      <c r="E1757" s="793" t="s">
        <v>780</v>
      </c>
      <c r="F1757" s="793" t="s">
        <v>795</v>
      </c>
      <c r="G1757" s="793" t="s">
        <v>794</v>
      </c>
      <c r="H1757" s="793" t="s">
        <v>783</v>
      </c>
      <c r="I1757" s="794">
        <v>1.4239079909084225E-2</v>
      </c>
      <c r="J1757" s="794">
        <v>0.58342102290092579</v>
      </c>
      <c r="K1757" s="771"/>
    </row>
    <row r="1758" spans="1:11" ht="18.75" customHeight="1" outlineLevel="2">
      <c r="A1758" s="791" t="s">
        <v>776</v>
      </c>
      <c r="B1758" s="791" t="s">
        <v>1028</v>
      </c>
      <c r="C1758" s="791" t="s">
        <v>778</v>
      </c>
      <c r="D1758" s="792" t="s">
        <v>779</v>
      </c>
      <c r="E1758" s="793" t="s">
        <v>780</v>
      </c>
      <c r="F1758" s="793" t="s">
        <v>796</v>
      </c>
      <c r="G1758" s="793" t="s">
        <v>794</v>
      </c>
      <c r="H1758" s="793" t="s">
        <v>783</v>
      </c>
      <c r="I1758" s="794">
        <v>7.4011253970790595E-3</v>
      </c>
      <c r="J1758" s="794">
        <v>0.85289522630592918</v>
      </c>
      <c r="K1758" s="771"/>
    </row>
    <row r="1759" spans="1:11" ht="18.75" customHeight="1" outlineLevel="2">
      <c r="A1759" s="791" t="s">
        <v>776</v>
      </c>
      <c r="B1759" s="791" t="s">
        <v>1028</v>
      </c>
      <c r="C1759" s="791" t="s">
        <v>778</v>
      </c>
      <c r="D1759" s="792" t="s">
        <v>779</v>
      </c>
      <c r="E1759" s="793" t="s">
        <v>780</v>
      </c>
      <c r="F1759" s="793" t="s">
        <v>797</v>
      </c>
      <c r="G1759" s="793" t="s">
        <v>794</v>
      </c>
      <c r="H1759" s="793" t="s">
        <v>783</v>
      </c>
      <c r="I1759" s="794">
        <v>0.14473275194391455</v>
      </c>
      <c r="J1759" s="794">
        <v>30.28757099486565</v>
      </c>
      <c r="K1759" s="771"/>
    </row>
    <row r="1760" spans="1:11" ht="18.75" customHeight="1" outlineLevel="2">
      <c r="A1760" s="791" t="s">
        <v>776</v>
      </c>
      <c r="B1760" s="791" t="s">
        <v>1028</v>
      </c>
      <c r="C1760" s="791" t="s">
        <v>778</v>
      </c>
      <c r="D1760" s="792" t="s">
        <v>779</v>
      </c>
      <c r="E1760" s="793" t="s">
        <v>662</v>
      </c>
      <c r="F1760" s="793" t="s">
        <v>798</v>
      </c>
      <c r="G1760" s="793" t="s">
        <v>799</v>
      </c>
      <c r="H1760" s="793" t="s">
        <v>800</v>
      </c>
      <c r="I1760" s="794">
        <v>0.20903075802497789</v>
      </c>
      <c r="J1760" s="794">
        <v>60.061292887743079</v>
      </c>
      <c r="K1760" s="771"/>
    </row>
    <row r="1761" spans="1:11" ht="18.75" customHeight="1" outlineLevel="2">
      <c r="A1761" s="791" t="s">
        <v>776</v>
      </c>
      <c r="B1761" s="791" t="s">
        <v>1028</v>
      </c>
      <c r="C1761" s="791" t="s">
        <v>778</v>
      </c>
      <c r="D1761" s="792" t="s">
        <v>779</v>
      </c>
      <c r="E1761" s="793" t="s">
        <v>662</v>
      </c>
      <c r="F1761" s="793" t="s">
        <v>801</v>
      </c>
      <c r="G1761" s="793" t="s">
        <v>799</v>
      </c>
      <c r="H1761" s="793" t="s">
        <v>800</v>
      </c>
      <c r="I1761" s="794">
        <v>6.3850669377146646E-2</v>
      </c>
      <c r="J1761" s="794">
        <v>25.793929618426525</v>
      </c>
      <c r="K1761" s="771"/>
    </row>
    <row r="1762" spans="1:11" ht="18.75" customHeight="1" outlineLevel="2">
      <c r="A1762" s="791" t="s">
        <v>776</v>
      </c>
      <c r="B1762" s="791" t="s">
        <v>1028</v>
      </c>
      <c r="C1762" s="791" t="s">
        <v>778</v>
      </c>
      <c r="D1762" s="792" t="s">
        <v>779</v>
      </c>
      <c r="E1762" s="793" t="s">
        <v>662</v>
      </c>
      <c r="F1762" s="793" t="s">
        <v>802</v>
      </c>
      <c r="G1762" s="793" t="s">
        <v>799</v>
      </c>
      <c r="H1762" s="793" t="s">
        <v>800</v>
      </c>
      <c r="I1762" s="794">
        <v>2.9061876710574617E-2</v>
      </c>
      <c r="J1762" s="794">
        <v>37.37574676258312</v>
      </c>
      <c r="K1762" s="771"/>
    </row>
    <row r="1763" spans="1:11" ht="18.75" customHeight="1" outlineLevel="2">
      <c r="A1763" s="791" t="s">
        <v>776</v>
      </c>
      <c r="B1763" s="791" t="s">
        <v>1028</v>
      </c>
      <c r="C1763" s="791" t="s">
        <v>778</v>
      </c>
      <c r="D1763" s="792" t="s">
        <v>779</v>
      </c>
      <c r="E1763" s="793" t="s">
        <v>662</v>
      </c>
      <c r="F1763" s="793" t="s">
        <v>803</v>
      </c>
      <c r="G1763" s="793" t="s">
        <v>782</v>
      </c>
      <c r="H1763" s="793" t="s">
        <v>804</v>
      </c>
      <c r="I1763" s="794">
        <v>4.2288981073691162E-3</v>
      </c>
      <c r="J1763" s="794">
        <v>2.6239474837767407</v>
      </c>
      <c r="K1763" s="771"/>
    </row>
    <row r="1764" spans="1:11" ht="18.75" customHeight="1" outlineLevel="2">
      <c r="A1764" s="791" t="s">
        <v>776</v>
      </c>
      <c r="B1764" s="791" t="s">
        <v>1028</v>
      </c>
      <c r="C1764" s="791" t="s">
        <v>778</v>
      </c>
      <c r="D1764" s="792" t="s">
        <v>779</v>
      </c>
      <c r="E1764" s="793" t="s">
        <v>662</v>
      </c>
      <c r="F1764" s="793" t="s">
        <v>805</v>
      </c>
      <c r="G1764" s="793" t="s">
        <v>782</v>
      </c>
      <c r="H1764" s="793" t="s">
        <v>804</v>
      </c>
      <c r="I1764" s="794">
        <v>3.5095380722611986E-4</v>
      </c>
      <c r="J1764" s="794">
        <v>0.16996919212265987</v>
      </c>
      <c r="K1764" s="771"/>
    </row>
    <row r="1765" spans="1:11" ht="18.75" customHeight="1" outlineLevel="2">
      <c r="A1765" s="791" t="s">
        <v>776</v>
      </c>
      <c r="B1765" s="791" t="s">
        <v>1028</v>
      </c>
      <c r="C1765" s="791" t="s">
        <v>778</v>
      </c>
      <c r="D1765" s="792" t="s">
        <v>779</v>
      </c>
      <c r="E1765" s="793" t="s">
        <v>662</v>
      </c>
      <c r="F1765" s="793" t="s">
        <v>806</v>
      </c>
      <c r="G1765" s="793" t="s">
        <v>782</v>
      </c>
      <c r="H1765" s="793" t="s">
        <v>804</v>
      </c>
      <c r="I1765" s="794">
        <v>4.253098578341303E-4</v>
      </c>
      <c r="J1765" s="794">
        <v>0.20316142901701154</v>
      </c>
      <c r="K1765" s="771"/>
    </row>
    <row r="1766" spans="1:11" ht="18.75" customHeight="1" outlineLevel="2">
      <c r="A1766" s="791" t="s">
        <v>776</v>
      </c>
      <c r="B1766" s="791" t="s">
        <v>1028</v>
      </c>
      <c r="C1766" s="791" t="s">
        <v>778</v>
      </c>
      <c r="D1766" s="792" t="s">
        <v>779</v>
      </c>
      <c r="E1766" s="793" t="s">
        <v>662</v>
      </c>
      <c r="F1766" s="793" t="s">
        <v>807</v>
      </c>
      <c r="G1766" s="793" t="s">
        <v>782</v>
      </c>
      <c r="H1766" s="793" t="s">
        <v>804</v>
      </c>
      <c r="I1766" s="794">
        <v>3.1453495408817807E-6</v>
      </c>
      <c r="J1766" s="794">
        <v>1.407690415260439E-3</v>
      </c>
      <c r="K1766" s="771"/>
    </row>
    <row r="1767" spans="1:11" ht="18.75" customHeight="1" outlineLevel="2">
      <c r="A1767" s="791" t="s">
        <v>776</v>
      </c>
      <c r="B1767" s="791" t="s">
        <v>1028</v>
      </c>
      <c r="C1767" s="791" t="s">
        <v>778</v>
      </c>
      <c r="D1767" s="792" t="s">
        <v>779</v>
      </c>
      <c r="E1767" s="793" t="s">
        <v>662</v>
      </c>
      <c r="F1767" s="793" t="s">
        <v>808</v>
      </c>
      <c r="G1767" s="793" t="s">
        <v>782</v>
      </c>
      <c r="H1767" s="793" t="s">
        <v>804</v>
      </c>
      <c r="I1767" s="794">
        <v>1.2123798117978889E-2</v>
      </c>
      <c r="J1767" s="794">
        <v>6.7697349017253439</v>
      </c>
      <c r="K1767" s="771"/>
    </row>
    <row r="1768" spans="1:11" ht="18.75" customHeight="1" outlineLevel="2">
      <c r="A1768" s="791" t="s">
        <v>776</v>
      </c>
      <c r="B1768" s="791" t="s">
        <v>1028</v>
      </c>
      <c r="C1768" s="791" t="s">
        <v>778</v>
      </c>
      <c r="D1768" s="792" t="s">
        <v>779</v>
      </c>
      <c r="E1768" s="793" t="s">
        <v>662</v>
      </c>
      <c r="F1768" s="793" t="s">
        <v>809</v>
      </c>
      <c r="G1768" s="793" t="s">
        <v>782</v>
      </c>
      <c r="H1768" s="793" t="s">
        <v>804</v>
      </c>
      <c r="I1768" s="794">
        <v>8.8645444464947244E-5</v>
      </c>
      <c r="J1768" s="794">
        <v>3.9672890335849101E-2</v>
      </c>
      <c r="K1768" s="771"/>
    </row>
    <row r="1769" spans="1:11" ht="18.75" customHeight="1" outlineLevel="2">
      <c r="A1769" s="791" t="s">
        <v>776</v>
      </c>
      <c r="B1769" s="791" t="s">
        <v>1028</v>
      </c>
      <c r="C1769" s="791" t="s">
        <v>778</v>
      </c>
      <c r="D1769" s="792" t="s">
        <v>779</v>
      </c>
      <c r="E1769" s="793" t="s">
        <v>662</v>
      </c>
      <c r="F1769" s="793" t="s">
        <v>810</v>
      </c>
      <c r="G1769" s="793" t="s">
        <v>785</v>
      </c>
      <c r="H1769" s="793" t="s">
        <v>727</v>
      </c>
      <c r="I1769" s="794">
        <v>9.9515986677128866E-4</v>
      </c>
      <c r="J1769" s="794">
        <v>0.44538023219956674</v>
      </c>
      <c r="K1769" s="771"/>
    </row>
    <row r="1770" spans="1:11" ht="18.75" customHeight="1" outlineLevel="2">
      <c r="A1770" s="791" t="s">
        <v>776</v>
      </c>
      <c r="B1770" s="791" t="s">
        <v>1028</v>
      </c>
      <c r="C1770" s="791" t="s">
        <v>778</v>
      </c>
      <c r="D1770" s="792" t="s">
        <v>779</v>
      </c>
      <c r="E1770" s="793" t="s">
        <v>662</v>
      </c>
      <c r="F1770" s="793" t="s">
        <v>811</v>
      </c>
      <c r="G1770" s="793" t="s">
        <v>785</v>
      </c>
      <c r="H1770" s="793" t="s">
        <v>727</v>
      </c>
      <c r="I1770" s="794">
        <v>7.6150943801011053E-5</v>
      </c>
      <c r="J1770" s="794">
        <v>3.4081142536613374E-2</v>
      </c>
      <c r="K1770" s="771"/>
    </row>
    <row r="1771" spans="1:11" ht="18.75" customHeight="1" outlineLevel="2">
      <c r="A1771" s="791" t="s">
        <v>776</v>
      </c>
      <c r="B1771" s="791" t="s">
        <v>1028</v>
      </c>
      <c r="C1771" s="791" t="s">
        <v>778</v>
      </c>
      <c r="D1771" s="792" t="s">
        <v>779</v>
      </c>
      <c r="E1771" s="793" t="s">
        <v>662</v>
      </c>
      <c r="F1771" s="793" t="s">
        <v>812</v>
      </c>
      <c r="G1771" s="793" t="s">
        <v>813</v>
      </c>
      <c r="H1771" s="793" t="s">
        <v>814</v>
      </c>
      <c r="I1771" s="794">
        <v>2.3388159962250414E-3</v>
      </c>
      <c r="J1771" s="794">
        <v>1.2808902054568116</v>
      </c>
      <c r="K1771" s="771"/>
    </row>
    <row r="1772" spans="1:11" ht="18.75" customHeight="1" outlineLevel="2">
      <c r="A1772" s="791" t="s">
        <v>776</v>
      </c>
      <c r="B1772" s="791" t="s">
        <v>1028</v>
      </c>
      <c r="C1772" s="791" t="s">
        <v>778</v>
      </c>
      <c r="D1772" s="792" t="s">
        <v>779</v>
      </c>
      <c r="E1772" s="793" t="s">
        <v>662</v>
      </c>
      <c r="F1772" s="793" t="s">
        <v>815</v>
      </c>
      <c r="G1772" s="793" t="s">
        <v>813</v>
      </c>
      <c r="H1772" s="793" t="s">
        <v>814</v>
      </c>
      <c r="I1772" s="794">
        <v>4.0870244297623218E-2</v>
      </c>
      <c r="J1772" s="794">
        <v>21.965516795911753</v>
      </c>
      <c r="K1772" s="771"/>
    </row>
    <row r="1773" spans="1:11" ht="18.75" customHeight="1" outlineLevel="2">
      <c r="A1773" s="791" t="s">
        <v>776</v>
      </c>
      <c r="B1773" s="791" t="s">
        <v>1028</v>
      </c>
      <c r="C1773" s="791" t="s">
        <v>778</v>
      </c>
      <c r="D1773" s="792" t="s">
        <v>779</v>
      </c>
      <c r="E1773" s="793" t="s">
        <v>662</v>
      </c>
      <c r="F1773" s="793" t="s">
        <v>816</v>
      </c>
      <c r="G1773" s="793" t="s">
        <v>813</v>
      </c>
      <c r="H1773" s="793" t="s">
        <v>814</v>
      </c>
      <c r="I1773" s="794">
        <v>3.2917709771890576E-2</v>
      </c>
      <c r="J1773" s="794">
        <v>17.102303990611738</v>
      </c>
      <c r="K1773" s="771"/>
    </row>
    <row r="1774" spans="1:11" ht="18.75" customHeight="1" outlineLevel="2">
      <c r="A1774" s="791" t="s">
        <v>776</v>
      </c>
      <c r="B1774" s="791" t="s">
        <v>1028</v>
      </c>
      <c r="C1774" s="791" t="s">
        <v>778</v>
      </c>
      <c r="D1774" s="792" t="s">
        <v>779</v>
      </c>
      <c r="E1774" s="793" t="s">
        <v>662</v>
      </c>
      <c r="F1774" s="793" t="s">
        <v>817</v>
      </c>
      <c r="G1774" s="793" t="s">
        <v>813</v>
      </c>
      <c r="H1774" s="793" t="s">
        <v>814</v>
      </c>
      <c r="I1774" s="794">
        <v>0.38645115548767711</v>
      </c>
      <c r="J1774" s="794">
        <v>211.54480986987011</v>
      </c>
      <c r="K1774" s="771"/>
    </row>
    <row r="1775" spans="1:11" ht="18.75" customHeight="1" outlineLevel="2">
      <c r="A1775" s="791" t="s">
        <v>776</v>
      </c>
      <c r="B1775" s="791" t="s">
        <v>1028</v>
      </c>
      <c r="C1775" s="791" t="s">
        <v>778</v>
      </c>
      <c r="D1775" s="792" t="s">
        <v>779</v>
      </c>
      <c r="E1775" s="793" t="s">
        <v>662</v>
      </c>
      <c r="F1775" s="793" t="s">
        <v>818</v>
      </c>
      <c r="G1775" s="793" t="s">
        <v>813</v>
      </c>
      <c r="H1775" s="793" t="s">
        <v>814</v>
      </c>
      <c r="I1775" s="794">
        <v>4.0437553845069196E-2</v>
      </c>
      <c r="J1775" s="794">
        <v>23.751391223231078</v>
      </c>
      <c r="K1775" s="771"/>
    </row>
    <row r="1776" spans="1:11" ht="18.75" customHeight="1" outlineLevel="2">
      <c r="A1776" s="791" t="s">
        <v>776</v>
      </c>
      <c r="B1776" s="791" t="s">
        <v>1028</v>
      </c>
      <c r="C1776" s="791" t="s">
        <v>778</v>
      </c>
      <c r="D1776" s="792" t="s">
        <v>779</v>
      </c>
      <c r="E1776" s="793" t="s">
        <v>662</v>
      </c>
      <c r="F1776" s="793" t="s">
        <v>819</v>
      </c>
      <c r="G1776" s="793" t="s">
        <v>813</v>
      </c>
      <c r="H1776" s="793" t="s">
        <v>814</v>
      </c>
      <c r="I1776" s="794">
        <v>0.36567406812956599</v>
      </c>
      <c r="J1776" s="794">
        <v>184.86179119398938</v>
      </c>
      <c r="K1776" s="771"/>
    </row>
    <row r="1777" spans="1:11" ht="18.75" customHeight="1" outlineLevel="2">
      <c r="A1777" s="791" t="s">
        <v>776</v>
      </c>
      <c r="B1777" s="791" t="s">
        <v>1028</v>
      </c>
      <c r="C1777" s="791" t="s">
        <v>778</v>
      </c>
      <c r="D1777" s="792" t="s">
        <v>779</v>
      </c>
      <c r="E1777" s="793" t="s">
        <v>662</v>
      </c>
      <c r="F1777" s="793" t="s">
        <v>820</v>
      </c>
      <c r="G1777" s="793" t="s">
        <v>813</v>
      </c>
      <c r="H1777" s="793" t="s">
        <v>814</v>
      </c>
      <c r="I1777" s="794">
        <v>2.8502232189261761E-2</v>
      </c>
      <c r="J1777" s="794">
        <v>15.286339226715645</v>
      </c>
      <c r="K1777" s="771"/>
    </row>
    <row r="1778" spans="1:11" ht="18.75" customHeight="1" outlineLevel="2">
      <c r="A1778" s="791" t="s">
        <v>776</v>
      </c>
      <c r="B1778" s="791" t="s">
        <v>1028</v>
      </c>
      <c r="C1778" s="791" t="s">
        <v>778</v>
      </c>
      <c r="D1778" s="792" t="s">
        <v>779</v>
      </c>
      <c r="E1778" s="793" t="s">
        <v>662</v>
      </c>
      <c r="F1778" s="793" t="s">
        <v>821</v>
      </c>
      <c r="G1778" s="793" t="s">
        <v>813</v>
      </c>
      <c r="H1778" s="793" t="s">
        <v>814</v>
      </c>
      <c r="I1778" s="794">
        <v>0.32274156764552586</v>
      </c>
      <c r="J1778" s="794">
        <v>172.61684462853742</v>
      </c>
      <c r="K1778" s="771"/>
    </row>
    <row r="1779" spans="1:11" ht="18.75" customHeight="1" outlineLevel="2">
      <c r="A1779" s="791" t="s">
        <v>776</v>
      </c>
      <c r="B1779" s="791" t="s">
        <v>1028</v>
      </c>
      <c r="C1779" s="791" t="s">
        <v>778</v>
      </c>
      <c r="D1779" s="792" t="s">
        <v>779</v>
      </c>
      <c r="E1779" s="793" t="s">
        <v>662</v>
      </c>
      <c r="F1779" s="793" t="s">
        <v>824</v>
      </c>
      <c r="G1779" s="793" t="s">
        <v>813</v>
      </c>
      <c r="H1779" s="793" t="s">
        <v>814</v>
      </c>
      <c r="I1779" s="794">
        <v>1.8459569398472867E-4</v>
      </c>
      <c r="J1779" s="794">
        <v>9.2109609553504362E-2</v>
      </c>
      <c r="K1779" s="771"/>
    </row>
    <row r="1780" spans="1:11" ht="18.75" customHeight="1" outlineLevel="2">
      <c r="A1780" s="791" t="s">
        <v>776</v>
      </c>
      <c r="B1780" s="791" t="s">
        <v>1028</v>
      </c>
      <c r="C1780" s="791" t="s">
        <v>778</v>
      </c>
      <c r="D1780" s="792" t="s">
        <v>779</v>
      </c>
      <c r="E1780" s="793" t="s">
        <v>662</v>
      </c>
      <c r="F1780" s="793" t="s">
        <v>825</v>
      </c>
      <c r="G1780" s="793" t="s">
        <v>791</v>
      </c>
      <c r="H1780" s="793" t="s">
        <v>826</v>
      </c>
      <c r="I1780" s="794">
        <v>9.3475975640254874E-4</v>
      </c>
      <c r="J1780" s="794">
        <v>0.56844870669679837</v>
      </c>
      <c r="K1780" s="771"/>
    </row>
    <row r="1781" spans="1:11" ht="18.75" customHeight="1" outlineLevel="2">
      <c r="A1781" s="791" t="s">
        <v>776</v>
      </c>
      <c r="B1781" s="791" t="s">
        <v>1028</v>
      </c>
      <c r="C1781" s="791" t="s">
        <v>778</v>
      </c>
      <c r="D1781" s="792" t="s">
        <v>779</v>
      </c>
      <c r="E1781" s="793" t="s">
        <v>662</v>
      </c>
      <c r="F1781" s="793" t="s">
        <v>827</v>
      </c>
      <c r="G1781" s="793" t="s">
        <v>794</v>
      </c>
      <c r="H1781" s="793" t="s">
        <v>828</v>
      </c>
      <c r="I1781" s="794">
        <v>4.1496667155972149E-3</v>
      </c>
      <c r="J1781" s="794">
        <v>2.0545417010190064</v>
      </c>
      <c r="K1781" s="771"/>
    </row>
    <row r="1782" spans="1:11" ht="18.75" customHeight="1" outlineLevel="2">
      <c r="A1782" s="791" t="s">
        <v>776</v>
      </c>
      <c r="B1782" s="791" t="s">
        <v>1028</v>
      </c>
      <c r="C1782" s="791" t="s">
        <v>778</v>
      </c>
      <c r="D1782" s="792" t="s">
        <v>779</v>
      </c>
      <c r="E1782" s="793" t="s">
        <v>662</v>
      </c>
      <c r="F1782" s="793" t="s">
        <v>829</v>
      </c>
      <c r="G1782" s="793" t="s">
        <v>794</v>
      </c>
      <c r="H1782" s="793" t="s">
        <v>828</v>
      </c>
      <c r="I1782" s="794">
        <v>2.6481479618900503E-2</v>
      </c>
      <c r="J1782" s="794">
        <v>13.706101660391521</v>
      </c>
      <c r="K1782" s="771"/>
    </row>
    <row r="1783" spans="1:11" ht="18.75" customHeight="1" outlineLevel="2">
      <c r="A1783" s="791" t="s">
        <v>776</v>
      </c>
      <c r="B1783" s="791" t="s">
        <v>1028</v>
      </c>
      <c r="C1783" s="791" t="s">
        <v>778</v>
      </c>
      <c r="D1783" s="792" t="s">
        <v>779</v>
      </c>
      <c r="E1783" s="793" t="s">
        <v>662</v>
      </c>
      <c r="F1783" s="793" t="s">
        <v>830</v>
      </c>
      <c r="G1783" s="793" t="s">
        <v>794</v>
      </c>
      <c r="H1783" s="793" t="s">
        <v>828</v>
      </c>
      <c r="I1783" s="794">
        <v>1.062168695797661E-5</v>
      </c>
      <c r="J1783" s="794">
        <v>4.7536951824713528E-3</v>
      </c>
      <c r="K1783" s="771"/>
    </row>
    <row r="1784" spans="1:11" ht="18.75" customHeight="1" outlineLevel="2">
      <c r="A1784" s="791" t="s">
        <v>776</v>
      </c>
      <c r="B1784" s="791" t="s">
        <v>1028</v>
      </c>
      <c r="C1784" s="791" t="s">
        <v>778</v>
      </c>
      <c r="D1784" s="792" t="s">
        <v>779</v>
      </c>
      <c r="E1784" s="793" t="s">
        <v>662</v>
      </c>
      <c r="F1784" s="793" t="s">
        <v>831</v>
      </c>
      <c r="G1784" s="793" t="s">
        <v>794</v>
      </c>
      <c r="H1784" s="793" t="s">
        <v>828</v>
      </c>
      <c r="I1784" s="794">
        <v>1.8527596747825538E-4</v>
      </c>
      <c r="J1784" s="794">
        <v>8.2919558478799296E-2</v>
      </c>
      <c r="K1784" s="771"/>
    </row>
    <row r="1785" spans="1:11" ht="18.75" customHeight="1" outlineLevel="2">
      <c r="A1785" s="791" t="s">
        <v>776</v>
      </c>
      <c r="B1785" s="791" t="s">
        <v>1028</v>
      </c>
      <c r="C1785" s="791" t="s">
        <v>778</v>
      </c>
      <c r="D1785" s="792" t="s">
        <v>779</v>
      </c>
      <c r="E1785" s="793" t="s">
        <v>662</v>
      </c>
      <c r="F1785" s="793" t="s">
        <v>832</v>
      </c>
      <c r="G1785" s="793" t="s">
        <v>833</v>
      </c>
      <c r="H1785" s="793" t="s">
        <v>834</v>
      </c>
      <c r="I1785" s="794">
        <v>2.2517406141117909E-2</v>
      </c>
      <c r="J1785" s="794">
        <v>12.999949660052435</v>
      </c>
      <c r="K1785" s="771"/>
    </row>
    <row r="1786" spans="1:11" ht="18.75" customHeight="1" outlineLevel="2">
      <c r="A1786" s="791" t="s">
        <v>776</v>
      </c>
      <c r="B1786" s="791" t="s">
        <v>1028</v>
      </c>
      <c r="C1786" s="791" t="s">
        <v>778</v>
      </c>
      <c r="D1786" s="792" t="s">
        <v>779</v>
      </c>
      <c r="E1786" s="793" t="s">
        <v>662</v>
      </c>
      <c r="F1786" s="793" t="s">
        <v>835</v>
      </c>
      <c r="G1786" s="793" t="s">
        <v>799</v>
      </c>
      <c r="H1786" s="793" t="s">
        <v>800</v>
      </c>
      <c r="I1786" s="794">
        <v>3.9499228492607605E-2</v>
      </c>
      <c r="J1786" s="794">
        <v>28.011373480182471</v>
      </c>
      <c r="K1786" s="771"/>
    </row>
    <row r="1787" spans="1:11" ht="18.75" customHeight="1" outlineLevel="2">
      <c r="A1787" s="791" t="s">
        <v>776</v>
      </c>
      <c r="B1787" s="791" t="s">
        <v>1028</v>
      </c>
      <c r="C1787" s="791" t="s">
        <v>778</v>
      </c>
      <c r="D1787" s="792" t="s">
        <v>779</v>
      </c>
      <c r="E1787" s="793" t="s">
        <v>662</v>
      </c>
      <c r="F1787" s="793" t="s">
        <v>836</v>
      </c>
      <c r="G1787" s="793" t="s">
        <v>799</v>
      </c>
      <c r="H1787" s="793" t="s">
        <v>800</v>
      </c>
      <c r="I1787" s="794">
        <v>0.29107940345921196</v>
      </c>
      <c r="J1787" s="794">
        <v>266.29801724204191</v>
      </c>
      <c r="K1787" s="771"/>
    </row>
    <row r="1788" spans="1:11" ht="18.75" customHeight="1" outlineLevel="2">
      <c r="A1788" s="791" t="s">
        <v>776</v>
      </c>
      <c r="B1788" s="791" t="s">
        <v>1028</v>
      </c>
      <c r="C1788" s="791" t="s">
        <v>778</v>
      </c>
      <c r="D1788" s="792" t="s">
        <v>779</v>
      </c>
      <c r="E1788" s="793" t="s">
        <v>662</v>
      </c>
      <c r="F1788" s="793" t="s">
        <v>837</v>
      </c>
      <c r="G1788" s="793" t="s">
        <v>799</v>
      </c>
      <c r="H1788" s="793" t="s">
        <v>800</v>
      </c>
      <c r="I1788" s="794">
        <v>0.13669652895218307</v>
      </c>
      <c r="J1788" s="794">
        <v>182.18545927328907</v>
      </c>
      <c r="K1788" s="771"/>
    </row>
    <row r="1789" spans="1:11" ht="18.75" customHeight="1" outlineLevel="2">
      <c r="A1789" s="791" t="s">
        <v>776</v>
      </c>
      <c r="B1789" s="791" t="s">
        <v>1028</v>
      </c>
      <c r="C1789" s="791" t="s">
        <v>778</v>
      </c>
      <c r="D1789" s="792" t="s">
        <v>779</v>
      </c>
      <c r="E1789" s="793" t="s">
        <v>662</v>
      </c>
      <c r="F1789" s="793" t="s">
        <v>838</v>
      </c>
      <c r="G1789" s="793" t="s">
        <v>799</v>
      </c>
      <c r="H1789" s="793" t="s">
        <v>800</v>
      </c>
      <c r="I1789" s="794">
        <v>3.9118451773132529E-2</v>
      </c>
      <c r="J1789" s="794">
        <v>35.717344048424316</v>
      </c>
      <c r="K1789" s="771"/>
    </row>
    <row r="1790" spans="1:11" ht="18.75" customHeight="1" outlineLevel="2">
      <c r="A1790" s="791" t="s">
        <v>776</v>
      </c>
      <c r="B1790" s="791" t="s">
        <v>1028</v>
      </c>
      <c r="C1790" s="791" t="s">
        <v>778</v>
      </c>
      <c r="D1790" s="792" t="s">
        <v>779</v>
      </c>
      <c r="E1790" s="793" t="s">
        <v>662</v>
      </c>
      <c r="F1790" s="793" t="s">
        <v>839</v>
      </c>
      <c r="G1790" s="793" t="s">
        <v>782</v>
      </c>
      <c r="H1790" s="793" t="s">
        <v>804</v>
      </c>
      <c r="I1790" s="794">
        <v>1.4221953841770376E-3</v>
      </c>
      <c r="J1790" s="794">
        <v>2.3260095028037417</v>
      </c>
      <c r="K1790" s="771"/>
    </row>
    <row r="1791" spans="1:11" ht="18.75" customHeight="1" outlineLevel="2">
      <c r="A1791" s="791" t="s">
        <v>776</v>
      </c>
      <c r="B1791" s="791" t="s">
        <v>1028</v>
      </c>
      <c r="C1791" s="791" t="s">
        <v>778</v>
      </c>
      <c r="D1791" s="792" t="s">
        <v>779</v>
      </c>
      <c r="E1791" s="793" t="s">
        <v>662</v>
      </c>
      <c r="F1791" s="793" t="s">
        <v>840</v>
      </c>
      <c r="G1791" s="793" t="s">
        <v>782</v>
      </c>
      <c r="H1791" s="793" t="s">
        <v>804</v>
      </c>
      <c r="I1791" s="794">
        <v>1.1363901162240715E-5</v>
      </c>
      <c r="J1791" s="794">
        <v>1.7361639268426755E-2</v>
      </c>
      <c r="K1791" s="771"/>
    </row>
    <row r="1792" spans="1:11" ht="18.75" customHeight="1" outlineLevel="2">
      <c r="A1792" s="791" t="s">
        <v>776</v>
      </c>
      <c r="B1792" s="791" t="s">
        <v>1028</v>
      </c>
      <c r="C1792" s="791" t="s">
        <v>778</v>
      </c>
      <c r="D1792" s="792" t="s">
        <v>779</v>
      </c>
      <c r="E1792" s="793" t="s">
        <v>662</v>
      </c>
      <c r="F1792" s="793" t="s">
        <v>841</v>
      </c>
      <c r="G1792" s="793" t="s">
        <v>782</v>
      </c>
      <c r="H1792" s="793" t="s">
        <v>804</v>
      </c>
      <c r="I1792" s="794">
        <v>3.0726210543130946E-3</v>
      </c>
      <c r="J1792" s="794">
        <v>4.3696916819662102</v>
      </c>
      <c r="K1792" s="771"/>
    </row>
    <row r="1793" spans="1:11" ht="18.75" customHeight="1" outlineLevel="2">
      <c r="A1793" s="791" t="s">
        <v>776</v>
      </c>
      <c r="B1793" s="791" t="s">
        <v>1028</v>
      </c>
      <c r="C1793" s="791" t="s">
        <v>778</v>
      </c>
      <c r="D1793" s="792" t="s">
        <v>779</v>
      </c>
      <c r="E1793" s="793" t="s">
        <v>662</v>
      </c>
      <c r="F1793" s="793" t="s">
        <v>842</v>
      </c>
      <c r="G1793" s="793" t="s">
        <v>782</v>
      </c>
      <c r="H1793" s="793" t="s">
        <v>804</v>
      </c>
      <c r="I1793" s="794">
        <v>2.5073753440025778E-3</v>
      </c>
      <c r="J1793" s="794">
        <v>4.1139920086001407</v>
      </c>
      <c r="K1793" s="771"/>
    </row>
    <row r="1794" spans="1:11" ht="18.75" customHeight="1" outlineLevel="2">
      <c r="A1794" s="791" t="s">
        <v>776</v>
      </c>
      <c r="B1794" s="791" t="s">
        <v>1028</v>
      </c>
      <c r="C1794" s="791" t="s">
        <v>778</v>
      </c>
      <c r="D1794" s="792" t="s">
        <v>779</v>
      </c>
      <c r="E1794" s="793" t="s">
        <v>662</v>
      </c>
      <c r="F1794" s="793" t="s">
        <v>843</v>
      </c>
      <c r="G1794" s="793" t="s">
        <v>782</v>
      </c>
      <c r="H1794" s="793" t="s">
        <v>804</v>
      </c>
      <c r="I1794" s="794">
        <v>5.60737537910703E-3</v>
      </c>
      <c r="J1794" s="794">
        <v>8.2102594845698285</v>
      </c>
      <c r="K1794" s="771"/>
    </row>
    <row r="1795" spans="1:11" ht="18.75" customHeight="1" outlineLevel="2">
      <c r="A1795" s="791" t="s">
        <v>776</v>
      </c>
      <c r="B1795" s="791" t="s">
        <v>1028</v>
      </c>
      <c r="C1795" s="791" t="s">
        <v>778</v>
      </c>
      <c r="D1795" s="792" t="s">
        <v>779</v>
      </c>
      <c r="E1795" s="793" t="s">
        <v>662</v>
      </c>
      <c r="F1795" s="793" t="s">
        <v>844</v>
      </c>
      <c r="G1795" s="793" t="s">
        <v>782</v>
      </c>
      <c r="H1795" s="793" t="s">
        <v>804</v>
      </c>
      <c r="I1795" s="794">
        <v>2.4325832974535278E-3</v>
      </c>
      <c r="J1795" s="794">
        <v>3.4571277216824328</v>
      </c>
      <c r="K1795" s="771"/>
    </row>
    <row r="1796" spans="1:11" ht="18.75" customHeight="1" outlineLevel="2">
      <c r="A1796" s="791" t="s">
        <v>776</v>
      </c>
      <c r="B1796" s="791" t="s">
        <v>1028</v>
      </c>
      <c r="C1796" s="791" t="s">
        <v>778</v>
      </c>
      <c r="D1796" s="792" t="s">
        <v>779</v>
      </c>
      <c r="E1796" s="793" t="s">
        <v>662</v>
      </c>
      <c r="F1796" s="793" t="s">
        <v>845</v>
      </c>
      <c r="G1796" s="793" t="s">
        <v>782</v>
      </c>
      <c r="H1796" s="793" t="s">
        <v>804</v>
      </c>
      <c r="I1796" s="794">
        <v>1.3248201067695461E-4</v>
      </c>
      <c r="J1796" s="794">
        <v>0.18017904094986298</v>
      </c>
      <c r="K1796" s="771"/>
    </row>
    <row r="1797" spans="1:11" ht="18.75" customHeight="1" outlineLevel="2">
      <c r="A1797" s="791" t="s">
        <v>776</v>
      </c>
      <c r="B1797" s="791" t="s">
        <v>1028</v>
      </c>
      <c r="C1797" s="791" t="s">
        <v>778</v>
      </c>
      <c r="D1797" s="792" t="s">
        <v>779</v>
      </c>
      <c r="E1797" s="793" t="s">
        <v>662</v>
      </c>
      <c r="F1797" s="793" t="s">
        <v>846</v>
      </c>
      <c r="G1797" s="793" t="s">
        <v>782</v>
      </c>
      <c r="H1797" s="793" t="s">
        <v>804</v>
      </c>
      <c r="I1797" s="794">
        <v>4.6105985579425668E-3</v>
      </c>
      <c r="J1797" s="794">
        <v>7.2347064203487559</v>
      </c>
      <c r="K1797" s="771"/>
    </row>
    <row r="1798" spans="1:11" ht="18.75" customHeight="1" outlineLevel="2">
      <c r="A1798" s="791" t="s">
        <v>776</v>
      </c>
      <c r="B1798" s="791" t="s">
        <v>1028</v>
      </c>
      <c r="C1798" s="791" t="s">
        <v>778</v>
      </c>
      <c r="D1798" s="792" t="s">
        <v>779</v>
      </c>
      <c r="E1798" s="793" t="s">
        <v>662</v>
      </c>
      <c r="F1798" s="793" t="s">
        <v>847</v>
      </c>
      <c r="G1798" s="793" t="s">
        <v>782</v>
      </c>
      <c r="H1798" s="793" t="s">
        <v>804</v>
      </c>
      <c r="I1798" s="794">
        <v>2.1982750916884472E-3</v>
      </c>
      <c r="J1798" s="794">
        <v>2.6832227370848956</v>
      </c>
      <c r="K1798" s="771"/>
    </row>
    <row r="1799" spans="1:11" ht="18.75" customHeight="1" outlineLevel="2">
      <c r="A1799" s="791" t="s">
        <v>776</v>
      </c>
      <c r="B1799" s="791" t="s">
        <v>1028</v>
      </c>
      <c r="C1799" s="791" t="s">
        <v>778</v>
      </c>
      <c r="D1799" s="792" t="s">
        <v>779</v>
      </c>
      <c r="E1799" s="793" t="s">
        <v>662</v>
      </c>
      <c r="F1799" s="793" t="s">
        <v>848</v>
      </c>
      <c r="G1799" s="793" t="s">
        <v>782</v>
      </c>
      <c r="H1799" s="793" t="s">
        <v>804</v>
      </c>
      <c r="I1799" s="794">
        <v>1.0386248044518114E-2</v>
      </c>
      <c r="J1799" s="794">
        <v>15.075546759104345</v>
      </c>
      <c r="K1799" s="771"/>
    </row>
    <row r="1800" spans="1:11" ht="18.75" customHeight="1" outlineLevel="2">
      <c r="A1800" s="791" t="s">
        <v>776</v>
      </c>
      <c r="B1800" s="791" t="s">
        <v>1028</v>
      </c>
      <c r="C1800" s="791" t="s">
        <v>778</v>
      </c>
      <c r="D1800" s="792" t="s">
        <v>779</v>
      </c>
      <c r="E1800" s="793" t="s">
        <v>662</v>
      </c>
      <c r="F1800" s="793" t="s">
        <v>849</v>
      </c>
      <c r="G1800" s="793" t="s">
        <v>782</v>
      </c>
      <c r="H1800" s="793" t="s">
        <v>804</v>
      </c>
      <c r="I1800" s="794">
        <v>5.2650686468057109E-3</v>
      </c>
      <c r="J1800" s="794">
        <v>7.2396923164959439</v>
      </c>
      <c r="K1800" s="771"/>
    </row>
    <row r="1801" spans="1:11" ht="18.75" customHeight="1" outlineLevel="2">
      <c r="A1801" s="791" t="s">
        <v>776</v>
      </c>
      <c r="B1801" s="791" t="s">
        <v>1028</v>
      </c>
      <c r="C1801" s="791" t="s">
        <v>778</v>
      </c>
      <c r="D1801" s="792" t="s">
        <v>779</v>
      </c>
      <c r="E1801" s="793" t="s">
        <v>662</v>
      </c>
      <c r="F1801" s="793" t="s">
        <v>850</v>
      </c>
      <c r="G1801" s="793" t="s">
        <v>782</v>
      </c>
      <c r="H1801" s="793" t="s">
        <v>804</v>
      </c>
      <c r="I1801" s="794">
        <v>4.1649793215344866E-4</v>
      </c>
      <c r="J1801" s="794">
        <v>0.58314790616285228</v>
      </c>
      <c r="K1801" s="771"/>
    </row>
    <row r="1802" spans="1:11" ht="18.75" customHeight="1" outlineLevel="2">
      <c r="A1802" s="791" t="s">
        <v>776</v>
      </c>
      <c r="B1802" s="791" t="s">
        <v>1028</v>
      </c>
      <c r="C1802" s="791" t="s">
        <v>778</v>
      </c>
      <c r="D1802" s="792" t="s">
        <v>779</v>
      </c>
      <c r="E1802" s="793" t="s">
        <v>662</v>
      </c>
      <c r="F1802" s="793" t="s">
        <v>851</v>
      </c>
      <c r="G1802" s="793" t="s">
        <v>782</v>
      </c>
      <c r="H1802" s="793" t="s">
        <v>804</v>
      </c>
      <c r="I1802" s="794">
        <v>6.8341158016905817E-4</v>
      </c>
      <c r="J1802" s="794">
        <v>0.97925157973503185</v>
      </c>
      <c r="K1802" s="771"/>
    </row>
    <row r="1803" spans="1:11" ht="18.75" customHeight="1" outlineLevel="2">
      <c r="A1803" s="791" t="s">
        <v>776</v>
      </c>
      <c r="B1803" s="791" t="s">
        <v>1028</v>
      </c>
      <c r="C1803" s="791" t="s">
        <v>778</v>
      </c>
      <c r="D1803" s="792" t="s">
        <v>779</v>
      </c>
      <c r="E1803" s="793" t="s">
        <v>662</v>
      </c>
      <c r="F1803" s="793" t="s">
        <v>852</v>
      </c>
      <c r="G1803" s="793" t="s">
        <v>782</v>
      </c>
      <c r="H1803" s="793" t="s">
        <v>804</v>
      </c>
      <c r="I1803" s="794">
        <v>2.9939332414182E-4</v>
      </c>
      <c r="J1803" s="794">
        <v>0.87504121084153674</v>
      </c>
      <c r="K1803" s="771"/>
    </row>
    <row r="1804" spans="1:11" ht="18.75" customHeight="1" outlineLevel="2">
      <c r="A1804" s="791" t="s">
        <v>776</v>
      </c>
      <c r="B1804" s="791" t="s">
        <v>1028</v>
      </c>
      <c r="C1804" s="791" t="s">
        <v>778</v>
      </c>
      <c r="D1804" s="792" t="s">
        <v>779</v>
      </c>
      <c r="E1804" s="793" t="s">
        <v>662</v>
      </c>
      <c r="F1804" s="793" t="s">
        <v>853</v>
      </c>
      <c r="G1804" s="793" t="s">
        <v>782</v>
      </c>
      <c r="H1804" s="793" t="s">
        <v>804</v>
      </c>
      <c r="I1804" s="794">
        <v>2.4088403886521272E-4</v>
      </c>
      <c r="J1804" s="794">
        <v>2.0754467836870707</v>
      </c>
      <c r="K1804" s="771"/>
    </row>
    <row r="1805" spans="1:11" ht="18.75" customHeight="1" outlineLevel="2">
      <c r="A1805" s="791" t="s">
        <v>776</v>
      </c>
      <c r="B1805" s="791" t="s">
        <v>1028</v>
      </c>
      <c r="C1805" s="791" t="s">
        <v>778</v>
      </c>
      <c r="D1805" s="792" t="s">
        <v>779</v>
      </c>
      <c r="E1805" s="793" t="s">
        <v>662</v>
      </c>
      <c r="F1805" s="793" t="s">
        <v>854</v>
      </c>
      <c r="G1805" s="793" t="s">
        <v>782</v>
      </c>
      <c r="H1805" s="793" t="s">
        <v>804</v>
      </c>
      <c r="I1805" s="794">
        <v>3.2769007552770828E-3</v>
      </c>
      <c r="J1805" s="794">
        <v>4.9487532543847621</v>
      </c>
      <c r="K1805" s="771"/>
    </row>
    <row r="1806" spans="1:11" ht="18.75" customHeight="1" outlineLevel="2">
      <c r="A1806" s="791" t="s">
        <v>776</v>
      </c>
      <c r="B1806" s="791" t="s">
        <v>1028</v>
      </c>
      <c r="C1806" s="791" t="s">
        <v>778</v>
      </c>
      <c r="D1806" s="792" t="s">
        <v>779</v>
      </c>
      <c r="E1806" s="793" t="s">
        <v>662</v>
      </c>
      <c r="F1806" s="793" t="s">
        <v>855</v>
      </c>
      <c r="G1806" s="793" t="s">
        <v>782</v>
      </c>
      <c r="H1806" s="793" t="s">
        <v>804</v>
      </c>
      <c r="I1806" s="794">
        <v>2.3404064192769167E-3</v>
      </c>
      <c r="J1806" s="794">
        <v>3.4490845029452037</v>
      </c>
      <c r="K1806" s="771"/>
    </row>
    <row r="1807" spans="1:11" ht="18.75" customHeight="1" outlineLevel="2">
      <c r="A1807" s="791" t="s">
        <v>776</v>
      </c>
      <c r="B1807" s="791" t="s">
        <v>1028</v>
      </c>
      <c r="C1807" s="791" t="s">
        <v>778</v>
      </c>
      <c r="D1807" s="792" t="s">
        <v>779</v>
      </c>
      <c r="E1807" s="793" t="s">
        <v>662</v>
      </c>
      <c r="F1807" s="793" t="s">
        <v>856</v>
      </c>
      <c r="G1807" s="793" t="s">
        <v>782</v>
      </c>
      <c r="H1807" s="793" t="s">
        <v>804</v>
      </c>
      <c r="I1807" s="794">
        <v>9.1895531175813705E-4</v>
      </c>
      <c r="J1807" s="794">
        <v>1.1301421472084132</v>
      </c>
      <c r="K1807" s="771"/>
    </row>
    <row r="1808" spans="1:11" ht="18.75" customHeight="1" outlineLevel="2">
      <c r="A1808" s="791" t="s">
        <v>776</v>
      </c>
      <c r="B1808" s="791" t="s">
        <v>1028</v>
      </c>
      <c r="C1808" s="791" t="s">
        <v>778</v>
      </c>
      <c r="D1808" s="792" t="s">
        <v>779</v>
      </c>
      <c r="E1808" s="793" t="s">
        <v>662</v>
      </c>
      <c r="F1808" s="793" t="s">
        <v>857</v>
      </c>
      <c r="G1808" s="793" t="s">
        <v>782</v>
      </c>
      <c r="H1808" s="793" t="s">
        <v>804</v>
      </c>
      <c r="I1808" s="794">
        <v>7.6535466316022171E-4</v>
      </c>
      <c r="J1808" s="794">
        <v>0.82579704041181345</v>
      </c>
      <c r="K1808" s="771"/>
    </row>
    <row r="1809" spans="1:11" ht="18.75" customHeight="1" outlineLevel="2">
      <c r="A1809" s="791" t="s">
        <v>776</v>
      </c>
      <c r="B1809" s="791" t="s">
        <v>1028</v>
      </c>
      <c r="C1809" s="791" t="s">
        <v>778</v>
      </c>
      <c r="D1809" s="792" t="s">
        <v>779</v>
      </c>
      <c r="E1809" s="793" t="s">
        <v>662</v>
      </c>
      <c r="F1809" s="793" t="s">
        <v>858</v>
      </c>
      <c r="G1809" s="793" t="s">
        <v>785</v>
      </c>
      <c r="H1809" s="793" t="s">
        <v>727</v>
      </c>
      <c r="I1809" s="794">
        <v>2.4563988828111519E-2</v>
      </c>
      <c r="J1809" s="794">
        <v>49.368168510999105</v>
      </c>
      <c r="K1809" s="771"/>
    </row>
    <row r="1810" spans="1:11" ht="18.75" customHeight="1" outlineLevel="2">
      <c r="A1810" s="791" t="s">
        <v>776</v>
      </c>
      <c r="B1810" s="791" t="s">
        <v>1028</v>
      </c>
      <c r="C1810" s="791" t="s">
        <v>778</v>
      </c>
      <c r="D1810" s="792" t="s">
        <v>779</v>
      </c>
      <c r="E1810" s="793" t="s">
        <v>662</v>
      </c>
      <c r="F1810" s="793" t="s">
        <v>859</v>
      </c>
      <c r="G1810" s="793" t="s">
        <v>785</v>
      </c>
      <c r="H1810" s="793" t="s">
        <v>727</v>
      </c>
      <c r="I1810" s="794">
        <v>1.764418760387303E-2</v>
      </c>
      <c r="J1810" s="794">
        <v>186.8338176797659</v>
      </c>
      <c r="K1810" s="771"/>
    </row>
    <row r="1811" spans="1:11" ht="18.75" customHeight="1" outlineLevel="2">
      <c r="A1811" s="791" t="s">
        <v>776</v>
      </c>
      <c r="B1811" s="791" t="s">
        <v>1028</v>
      </c>
      <c r="C1811" s="791" t="s">
        <v>778</v>
      </c>
      <c r="D1811" s="792" t="s">
        <v>779</v>
      </c>
      <c r="E1811" s="793" t="s">
        <v>662</v>
      </c>
      <c r="F1811" s="793" t="s">
        <v>860</v>
      </c>
      <c r="G1811" s="793" t="s">
        <v>785</v>
      </c>
      <c r="H1811" s="793" t="s">
        <v>727</v>
      </c>
      <c r="I1811" s="794">
        <v>1.4638456102244138E-2</v>
      </c>
      <c r="J1811" s="794">
        <v>40.14722305384754</v>
      </c>
      <c r="K1811" s="771"/>
    </row>
    <row r="1812" spans="1:11" ht="18.75" customHeight="1" outlineLevel="2">
      <c r="A1812" s="791" t="s">
        <v>776</v>
      </c>
      <c r="B1812" s="791" t="s">
        <v>1028</v>
      </c>
      <c r="C1812" s="791" t="s">
        <v>778</v>
      </c>
      <c r="D1812" s="792" t="s">
        <v>779</v>
      </c>
      <c r="E1812" s="793" t="s">
        <v>662</v>
      </c>
      <c r="F1812" s="793" t="s">
        <v>861</v>
      </c>
      <c r="G1812" s="793" t="s">
        <v>785</v>
      </c>
      <c r="H1812" s="793" t="s">
        <v>727</v>
      </c>
      <c r="I1812" s="794">
        <v>5.6307376807942913E-2</v>
      </c>
      <c r="J1812" s="794">
        <v>75.40751232078901</v>
      </c>
      <c r="K1812" s="771"/>
    </row>
    <row r="1813" spans="1:11" ht="18.75" customHeight="1" outlineLevel="2">
      <c r="A1813" s="791" t="s">
        <v>776</v>
      </c>
      <c r="B1813" s="791" t="s">
        <v>1028</v>
      </c>
      <c r="C1813" s="791" t="s">
        <v>778</v>
      </c>
      <c r="D1813" s="792" t="s">
        <v>779</v>
      </c>
      <c r="E1813" s="793" t="s">
        <v>662</v>
      </c>
      <c r="F1813" s="793" t="s">
        <v>862</v>
      </c>
      <c r="G1813" s="793" t="s">
        <v>785</v>
      </c>
      <c r="H1813" s="793" t="s">
        <v>727</v>
      </c>
      <c r="I1813" s="794">
        <v>1.5889726383201581E-3</v>
      </c>
      <c r="J1813" s="794">
        <v>3.4600195871596426</v>
      </c>
      <c r="K1813" s="771"/>
    </row>
    <row r="1814" spans="1:11" ht="18.75" customHeight="1" outlineLevel="2">
      <c r="A1814" s="791" t="s">
        <v>776</v>
      </c>
      <c r="B1814" s="791" t="s">
        <v>1028</v>
      </c>
      <c r="C1814" s="791" t="s">
        <v>778</v>
      </c>
      <c r="D1814" s="792" t="s">
        <v>779</v>
      </c>
      <c r="E1814" s="793" t="s">
        <v>662</v>
      </c>
      <c r="F1814" s="793" t="s">
        <v>863</v>
      </c>
      <c r="G1814" s="793" t="s">
        <v>785</v>
      </c>
      <c r="H1814" s="793" t="s">
        <v>727</v>
      </c>
      <c r="I1814" s="794">
        <v>6.7104690611905979E-4</v>
      </c>
      <c r="J1814" s="794">
        <v>0.99942195443415027</v>
      </c>
      <c r="K1814" s="771"/>
    </row>
    <row r="1815" spans="1:11" ht="18.75" customHeight="1" outlineLevel="2">
      <c r="A1815" s="791" t="s">
        <v>776</v>
      </c>
      <c r="B1815" s="791" t="s">
        <v>1028</v>
      </c>
      <c r="C1815" s="791" t="s">
        <v>778</v>
      </c>
      <c r="D1815" s="792" t="s">
        <v>779</v>
      </c>
      <c r="E1815" s="793" t="s">
        <v>662</v>
      </c>
      <c r="F1815" s="793" t="s">
        <v>864</v>
      </c>
      <c r="G1815" s="793" t="s">
        <v>785</v>
      </c>
      <c r="H1815" s="793" t="s">
        <v>727</v>
      </c>
      <c r="I1815" s="794">
        <v>1.156568307399867E-3</v>
      </c>
      <c r="J1815" s="794">
        <v>16.500328825856954</v>
      </c>
      <c r="K1815" s="771"/>
    </row>
    <row r="1816" spans="1:11" ht="18.75" customHeight="1" outlineLevel="2">
      <c r="A1816" s="791" t="s">
        <v>776</v>
      </c>
      <c r="B1816" s="791" t="s">
        <v>1028</v>
      </c>
      <c r="C1816" s="791" t="s">
        <v>778</v>
      </c>
      <c r="D1816" s="792" t="s">
        <v>779</v>
      </c>
      <c r="E1816" s="793" t="s">
        <v>662</v>
      </c>
      <c r="F1816" s="793" t="s">
        <v>865</v>
      </c>
      <c r="G1816" s="793" t="s">
        <v>813</v>
      </c>
      <c r="H1816" s="793" t="s">
        <v>814</v>
      </c>
      <c r="I1816" s="794">
        <v>0.20165086551834832</v>
      </c>
      <c r="J1816" s="794">
        <v>216.05257975322681</v>
      </c>
      <c r="K1816" s="771"/>
    </row>
    <row r="1817" spans="1:11" ht="18.75" customHeight="1" outlineLevel="2">
      <c r="A1817" s="791" t="s">
        <v>776</v>
      </c>
      <c r="B1817" s="791" t="s">
        <v>1028</v>
      </c>
      <c r="C1817" s="791" t="s">
        <v>778</v>
      </c>
      <c r="D1817" s="792" t="s">
        <v>779</v>
      </c>
      <c r="E1817" s="793" t="s">
        <v>662</v>
      </c>
      <c r="F1817" s="793" t="s">
        <v>866</v>
      </c>
      <c r="G1817" s="793" t="s">
        <v>813</v>
      </c>
      <c r="H1817" s="793" t="s">
        <v>814</v>
      </c>
      <c r="I1817" s="794">
        <v>0.3975501611697651</v>
      </c>
      <c r="J1817" s="794">
        <v>540.37104026463965</v>
      </c>
      <c r="K1817" s="771"/>
    </row>
    <row r="1818" spans="1:11" ht="18.75" customHeight="1" outlineLevel="2">
      <c r="A1818" s="791" t="s">
        <v>776</v>
      </c>
      <c r="B1818" s="791" t="s">
        <v>1028</v>
      </c>
      <c r="C1818" s="791" t="s">
        <v>778</v>
      </c>
      <c r="D1818" s="792" t="s">
        <v>779</v>
      </c>
      <c r="E1818" s="793" t="s">
        <v>662</v>
      </c>
      <c r="F1818" s="793" t="s">
        <v>867</v>
      </c>
      <c r="G1818" s="793" t="s">
        <v>813</v>
      </c>
      <c r="H1818" s="793" t="s">
        <v>814</v>
      </c>
      <c r="I1818" s="794">
        <v>1.7359051695137819E-2</v>
      </c>
      <c r="J1818" s="794">
        <v>18.591697035322817</v>
      </c>
      <c r="K1818" s="771"/>
    </row>
    <row r="1819" spans="1:11" ht="18.75" customHeight="1" outlineLevel="2">
      <c r="A1819" s="791" t="s">
        <v>776</v>
      </c>
      <c r="B1819" s="791" t="s">
        <v>1028</v>
      </c>
      <c r="C1819" s="791" t="s">
        <v>778</v>
      </c>
      <c r="D1819" s="792" t="s">
        <v>779</v>
      </c>
      <c r="E1819" s="793" t="s">
        <v>662</v>
      </c>
      <c r="F1819" s="793" t="s">
        <v>868</v>
      </c>
      <c r="G1819" s="793" t="s">
        <v>813</v>
      </c>
      <c r="H1819" s="793" t="s">
        <v>814</v>
      </c>
      <c r="I1819" s="794">
        <v>0.25334721959961531</v>
      </c>
      <c r="J1819" s="794">
        <v>320.52847391059208</v>
      </c>
      <c r="K1819" s="771"/>
    </row>
    <row r="1820" spans="1:11" ht="18.75" customHeight="1" outlineLevel="2">
      <c r="A1820" s="791" t="s">
        <v>776</v>
      </c>
      <c r="B1820" s="791" t="s">
        <v>1028</v>
      </c>
      <c r="C1820" s="791" t="s">
        <v>778</v>
      </c>
      <c r="D1820" s="792" t="s">
        <v>779</v>
      </c>
      <c r="E1820" s="793" t="s">
        <v>662</v>
      </c>
      <c r="F1820" s="793" t="s">
        <v>869</v>
      </c>
      <c r="G1820" s="793" t="s">
        <v>813</v>
      </c>
      <c r="H1820" s="793" t="s">
        <v>814</v>
      </c>
      <c r="I1820" s="794">
        <v>9.4564479167051326E-4</v>
      </c>
      <c r="J1820" s="794">
        <v>1.2009754648828401</v>
      </c>
      <c r="K1820" s="771"/>
    </row>
    <row r="1821" spans="1:11" ht="18.75" customHeight="1" outlineLevel="2">
      <c r="A1821" s="791" t="s">
        <v>776</v>
      </c>
      <c r="B1821" s="791" t="s">
        <v>1028</v>
      </c>
      <c r="C1821" s="791" t="s">
        <v>778</v>
      </c>
      <c r="D1821" s="792" t="s">
        <v>779</v>
      </c>
      <c r="E1821" s="793" t="s">
        <v>662</v>
      </c>
      <c r="F1821" s="793" t="s">
        <v>870</v>
      </c>
      <c r="G1821" s="793" t="s">
        <v>813</v>
      </c>
      <c r="H1821" s="793" t="s">
        <v>814</v>
      </c>
      <c r="I1821" s="794">
        <v>8.8261241557619254E-3</v>
      </c>
      <c r="J1821" s="794">
        <v>12.51634809638939</v>
      </c>
      <c r="K1821" s="771"/>
    </row>
    <row r="1822" spans="1:11" ht="18.75" customHeight="1" outlineLevel="2">
      <c r="A1822" s="791" t="s">
        <v>776</v>
      </c>
      <c r="B1822" s="791" t="s">
        <v>1028</v>
      </c>
      <c r="C1822" s="791" t="s">
        <v>778</v>
      </c>
      <c r="D1822" s="792" t="s">
        <v>779</v>
      </c>
      <c r="E1822" s="793" t="s">
        <v>662</v>
      </c>
      <c r="F1822" s="793" t="s">
        <v>871</v>
      </c>
      <c r="G1822" s="793" t="s">
        <v>813</v>
      </c>
      <c r="H1822" s="793" t="s">
        <v>814</v>
      </c>
      <c r="I1822" s="794">
        <v>1.8010074222255591E-3</v>
      </c>
      <c r="J1822" s="794">
        <v>2.2911901535877885</v>
      </c>
      <c r="K1822" s="771"/>
    </row>
    <row r="1823" spans="1:11" ht="18.75" customHeight="1" outlineLevel="2">
      <c r="A1823" s="791" t="s">
        <v>776</v>
      </c>
      <c r="B1823" s="791" t="s">
        <v>1028</v>
      </c>
      <c r="C1823" s="791" t="s">
        <v>778</v>
      </c>
      <c r="D1823" s="792" t="s">
        <v>779</v>
      </c>
      <c r="E1823" s="793" t="s">
        <v>662</v>
      </c>
      <c r="F1823" s="793" t="s">
        <v>872</v>
      </c>
      <c r="G1823" s="793" t="s">
        <v>813</v>
      </c>
      <c r="H1823" s="793" t="s">
        <v>814</v>
      </c>
      <c r="I1823" s="794">
        <v>0.30164607924791476</v>
      </c>
      <c r="J1823" s="794">
        <v>513.60364831539141</v>
      </c>
      <c r="K1823" s="771"/>
    </row>
    <row r="1824" spans="1:11" ht="18.75" customHeight="1" outlineLevel="2">
      <c r="A1824" s="791" t="s">
        <v>776</v>
      </c>
      <c r="B1824" s="791" t="s">
        <v>1028</v>
      </c>
      <c r="C1824" s="791" t="s">
        <v>778</v>
      </c>
      <c r="D1824" s="792" t="s">
        <v>779</v>
      </c>
      <c r="E1824" s="793" t="s">
        <v>662</v>
      </c>
      <c r="F1824" s="793" t="s">
        <v>875</v>
      </c>
      <c r="G1824" s="793" t="s">
        <v>813</v>
      </c>
      <c r="H1824" s="793" t="s">
        <v>814</v>
      </c>
      <c r="I1824" s="794">
        <v>3.0046228262934613E-2</v>
      </c>
      <c r="J1824" s="794">
        <v>43.880951832422483</v>
      </c>
      <c r="K1824" s="771"/>
    </row>
    <row r="1825" spans="1:11" ht="18.75" customHeight="1" outlineLevel="2">
      <c r="A1825" s="791" t="s">
        <v>776</v>
      </c>
      <c r="B1825" s="791" t="s">
        <v>1028</v>
      </c>
      <c r="C1825" s="791" t="s">
        <v>778</v>
      </c>
      <c r="D1825" s="792" t="s">
        <v>779</v>
      </c>
      <c r="E1825" s="793" t="s">
        <v>662</v>
      </c>
      <c r="F1825" s="793" t="s">
        <v>876</v>
      </c>
      <c r="G1825" s="793" t="s">
        <v>813</v>
      </c>
      <c r="H1825" s="793" t="s">
        <v>814</v>
      </c>
      <c r="I1825" s="794">
        <v>4.5400329319513162E-2</v>
      </c>
      <c r="J1825" s="794">
        <v>68.653922419229744</v>
      </c>
      <c r="K1825" s="771"/>
    </row>
    <row r="1826" spans="1:11" ht="18.75" customHeight="1" outlineLevel="2">
      <c r="A1826" s="791" t="s">
        <v>776</v>
      </c>
      <c r="B1826" s="791" t="s">
        <v>1028</v>
      </c>
      <c r="C1826" s="791" t="s">
        <v>778</v>
      </c>
      <c r="D1826" s="792" t="s">
        <v>779</v>
      </c>
      <c r="E1826" s="793" t="s">
        <v>662</v>
      </c>
      <c r="F1826" s="793" t="s">
        <v>877</v>
      </c>
      <c r="G1826" s="793" t="s">
        <v>813</v>
      </c>
      <c r="H1826" s="793" t="s">
        <v>814</v>
      </c>
      <c r="I1826" s="794">
        <v>5.9898934293248593E-2</v>
      </c>
      <c r="J1826" s="794">
        <v>77.709469378574383</v>
      </c>
      <c r="K1826" s="771"/>
    </row>
    <row r="1827" spans="1:11" ht="18.75" customHeight="1" outlineLevel="2">
      <c r="A1827" s="791" t="s">
        <v>776</v>
      </c>
      <c r="B1827" s="791" t="s">
        <v>1028</v>
      </c>
      <c r="C1827" s="791" t="s">
        <v>778</v>
      </c>
      <c r="D1827" s="792" t="s">
        <v>779</v>
      </c>
      <c r="E1827" s="793" t="s">
        <v>662</v>
      </c>
      <c r="F1827" s="793" t="s">
        <v>878</v>
      </c>
      <c r="G1827" s="793" t="s">
        <v>813</v>
      </c>
      <c r="H1827" s="793" t="s">
        <v>814</v>
      </c>
      <c r="I1827" s="794">
        <v>3.0564133760441155E-2</v>
      </c>
      <c r="J1827" s="794">
        <v>36.895992863163123</v>
      </c>
      <c r="K1827" s="771"/>
    </row>
    <row r="1828" spans="1:11" ht="18.75" customHeight="1" outlineLevel="2">
      <c r="A1828" s="791" t="s">
        <v>776</v>
      </c>
      <c r="B1828" s="791" t="s">
        <v>1028</v>
      </c>
      <c r="C1828" s="791" t="s">
        <v>778</v>
      </c>
      <c r="D1828" s="792" t="s">
        <v>779</v>
      </c>
      <c r="E1828" s="793" t="s">
        <v>662</v>
      </c>
      <c r="F1828" s="793" t="s">
        <v>879</v>
      </c>
      <c r="G1828" s="793" t="s">
        <v>813</v>
      </c>
      <c r="H1828" s="793" t="s">
        <v>814</v>
      </c>
      <c r="I1828" s="794">
        <v>0.4018300806779182</v>
      </c>
      <c r="J1828" s="794">
        <v>588.18844852623215</v>
      </c>
      <c r="K1828" s="771"/>
    </row>
    <row r="1829" spans="1:11" ht="18.75" customHeight="1" outlineLevel="2">
      <c r="A1829" s="791" t="s">
        <v>776</v>
      </c>
      <c r="B1829" s="791" t="s">
        <v>1028</v>
      </c>
      <c r="C1829" s="791" t="s">
        <v>778</v>
      </c>
      <c r="D1829" s="792" t="s">
        <v>779</v>
      </c>
      <c r="E1829" s="793" t="s">
        <v>662</v>
      </c>
      <c r="F1829" s="793" t="s">
        <v>880</v>
      </c>
      <c r="G1829" s="793" t="s">
        <v>813</v>
      </c>
      <c r="H1829" s="793" t="s">
        <v>814</v>
      </c>
      <c r="I1829" s="794">
        <v>0.61685297751412393</v>
      </c>
      <c r="J1829" s="794">
        <v>933.00936542388934</v>
      </c>
      <c r="K1829" s="771"/>
    </row>
    <row r="1830" spans="1:11" ht="18.75" customHeight="1" outlineLevel="2">
      <c r="A1830" s="791" t="s">
        <v>776</v>
      </c>
      <c r="B1830" s="791" t="s">
        <v>1028</v>
      </c>
      <c r="C1830" s="791" t="s">
        <v>778</v>
      </c>
      <c r="D1830" s="792" t="s">
        <v>779</v>
      </c>
      <c r="E1830" s="793" t="s">
        <v>662</v>
      </c>
      <c r="F1830" s="793" t="s">
        <v>881</v>
      </c>
      <c r="G1830" s="793" t="s">
        <v>813</v>
      </c>
      <c r="H1830" s="793" t="s">
        <v>814</v>
      </c>
      <c r="I1830" s="794">
        <v>6.902524829005327E-2</v>
      </c>
      <c r="J1830" s="794">
        <v>155.78820286372843</v>
      </c>
      <c r="K1830" s="771"/>
    </row>
    <row r="1831" spans="1:11" ht="18.75" customHeight="1" outlineLevel="2">
      <c r="A1831" s="791" t="s">
        <v>776</v>
      </c>
      <c r="B1831" s="791" t="s">
        <v>1028</v>
      </c>
      <c r="C1831" s="791" t="s">
        <v>778</v>
      </c>
      <c r="D1831" s="792" t="s">
        <v>779</v>
      </c>
      <c r="E1831" s="793" t="s">
        <v>662</v>
      </c>
      <c r="F1831" s="793" t="s">
        <v>882</v>
      </c>
      <c r="G1831" s="793" t="s">
        <v>813</v>
      </c>
      <c r="H1831" s="793" t="s">
        <v>814</v>
      </c>
      <c r="I1831" s="794">
        <v>1.8999377110333187</v>
      </c>
      <c r="J1831" s="794">
        <v>3011.8152084914468</v>
      </c>
      <c r="K1831" s="771"/>
    </row>
    <row r="1832" spans="1:11" ht="18.75" customHeight="1" outlineLevel="2">
      <c r="A1832" s="791" t="s">
        <v>776</v>
      </c>
      <c r="B1832" s="791" t="s">
        <v>1028</v>
      </c>
      <c r="C1832" s="791" t="s">
        <v>778</v>
      </c>
      <c r="D1832" s="792" t="s">
        <v>779</v>
      </c>
      <c r="E1832" s="793" t="s">
        <v>662</v>
      </c>
      <c r="F1832" s="793" t="s">
        <v>883</v>
      </c>
      <c r="G1832" s="793" t="s">
        <v>813</v>
      </c>
      <c r="H1832" s="793" t="s">
        <v>814</v>
      </c>
      <c r="I1832" s="794">
        <v>1.829363737347971E-2</v>
      </c>
      <c r="J1832" s="794">
        <v>20.90799719460696</v>
      </c>
      <c r="K1832" s="771"/>
    </row>
    <row r="1833" spans="1:11" ht="18.75" customHeight="1" outlineLevel="2">
      <c r="A1833" s="791" t="s">
        <v>776</v>
      </c>
      <c r="B1833" s="791" t="s">
        <v>1028</v>
      </c>
      <c r="C1833" s="791" t="s">
        <v>778</v>
      </c>
      <c r="D1833" s="792" t="s">
        <v>779</v>
      </c>
      <c r="E1833" s="793" t="s">
        <v>662</v>
      </c>
      <c r="F1833" s="793" t="s">
        <v>884</v>
      </c>
      <c r="G1833" s="793" t="s">
        <v>813</v>
      </c>
      <c r="H1833" s="793" t="s">
        <v>814</v>
      </c>
      <c r="I1833" s="794">
        <v>7.9729552448916829E-2</v>
      </c>
      <c r="J1833" s="794">
        <v>92.548034111233164</v>
      </c>
      <c r="K1833" s="771"/>
    </row>
    <row r="1834" spans="1:11" ht="18.75" customHeight="1" outlineLevel="2">
      <c r="A1834" s="791" t="s">
        <v>776</v>
      </c>
      <c r="B1834" s="791" t="s">
        <v>1028</v>
      </c>
      <c r="C1834" s="791" t="s">
        <v>778</v>
      </c>
      <c r="D1834" s="792" t="s">
        <v>779</v>
      </c>
      <c r="E1834" s="793" t="s">
        <v>662</v>
      </c>
      <c r="F1834" s="793" t="s">
        <v>885</v>
      </c>
      <c r="G1834" s="793" t="s">
        <v>791</v>
      </c>
      <c r="H1834" s="793" t="s">
        <v>826</v>
      </c>
      <c r="I1834" s="794">
        <v>9.3605788078547083E-4</v>
      </c>
      <c r="J1834" s="794">
        <v>1.3827972713696459</v>
      </c>
      <c r="K1834" s="771"/>
    </row>
    <row r="1835" spans="1:11" ht="18.75" customHeight="1" outlineLevel="2">
      <c r="A1835" s="791" t="s">
        <v>776</v>
      </c>
      <c r="B1835" s="791" t="s">
        <v>1028</v>
      </c>
      <c r="C1835" s="791" t="s">
        <v>778</v>
      </c>
      <c r="D1835" s="792" t="s">
        <v>779</v>
      </c>
      <c r="E1835" s="793" t="s">
        <v>662</v>
      </c>
      <c r="F1835" s="793" t="s">
        <v>886</v>
      </c>
      <c r="G1835" s="793" t="s">
        <v>791</v>
      </c>
      <c r="H1835" s="793" t="s">
        <v>826</v>
      </c>
      <c r="I1835" s="794">
        <v>1.2250184504047248E-3</v>
      </c>
      <c r="J1835" s="794">
        <v>5.3509270611947573</v>
      </c>
      <c r="K1835" s="771"/>
    </row>
    <row r="1836" spans="1:11" ht="18.75" customHeight="1" outlineLevel="2">
      <c r="A1836" s="791" t="s">
        <v>776</v>
      </c>
      <c r="B1836" s="791" t="s">
        <v>1028</v>
      </c>
      <c r="C1836" s="791" t="s">
        <v>778</v>
      </c>
      <c r="D1836" s="792" t="s">
        <v>779</v>
      </c>
      <c r="E1836" s="793" t="s">
        <v>662</v>
      </c>
      <c r="F1836" s="793" t="s">
        <v>887</v>
      </c>
      <c r="G1836" s="793" t="s">
        <v>791</v>
      </c>
      <c r="H1836" s="793" t="s">
        <v>826</v>
      </c>
      <c r="I1836" s="794">
        <v>4.5705683144524772E-5</v>
      </c>
      <c r="J1836" s="794">
        <v>4.292371856031231E-2</v>
      </c>
      <c r="K1836" s="771"/>
    </row>
    <row r="1837" spans="1:11" ht="18.75" customHeight="1" outlineLevel="2">
      <c r="A1837" s="791" t="s">
        <v>776</v>
      </c>
      <c r="B1837" s="791" t="s">
        <v>1028</v>
      </c>
      <c r="C1837" s="791" t="s">
        <v>778</v>
      </c>
      <c r="D1837" s="792" t="s">
        <v>779</v>
      </c>
      <c r="E1837" s="793" t="s">
        <v>662</v>
      </c>
      <c r="F1837" s="793" t="s">
        <v>888</v>
      </c>
      <c r="G1837" s="793" t="s">
        <v>791</v>
      </c>
      <c r="H1837" s="793" t="s">
        <v>826</v>
      </c>
      <c r="I1837" s="794">
        <v>4.099725906344001E-3</v>
      </c>
      <c r="J1837" s="794">
        <v>3.842519676074216</v>
      </c>
      <c r="K1837" s="771"/>
    </row>
    <row r="1838" spans="1:11" ht="18.75" customHeight="1" outlineLevel="2">
      <c r="A1838" s="791" t="s">
        <v>776</v>
      </c>
      <c r="B1838" s="791" t="s">
        <v>1028</v>
      </c>
      <c r="C1838" s="791" t="s">
        <v>778</v>
      </c>
      <c r="D1838" s="792" t="s">
        <v>779</v>
      </c>
      <c r="E1838" s="793" t="s">
        <v>662</v>
      </c>
      <c r="F1838" s="793" t="s">
        <v>889</v>
      </c>
      <c r="G1838" s="793" t="s">
        <v>791</v>
      </c>
      <c r="H1838" s="793" t="s">
        <v>826</v>
      </c>
      <c r="I1838" s="794">
        <v>7.8754170822731609E-4</v>
      </c>
      <c r="J1838" s="794">
        <v>1.1368695224277614</v>
      </c>
      <c r="K1838" s="771"/>
    </row>
    <row r="1839" spans="1:11" ht="18.75" customHeight="1" outlineLevel="2">
      <c r="A1839" s="791" t="s">
        <v>776</v>
      </c>
      <c r="B1839" s="791" t="s">
        <v>1028</v>
      </c>
      <c r="C1839" s="791" t="s">
        <v>778</v>
      </c>
      <c r="D1839" s="792" t="s">
        <v>779</v>
      </c>
      <c r="E1839" s="793" t="s">
        <v>662</v>
      </c>
      <c r="F1839" s="793" t="s">
        <v>890</v>
      </c>
      <c r="G1839" s="793" t="s">
        <v>791</v>
      </c>
      <c r="H1839" s="793" t="s">
        <v>826</v>
      </c>
      <c r="I1839" s="794">
        <v>1.1256581098118602E-2</v>
      </c>
      <c r="J1839" s="794">
        <v>12.596450256382855</v>
      </c>
      <c r="K1839" s="771"/>
    </row>
    <row r="1840" spans="1:11" ht="18.75" customHeight="1" outlineLevel="2">
      <c r="A1840" s="791" t="s">
        <v>776</v>
      </c>
      <c r="B1840" s="791" t="s">
        <v>1028</v>
      </c>
      <c r="C1840" s="791" t="s">
        <v>778</v>
      </c>
      <c r="D1840" s="792" t="s">
        <v>779</v>
      </c>
      <c r="E1840" s="793" t="s">
        <v>662</v>
      </c>
      <c r="F1840" s="793" t="s">
        <v>891</v>
      </c>
      <c r="G1840" s="793" t="s">
        <v>791</v>
      </c>
      <c r="H1840" s="793" t="s">
        <v>826</v>
      </c>
      <c r="I1840" s="794">
        <v>5.7639001446127713E-2</v>
      </c>
      <c r="J1840" s="794">
        <v>28.239950678877843</v>
      </c>
      <c r="K1840" s="771"/>
    </row>
    <row r="1841" spans="1:11" ht="18.75" customHeight="1" outlineLevel="2">
      <c r="A1841" s="791" t="s">
        <v>776</v>
      </c>
      <c r="B1841" s="791" t="s">
        <v>1028</v>
      </c>
      <c r="C1841" s="791" t="s">
        <v>778</v>
      </c>
      <c r="D1841" s="792" t="s">
        <v>779</v>
      </c>
      <c r="E1841" s="793" t="s">
        <v>662</v>
      </c>
      <c r="F1841" s="793" t="s">
        <v>892</v>
      </c>
      <c r="G1841" s="793" t="s">
        <v>791</v>
      </c>
      <c r="H1841" s="793" t="s">
        <v>826</v>
      </c>
      <c r="I1841" s="794">
        <v>6.4927051049031206E-3</v>
      </c>
      <c r="J1841" s="794">
        <v>6.0853704655832948</v>
      </c>
      <c r="K1841" s="771"/>
    </row>
    <row r="1842" spans="1:11" ht="18.75" customHeight="1" outlineLevel="2">
      <c r="A1842" s="791" t="s">
        <v>776</v>
      </c>
      <c r="B1842" s="791" t="s">
        <v>1028</v>
      </c>
      <c r="C1842" s="791" t="s">
        <v>778</v>
      </c>
      <c r="D1842" s="792" t="s">
        <v>779</v>
      </c>
      <c r="E1842" s="793" t="s">
        <v>662</v>
      </c>
      <c r="F1842" s="793" t="s">
        <v>893</v>
      </c>
      <c r="G1842" s="793" t="s">
        <v>791</v>
      </c>
      <c r="H1842" s="793" t="s">
        <v>826</v>
      </c>
      <c r="I1842" s="794">
        <v>8.5230213579428823E-3</v>
      </c>
      <c r="J1842" s="794">
        <v>8.6840430012552385</v>
      </c>
      <c r="K1842" s="771"/>
    </row>
    <row r="1843" spans="1:11" ht="18.75" customHeight="1" outlineLevel="2">
      <c r="A1843" s="791" t="s">
        <v>776</v>
      </c>
      <c r="B1843" s="791" t="s">
        <v>1028</v>
      </c>
      <c r="C1843" s="791" t="s">
        <v>778</v>
      </c>
      <c r="D1843" s="792" t="s">
        <v>779</v>
      </c>
      <c r="E1843" s="793" t="s">
        <v>662</v>
      </c>
      <c r="F1843" s="793" t="s">
        <v>894</v>
      </c>
      <c r="G1843" s="793" t="s">
        <v>791</v>
      </c>
      <c r="H1843" s="793" t="s">
        <v>826</v>
      </c>
      <c r="I1843" s="794">
        <v>1.0206925013683265E-3</v>
      </c>
      <c r="J1843" s="794">
        <v>9.2806900071127618</v>
      </c>
      <c r="K1843" s="771"/>
    </row>
    <row r="1844" spans="1:11" ht="18.75" customHeight="1" outlineLevel="2">
      <c r="A1844" s="791" t="s">
        <v>776</v>
      </c>
      <c r="B1844" s="791" t="s">
        <v>1028</v>
      </c>
      <c r="C1844" s="791" t="s">
        <v>778</v>
      </c>
      <c r="D1844" s="792" t="s">
        <v>779</v>
      </c>
      <c r="E1844" s="793" t="s">
        <v>662</v>
      </c>
      <c r="F1844" s="793" t="s">
        <v>895</v>
      </c>
      <c r="G1844" s="793" t="s">
        <v>794</v>
      </c>
      <c r="H1844" s="793" t="s">
        <v>828</v>
      </c>
      <c r="I1844" s="794">
        <v>0.3040261650676882</v>
      </c>
      <c r="J1844" s="794">
        <v>422.74671129277755</v>
      </c>
      <c r="K1844" s="771"/>
    </row>
    <row r="1845" spans="1:11" ht="18.75" customHeight="1" outlineLevel="2">
      <c r="A1845" s="791" t="s">
        <v>776</v>
      </c>
      <c r="B1845" s="791" t="s">
        <v>1028</v>
      </c>
      <c r="C1845" s="791" t="s">
        <v>778</v>
      </c>
      <c r="D1845" s="792" t="s">
        <v>779</v>
      </c>
      <c r="E1845" s="793" t="s">
        <v>662</v>
      </c>
      <c r="F1845" s="793" t="s">
        <v>896</v>
      </c>
      <c r="G1845" s="793" t="s">
        <v>794</v>
      </c>
      <c r="H1845" s="793" t="s">
        <v>828</v>
      </c>
      <c r="I1845" s="794">
        <v>7.1413876971903739E-2</v>
      </c>
      <c r="J1845" s="794">
        <v>105.7674433181032</v>
      </c>
      <c r="K1845" s="771"/>
    </row>
    <row r="1846" spans="1:11" ht="18.75" customHeight="1" outlineLevel="2">
      <c r="A1846" s="791" t="s">
        <v>776</v>
      </c>
      <c r="B1846" s="791" t="s">
        <v>1028</v>
      </c>
      <c r="C1846" s="791" t="s">
        <v>778</v>
      </c>
      <c r="D1846" s="792" t="s">
        <v>779</v>
      </c>
      <c r="E1846" s="793" t="s">
        <v>662</v>
      </c>
      <c r="F1846" s="793" t="s">
        <v>897</v>
      </c>
      <c r="G1846" s="793" t="s">
        <v>794</v>
      </c>
      <c r="H1846" s="793" t="s">
        <v>828</v>
      </c>
      <c r="I1846" s="794">
        <v>3.2944512657965233E-2</v>
      </c>
      <c r="J1846" s="794">
        <v>55.926337286681289</v>
      </c>
      <c r="K1846" s="771"/>
    </row>
    <row r="1847" spans="1:11" ht="18.75" customHeight="1" outlineLevel="2">
      <c r="A1847" s="791" t="s">
        <v>776</v>
      </c>
      <c r="B1847" s="791" t="s">
        <v>1028</v>
      </c>
      <c r="C1847" s="791" t="s">
        <v>778</v>
      </c>
      <c r="D1847" s="792" t="s">
        <v>779</v>
      </c>
      <c r="E1847" s="793" t="s">
        <v>662</v>
      </c>
      <c r="F1847" s="793" t="s">
        <v>898</v>
      </c>
      <c r="G1847" s="793" t="s">
        <v>794</v>
      </c>
      <c r="H1847" s="793" t="s">
        <v>828</v>
      </c>
      <c r="I1847" s="794">
        <v>7.5910969181069432E-2</v>
      </c>
      <c r="J1847" s="794">
        <v>120.22650614780157</v>
      </c>
      <c r="K1847" s="771"/>
    </row>
    <row r="1848" spans="1:11" ht="18.75" customHeight="1" outlineLevel="2">
      <c r="A1848" s="791" t="s">
        <v>776</v>
      </c>
      <c r="B1848" s="791" t="s">
        <v>1028</v>
      </c>
      <c r="C1848" s="791" t="s">
        <v>778</v>
      </c>
      <c r="D1848" s="792" t="s">
        <v>779</v>
      </c>
      <c r="E1848" s="793" t="s">
        <v>662</v>
      </c>
      <c r="F1848" s="793" t="s">
        <v>899</v>
      </c>
      <c r="G1848" s="793" t="s">
        <v>794</v>
      </c>
      <c r="H1848" s="793" t="s">
        <v>828</v>
      </c>
      <c r="I1848" s="794">
        <v>0.13372635668949878</v>
      </c>
      <c r="J1848" s="794">
        <v>189.95471734747846</v>
      </c>
      <c r="K1848" s="771"/>
    </row>
    <row r="1849" spans="1:11" ht="18.75" customHeight="1" outlineLevel="2">
      <c r="A1849" s="791" t="s">
        <v>776</v>
      </c>
      <c r="B1849" s="791" t="s">
        <v>1028</v>
      </c>
      <c r="C1849" s="791" t="s">
        <v>778</v>
      </c>
      <c r="D1849" s="792" t="s">
        <v>779</v>
      </c>
      <c r="E1849" s="793" t="s">
        <v>662</v>
      </c>
      <c r="F1849" s="793" t="s">
        <v>900</v>
      </c>
      <c r="G1849" s="793" t="s">
        <v>794</v>
      </c>
      <c r="H1849" s="793" t="s">
        <v>828</v>
      </c>
      <c r="I1849" s="794">
        <v>6.1951923272655206E-3</v>
      </c>
      <c r="J1849" s="794">
        <v>8.9123583035743348</v>
      </c>
      <c r="K1849" s="771"/>
    </row>
    <row r="1850" spans="1:11" ht="18.75" customHeight="1" outlineLevel="2">
      <c r="A1850" s="791" t="s">
        <v>776</v>
      </c>
      <c r="B1850" s="791" t="s">
        <v>1028</v>
      </c>
      <c r="C1850" s="791" t="s">
        <v>778</v>
      </c>
      <c r="D1850" s="792" t="s">
        <v>779</v>
      </c>
      <c r="E1850" s="793" t="s">
        <v>662</v>
      </c>
      <c r="F1850" s="793" t="s">
        <v>901</v>
      </c>
      <c r="G1850" s="793" t="s">
        <v>833</v>
      </c>
      <c r="H1850" s="793" t="s">
        <v>834</v>
      </c>
      <c r="I1850" s="794">
        <v>2.9931766640182808E-2</v>
      </c>
      <c r="J1850" s="794">
        <v>31.327848100570606</v>
      </c>
      <c r="K1850" s="771"/>
    </row>
    <row r="1851" spans="1:11" ht="18.75" customHeight="1" outlineLevel="2">
      <c r="A1851" s="791" t="s">
        <v>776</v>
      </c>
      <c r="B1851" s="791" t="s">
        <v>1028</v>
      </c>
      <c r="C1851" s="791" t="s">
        <v>778</v>
      </c>
      <c r="D1851" s="792" t="s">
        <v>779</v>
      </c>
      <c r="E1851" s="793" t="s">
        <v>662</v>
      </c>
      <c r="F1851" s="793" t="s">
        <v>902</v>
      </c>
      <c r="G1851" s="793" t="s">
        <v>833</v>
      </c>
      <c r="H1851" s="793" t="s">
        <v>834</v>
      </c>
      <c r="I1851" s="794">
        <v>2.6053701550130058E-4</v>
      </c>
      <c r="J1851" s="794">
        <v>0.33388120664640275</v>
      </c>
      <c r="K1851" s="771"/>
    </row>
    <row r="1852" spans="1:11" ht="18.75" customHeight="1" outlineLevel="2">
      <c r="A1852" s="791" t="s">
        <v>776</v>
      </c>
      <c r="B1852" s="791" t="s">
        <v>1028</v>
      </c>
      <c r="C1852" s="791" t="s">
        <v>778</v>
      </c>
      <c r="D1852" s="792" t="s">
        <v>779</v>
      </c>
      <c r="E1852" s="793" t="s">
        <v>662</v>
      </c>
      <c r="F1852" s="793" t="s">
        <v>903</v>
      </c>
      <c r="G1852" s="793" t="s">
        <v>904</v>
      </c>
      <c r="H1852" s="793" t="s">
        <v>905</v>
      </c>
      <c r="I1852" s="794">
        <v>17.273917261284009</v>
      </c>
      <c r="J1852" s="794">
        <v>14696.970310756786</v>
      </c>
      <c r="K1852" s="771"/>
    </row>
    <row r="1853" spans="1:11" ht="18.75" customHeight="1" outlineLevel="2">
      <c r="A1853" s="791" t="s">
        <v>776</v>
      </c>
      <c r="B1853" s="791" t="s">
        <v>1028</v>
      </c>
      <c r="C1853" s="791" t="s">
        <v>778</v>
      </c>
      <c r="D1853" s="792" t="s">
        <v>779</v>
      </c>
      <c r="E1853" s="793" t="s">
        <v>662</v>
      </c>
      <c r="F1853" s="793" t="s">
        <v>906</v>
      </c>
      <c r="G1853" s="793" t="s">
        <v>904</v>
      </c>
      <c r="H1853" s="793" t="s">
        <v>905</v>
      </c>
      <c r="I1853" s="794">
        <v>7.2708111429543818</v>
      </c>
      <c r="J1853" s="794">
        <v>6202.8034922948491</v>
      </c>
      <c r="K1853" s="771"/>
    </row>
    <row r="1854" spans="1:11" ht="18.75" customHeight="1" outlineLevel="2">
      <c r="A1854" s="791" t="s">
        <v>776</v>
      </c>
      <c r="B1854" s="791" t="s">
        <v>1028</v>
      </c>
      <c r="C1854" s="791" t="s">
        <v>778</v>
      </c>
      <c r="D1854" s="792" t="s">
        <v>779</v>
      </c>
      <c r="E1854" s="793" t="s">
        <v>662</v>
      </c>
      <c r="F1854" s="793" t="s">
        <v>907</v>
      </c>
      <c r="G1854" s="793" t="s">
        <v>908</v>
      </c>
      <c r="H1854" s="793" t="s">
        <v>905</v>
      </c>
      <c r="I1854" s="794">
        <v>6.6782826608524521</v>
      </c>
      <c r="J1854" s="794">
        <v>11235.864966298392</v>
      </c>
      <c r="K1854" s="771"/>
    </row>
    <row r="1855" spans="1:11" ht="18.75" customHeight="1" outlineLevel="2">
      <c r="A1855" s="791" t="s">
        <v>776</v>
      </c>
      <c r="B1855" s="791" t="s">
        <v>1028</v>
      </c>
      <c r="C1855" s="791" t="s">
        <v>778</v>
      </c>
      <c r="D1855" s="792" t="s">
        <v>779</v>
      </c>
      <c r="E1855" s="793" t="s">
        <v>763</v>
      </c>
      <c r="F1855" s="793" t="s">
        <v>912</v>
      </c>
      <c r="G1855" s="793" t="s">
        <v>799</v>
      </c>
      <c r="H1855" s="793" t="s">
        <v>913</v>
      </c>
      <c r="I1855" s="794">
        <v>1.2817695450120519E-3</v>
      </c>
      <c r="J1855" s="794">
        <v>2.454651202521398</v>
      </c>
      <c r="K1855" s="771"/>
    </row>
    <row r="1856" spans="1:11" ht="18.75" customHeight="1" outlineLevel="2">
      <c r="A1856" s="791" t="s">
        <v>776</v>
      </c>
      <c r="B1856" s="791" t="s">
        <v>1028</v>
      </c>
      <c r="C1856" s="791" t="s">
        <v>778</v>
      </c>
      <c r="D1856" s="792" t="s">
        <v>779</v>
      </c>
      <c r="E1856" s="793" t="s">
        <v>763</v>
      </c>
      <c r="F1856" s="793" t="s">
        <v>914</v>
      </c>
      <c r="G1856" s="793" t="s">
        <v>782</v>
      </c>
      <c r="H1856" s="793" t="s">
        <v>913</v>
      </c>
      <c r="I1856" s="794">
        <v>7.3284138986537542E-5</v>
      </c>
      <c r="J1856" s="794">
        <v>0.34113728108216607</v>
      </c>
      <c r="K1856" s="771"/>
    </row>
    <row r="1857" spans="1:11" ht="18.75" customHeight="1" outlineLevel="2">
      <c r="A1857" s="791" t="s">
        <v>776</v>
      </c>
      <c r="B1857" s="791" t="s">
        <v>1028</v>
      </c>
      <c r="C1857" s="791" t="s">
        <v>778</v>
      </c>
      <c r="D1857" s="792" t="s">
        <v>779</v>
      </c>
      <c r="E1857" s="793" t="s">
        <v>763</v>
      </c>
      <c r="F1857" s="793" t="s">
        <v>915</v>
      </c>
      <c r="G1857" s="793" t="s">
        <v>782</v>
      </c>
      <c r="H1857" s="793" t="s">
        <v>913</v>
      </c>
      <c r="I1857" s="794">
        <v>3.93046344619772E-5</v>
      </c>
      <c r="J1857" s="794">
        <v>0.57050128022890645</v>
      </c>
      <c r="K1857" s="771"/>
    </row>
    <row r="1858" spans="1:11" ht="18.75" customHeight="1" outlineLevel="2">
      <c r="A1858" s="791" t="s">
        <v>776</v>
      </c>
      <c r="B1858" s="791" t="s">
        <v>1028</v>
      </c>
      <c r="C1858" s="791" t="s">
        <v>778</v>
      </c>
      <c r="D1858" s="792" t="s">
        <v>779</v>
      </c>
      <c r="E1858" s="793" t="s">
        <v>763</v>
      </c>
      <c r="F1858" s="793" t="s">
        <v>916</v>
      </c>
      <c r="G1858" s="793" t="s">
        <v>782</v>
      </c>
      <c r="H1858" s="793" t="s">
        <v>913</v>
      </c>
      <c r="I1858" s="794">
        <v>5.8275238431105826E-5</v>
      </c>
      <c r="J1858" s="794">
        <v>0.10074999669001948</v>
      </c>
      <c r="K1858" s="771"/>
    </row>
    <row r="1859" spans="1:11" ht="18.75" customHeight="1" outlineLevel="2">
      <c r="A1859" s="791" t="s">
        <v>776</v>
      </c>
      <c r="B1859" s="791" t="s">
        <v>1028</v>
      </c>
      <c r="C1859" s="791" t="s">
        <v>778</v>
      </c>
      <c r="D1859" s="792" t="s">
        <v>779</v>
      </c>
      <c r="E1859" s="793" t="s">
        <v>763</v>
      </c>
      <c r="F1859" s="793" t="s">
        <v>917</v>
      </c>
      <c r="G1859" s="793" t="s">
        <v>782</v>
      </c>
      <c r="H1859" s="793" t="s">
        <v>913</v>
      </c>
      <c r="I1859" s="794">
        <v>1.0668983159579724E-5</v>
      </c>
      <c r="J1859" s="794">
        <v>5.8409365276169772E-2</v>
      </c>
      <c r="K1859" s="771"/>
    </row>
    <row r="1860" spans="1:11" ht="18.75" customHeight="1" outlineLevel="2">
      <c r="A1860" s="791" t="s">
        <v>776</v>
      </c>
      <c r="B1860" s="791" t="s">
        <v>1028</v>
      </c>
      <c r="C1860" s="791" t="s">
        <v>778</v>
      </c>
      <c r="D1860" s="792" t="s">
        <v>779</v>
      </c>
      <c r="E1860" s="793" t="s">
        <v>763</v>
      </c>
      <c r="F1860" s="793" t="s">
        <v>918</v>
      </c>
      <c r="G1860" s="793" t="s">
        <v>782</v>
      </c>
      <c r="H1860" s="793" t="s">
        <v>913</v>
      </c>
      <c r="I1860" s="794">
        <v>2.3614158201989559E-4</v>
      </c>
      <c r="J1860" s="794">
        <v>1.0550060606095584</v>
      </c>
      <c r="K1860" s="771"/>
    </row>
    <row r="1861" spans="1:11" ht="18.75" customHeight="1" outlineLevel="2">
      <c r="A1861" s="791" t="s">
        <v>776</v>
      </c>
      <c r="B1861" s="791" t="s">
        <v>1028</v>
      </c>
      <c r="C1861" s="791" t="s">
        <v>778</v>
      </c>
      <c r="D1861" s="792" t="s">
        <v>779</v>
      </c>
      <c r="E1861" s="793" t="s">
        <v>763</v>
      </c>
      <c r="F1861" s="793" t="s">
        <v>919</v>
      </c>
      <c r="G1861" s="793" t="s">
        <v>782</v>
      </c>
      <c r="H1861" s="793" t="s">
        <v>913</v>
      </c>
      <c r="I1861" s="794">
        <v>4.5169643629244165E-4</v>
      </c>
      <c r="J1861" s="794">
        <v>0.52990723883615309</v>
      </c>
      <c r="K1861" s="771"/>
    </row>
    <row r="1862" spans="1:11" ht="18.75" customHeight="1" outlineLevel="2">
      <c r="A1862" s="791" t="s">
        <v>776</v>
      </c>
      <c r="B1862" s="791" t="s">
        <v>1028</v>
      </c>
      <c r="C1862" s="791" t="s">
        <v>778</v>
      </c>
      <c r="D1862" s="792" t="s">
        <v>779</v>
      </c>
      <c r="E1862" s="793" t="s">
        <v>763</v>
      </c>
      <c r="F1862" s="793" t="s">
        <v>920</v>
      </c>
      <c r="G1862" s="793" t="s">
        <v>782</v>
      </c>
      <c r="H1862" s="793" t="s">
        <v>913</v>
      </c>
      <c r="I1862" s="794">
        <v>4.9060177580211842E-5</v>
      </c>
      <c r="J1862" s="794">
        <v>0.97607504621302366</v>
      </c>
      <c r="K1862" s="771"/>
    </row>
    <row r="1863" spans="1:11" ht="18.75" customHeight="1" outlineLevel="2">
      <c r="A1863" s="791" t="s">
        <v>776</v>
      </c>
      <c r="B1863" s="791" t="s">
        <v>1028</v>
      </c>
      <c r="C1863" s="791" t="s">
        <v>778</v>
      </c>
      <c r="D1863" s="792" t="s">
        <v>779</v>
      </c>
      <c r="E1863" s="793" t="s">
        <v>763</v>
      </c>
      <c r="F1863" s="793" t="s">
        <v>921</v>
      </c>
      <c r="G1863" s="793" t="s">
        <v>782</v>
      </c>
      <c r="H1863" s="793" t="s">
        <v>913</v>
      </c>
      <c r="I1863" s="794">
        <v>2.2770077504297864E-4</v>
      </c>
      <c r="J1863" s="794">
        <v>0.39771867309409326</v>
      </c>
      <c r="K1863" s="771"/>
    </row>
    <row r="1864" spans="1:11" ht="18.75" customHeight="1" outlineLevel="2">
      <c r="A1864" s="791" t="s">
        <v>776</v>
      </c>
      <c r="B1864" s="791" t="s">
        <v>1028</v>
      </c>
      <c r="C1864" s="791" t="s">
        <v>778</v>
      </c>
      <c r="D1864" s="792" t="s">
        <v>779</v>
      </c>
      <c r="E1864" s="793" t="s">
        <v>763</v>
      </c>
      <c r="F1864" s="793" t="s">
        <v>922</v>
      </c>
      <c r="G1864" s="793" t="s">
        <v>782</v>
      </c>
      <c r="H1864" s="793" t="s">
        <v>913</v>
      </c>
      <c r="I1864" s="794">
        <v>3.4038641317751415E-5</v>
      </c>
      <c r="J1864" s="794">
        <v>6.5186109761606173E-2</v>
      </c>
      <c r="K1864" s="771"/>
    </row>
    <row r="1865" spans="1:11" ht="18.75" customHeight="1" outlineLevel="2">
      <c r="A1865" s="791" t="s">
        <v>776</v>
      </c>
      <c r="B1865" s="791" t="s">
        <v>1028</v>
      </c>
      <c r="C1865" s="791" t="s">
        <v>778</v>
      </c>
      <c r="D1865" s="792" t="s">
        <v>779</v>
      </c>
      <c r="E1865" s="793" t="s">
        <v>763</v>
      </c>
      <c r="F1865" s="793" t="s">
        <v>923</v>
      </c>
      <c r="G1865" s="793" t="s">
        <v>782</v>
      </c>
      <c r="H1865" s="793" t="s">
        <v>913</v>
      </c>
      <c r="I1865" s="794">
        <v>1.8654913484941879E-4</v>
      </c>
      <c r="J1865" s="794">
        <v>0.67782181607806935</v>
      </c>
      <c r="K1865" s="771"/>
    </row>
    <row r="1866" spans="1:11" ht="18.75" customHeight="1" outlineLevel="2">
      <c r="A1866" s="791" t="s">
        <v>776</v>
      </c>
      <c r="B1866" s="791" t="s">
        <v>1028</v>
      </c>
      <c r="C1866" s="791" t="s">
        <v>778</v>
      </c>
      <c r="D1866" s="792" t="s">
        <v>779</v>
      </c>
      <c r="E1866" s="793" t="s">
        <v>763</v>
      </c>
      <c r="F1866" s="793" t="s">
        <v>924</v>
      </c>
      <c r="G1866" s="793" t="s">
        <v>782</v>
      </c>
      <c r="H1866" s="793" t="s">
        <v>913</v>
      </c>
      <c r="I1866" s="794">
        <v>1.5368608804864985E-4</v>
      </c>
      <c r="J1866" s="794">
        <v>1.6367909159273604</v>
      </c>
      <c r="K1866" s="771"/>
    </row>
    <row r="1867" spans="1:11" ht="18.75" customHeight="1" outlineLevel="2">
      <c r="A1867" s="791" t="s">
        <v>776</v>
      </c>
      <c r="B1867" s="791" t="s">
        <v>1028</v>
      </c>
      <c r="C1867" s="791" t="s">
        <v>778</v>
      </c>
      <c r="D1867" s="792" t="s">
        <v>779</v>
      </c>
      <c r="E1867" s="793" t="s">
        <v>763</v>
      </c>
      <c r="F1867" s="793" t="s">
        <v>925</v>
      </c>
      <c r="G1867" s="793" t="s">
        <v>782</v>
      </c>
      <c r="H1867" s="793" t="s">
        <v>913</v>
      </c>
      <c r="I1867" s="794">
        <v>1.0814048407937884E-5</v>
      </c>
      <c r="J1867" s="794">
        <v>0.17221180899509045</v>
      </c>
      <c r="K1867" s="771"/>
    </row>
    <row r="1868" spans="1:11" ht="18.75" customHeight="1" outlineLevel="2">
      <c r="A1868" s="791" t="s">
        <v>776</v>
      </c>
      <c r="B1868" s="791" t="s">
        <v>1028</v>
      </c>
      <c r="C1868" s="791" t="s">
        <v>778</v>
      </c>
      <c r="D1868" s="792" t="s">
        <v>779</v>
      </c>
      <c r="E1868" s="793" t="s">
        <v>763</v>
      </c>
      <c r="F1868" s="793" t="s">
        <v>926</v>
      </c>
      <c r="G1868" s="793" t="s">
        <v>782</v>
      </c>
      <c r="H1868" s="793" t="s">
        <v>913</v>
      </c>
      <c r="I1868" s="794">
        <v>8.0196661202275852E-4</v>
      </c>
      <c r="J1868" s="794">
        <v>1.4743383459063939</v>
      </c>
      <c r="K1868" s="771"/>
    </row>
    <row r="1869" spans="1:11" ht="18.75" customHeight="1" outlineLevel="2">
      <c r="A1869" s="791" t="s">
        <v>776</v>
      </c>
      <c r="B1869" s="791" t="s">
        <v>1028</v>
      </c>
      <c r="C1869" s="791" t="s">
        <v>778</v>
      </c>
      <c r="D1869" s="792" t="s">
        <v>779</v>
      </c>
      <c r="E1869" s="793" t="s">
        <v>763</v>
      </c>
      <c r="F1869" s="793" t="s">
        <v>927</v>
      </c>
      <c r="G1869" s="793" t="s">
        <v>782</v>
      </c>
      <c r="H1869" s="793" t="s">
        <v>913</v>
      </c>
      <c r="I1869" s="794">
        <v>4.4701554233881664E-4</v>
      </c>
      <c r="J1869" s="794">
        <v>0.61873883905306803</v>
      </c>
      <c r="K1869" s="771"/>
    </row>
    <row r="1870" spans="1:11" ht="18.75" customHeight="1" outlineLevel="2">
      <c r="A1870" s="791" t="s">
        <v>776</v>
      </c>
      <c r="B1870" s="791" t="s">
        <v>1028</v>
      </c>
      <c r="C1870" s="791" t="s">
        <v>778</v>
      </c>
      <c r="D1870" s="792" t="s">
        <v>779</v>
      </c>
      <c r="E1870" s="793" t="s">
        <v>763</v>
      </c>
      <c r="F1870" s="793" t="s">
        <v>928</v>
      </c>
      <c r="G1870" s="793" t="s">
        <v>785</v>
      </c>
      <c r="H1870" s="793" t="s">
        <v>913</v>
      </c>
      <c r="I1870" s="794">
        <v>8.6826455973610817E-3</v>
      </c>
      <c r="J1870" s="794">
        <v>26.72856004749918</v>
      </c>
      <c r="K1870" s="771"/>
    </row>
    <row r="1871" spans="1:11" ht="18.75" customHeight="1" outlineLevel="2">
      <c r="A1871" s="791" t="s">
        <v>776</v>
      </c>
      <c r="B1871" s="791" t="s">
        <v>1028</v>
      </c>
      <c r="C1871" s="791" t="s">
        <v>778</v>
      </c>
      <c r="D1871" s="792" t="s">
        <v>779</v>
      </c>
      <c r="E1871" s="793" t="s">
        <v>763</v>
      </c>
      <c r="F1871" s="793" t="s">
        <v>929</v>
      </c>
      <c r="G1871" s="793" t="s">
        <v>785</v>
      </c>
      <c r="H1871" s="793" t="s">
        <v>913</v>
      </c>
      <c r="I1871" s="794">
        <v>0.1726167800026312</v>
      </c>
      <c r="J1871" s="794">
        <v>2431.2547740010941</v>
      </c>
      <c r="K1871" s="771"/>
    </row>
    <row r="1872" spans="1:11" ht="18.75" customHeight="1" outlineLevel="2">
      <c r="A1872" s="791" t="s">
        <v>776</v>
      </c>
      <c r="B1872" s="791" t="s">
        <v>1028</v>
      </c>
      <c r="C1872" s="791" t="s">
        <v>778</v>
      </c>
      <c r="D1872" s="792" t="s">
        <v>779</v>
      </c>
      <c r="E1872" s="793" t="s">
        <v>763</v>
      </c>
      <c r="F1872" s="793" t="s">
        <v>930</v>
      </c>
      <c r="G1872" s="793" t="s">
        <v>785</v>
      </c>
      <c r="H1872" s="793" t="s">
        <v>913</v>
      </c>
      <c r="I1872" s="794">
        <v>1.0276744543948619E-3</v>
      </c>
      <c r="J1872" s="794">
        <v>18.111917550994679</v>
      </c>
      <c r="K1872" s="771"/>
    </row>
    <row r="1873" spans="1:11" ht="18.75" customHeight="1" outlineLevel="2">
      <c r="A1873" s="791" t="s">
        <v>776</v>
      </c>
      <c r="B1873" s="791" t="s">
        <v>1028</v>
      </c>
      <c r="C1873" s="791" t="s">
        <v>778</v>
      </c>
      <c r="D1873" s="792" t="s">
        <v>779</v>
      </c>
      <c r="E1873" s="793" t="s">
        <v>763</v>
      </c>
      <c r="F1873" s="793" t="s">
        <v>931</v>
      </c>
      <c r="G1873" s="793" t="s">
        <v>785</v>
      </c>
      <c r="H1873" s="793" t="s">
        <v>913</v>
      </c>
      <c r="I1873" s="794">
        <v>3.4377748145593092E-4</v>
      </c>
      <c r="J1873" s="794">
        <v>5.713143341281266</v>
      </c>
      <c r="K1873" s="771"/>
    </row>
    <row r="1874" spans="1:11" ht="18.75" customHeight="1" outlineLevel="2">
      <c r="A1874" s="791" t="s">
        <v>776</v>
      </c>
      <c r="B1874" s="791" t="s">
        <v>1028</v>
      </c>
      <c r="C1874" s="791" t="s">
        <v>778</v>
      </c>
      <c r="D1874" s="792" t="s">
        <v>779</v>
      </c>
      <c r="E1874" s="793" t="s">
        <v>763</v>
      </c>
      <c r="F1874" s="793" t="s">
        <v>932</v>
      </c>
      <c r="G1874" s="793" t="s">
        <v>785</v>
      </c>
      <c r="H1874" s="793" t="s">
        <v>913</v>
      </c>
      <c r="I1874" s="794">
        <v>3.6706874194565521E-4</v>
      </c>
      <c r="J1874" s="794">
        <v>1.4109755136996187</v>
      </c>
      <c r="K1874" s="771"/>
    </row>
    <row r="1875" spans="1:11" ht="18.75" customHeight="1" outlineLevel="2">
      <c r="A1875" s="791" t="s">
        <v>776</v>
      </c>
      <c r="B1875" s="791" t="s">
        <v>1028</v>
      </c>
      <c r="C1875" s="791" t="s">
        <v>778</v>
      </c>
      <c r="D1875" s="792" t="s">
        <v>779</v>
      </c>
      <c r="E1875" s="793" t="s">
        <v>763</v>
      </c>
      <c r="F1875" s="793" t="s">
        <v>933</v>
      </c>
      <c r="G1875" s="793" t="s">
        <v>785</v>
      </c>
      <c r="H1875" s="793" t="s">
        <v>913</v>
      </c>
      <c r="I1875" s="794">
        <v>5.1522647601192262E-4</v>
      </c>
      <c r="J1875" s="794">
        <v>11.221169147173807</v>
      </c>
      <c r="K1875" s="771"/>
    </row>
    <row r="1876" spans="1:11" ht="18.75" customHeight="1" outlineLevel="2">
      <c r="A1876" s="791" t="s">
        <v>776</v>
      </c>
      <c r="B1876" s="791" t="s">
        <v>1028</v>
      </c>
      <c r="C1876" s="791" t="s">
        <v>778</v>
      </c>
      <c r="D1876" s="792" t="s">
        <v>779</v>
      </c>
      <c r="E1876" s="793" t="s">
        <v>763</v>
      </c>
      <c r="F1876" s="793" t="s">
        <v>934</v>
      </c>
      <c r="G1876" s="793" t="s">
        <v>813</v>
      </c>
      <c r="H1876" s="793" t="s">
        <v>913</v>
      </c>
      <c r="I1876" s="794">
        <v>3.3883587814841705E-3</v>
      </c>
      <c r="J1876" s="794">
        <v>51.348209642647312</v>
      </c>
      <c r="K1876" s="771"/>
    </row>
    <row r="1877" spans="1:11" ht="18.75" customHeight="1" outlineLevel="2">
      <c r="A1877" s="791" t="s">
        <v>776</v>
      </c>
      <c r="B1877" s="791" t="s">
        <v>1028</v>
      </c>
      <c r="C1877" s="791" t="s">
        <v>778</v>
      </c>
      <c r="D1877" s="792" t="s">
        <v>779</v>
      </c>
      <c r="E1877" s="793" t="s">
        <v>763</v>
      </c>
      <c r="F1877" s="793" t="s">
        <v>935</v>
      </c>
      <c r="G1877" s="793" t="s">
        <v>791</v>
      </c>
      <c r="H1877" s="793" t="s">
        <v>913</v>
      </c>
      <c r="I1877" s="794">
        <v>4.3537203037718101E-5</v>
      </c>
      <c r="J1877" s="794">
        <v>5.4860444731666395E-2</v>
      </c>
      <c r="K1877" s="771"/>
    </row>
    <row r="1878" spans="1:11" ht="18.75" customHeight="1" outlineLevel="2">
      <c r="A1878" s="791" t="s">
        <v>776</v>
      </c>
      <c r="B1878" s="791" t="s">
        <v>1028</v>
      </c>
      <c r="C1878" s="791" t="s">
        <v>778</v>
      </c>
      <c r="D1878" s="792" t="s">
        <v>779</v>
      </c>
      <c r="E1878" s="793" t="s">
        <v>763</v>
      </c>
      <c r="F1878" s="793" t="s">
        <v>936</v>
      </c>
      <c r="G1878" s="793" t="s">
        <v>791</v>
      </c>
      <c r="H1878" s="793" t="s">
        <v>913</v>
      </c>
      <c r="I1878" s="794">
        <v>6.3081415980443838E-6</v>
      </c>
      <c r="J1878" s="794">
        <v>0.10685271142670255</v>
      </c>
      <c r="K1878" s="771"/>
    </row>
    <row r="1879" spans="1:11" ht="18.75" customHeight="1" outlineLevel="2">
      <c r="A1879" s="791" t="s">
        <v>776</v>
      </c>
      <c r="B1879" s="791" t="s">
        <v>1028</v>
      </c>
      <c r="C1879" s="791" t="s">
        <v>778</v>
      </c>
      <c r="D1879" s="792" t="s">
        <v>779</v>
      </c>
      <c r="E1879" s="793" t="s">
        <v>763</v>
      </c>
      <c r="F1879" s="793" t="s">
        <v>937</v>
      </c>
      <c r="G1879" s="793" t="s">
        <v>794</v>
      </c>
      <c r="H1879" s="793" t="s">
        <v>913</v>
      </c>
      <c r="I1879" s="794">
        <v>1.6546175177761524E-2</v>
      </c>
      <c r="J1879" s="794">
        <v>40.626196098134209</v>
      </c>
      <c r="K1879" s="771"/>
    </row>
    <row r="1880" spans="1:11" ht="18.75" customHeight="1" outlineLevel="2">
      <c r="A1880" s="791" t="s">
        <v>776</v>
      </c>
      <c r="B1880" s="791" t="s">
        <v>1028</v>
      </c>
      <c r="C1880" s="791" t="s">
        <v>778</v>
      </c>
      <c r="D1880" s="792" t="s">
        <v>779</v>
      </c>
      <c r="E1880" s="793" t="s">
        <v>763</v>
      </c>
      <c r="F1880" s="793" t="s">
        <v>938</v>
      </c>
      <c r="G1880" s="793" t="s">
        <v>794</v>
      </c>
      <c r="H1880" s="793" t="s">
        <v>913</v>
      </c>
      <c r="I1880" s="794">
        <v>1.9469269987446055E-3</v>
      </c>
      <c r="J1880" s="794">
        <v>8.8925600257706048</v>
      </c>
      <c r="K1880" s="771"/>
    </row>
    <row r="1881" spans="1:11" ht="18.75" customHeight="1" outlineLevel="2">
      <c r="A1881" s="791" t="s">
        <v>776</v>
      </c>
      <c r="B1881" s="791" t="s">
        <v>1028</v>
      </c>
      <c r="C1881" s="791" t="s">
        <v>778</v>
      </c>
      <c r="D1881" s="792" t="s">
        <v>779</v>
      </c>
      <c r="E1881" s="793" t="s">
        <v>763</v>
      </c>
      <c r="F1881" s="793" t="s">
        <v>939</v>
      </c>
      <c r="G1881" s="793" t="s">
        <v>794</v>
      </c>
      <c r="H1881" s="793" t="s">
        <v>913</v>
      </c>
      <c r="I1881" s="794">
        <v>1.0151449050218768E-3</v>
      </c>
      <c r="J1881" s="794">
        <v>10.38360984415044</v>
      </c>
      <c r="K1881" s="771"/>
    </row>
    <row r="1882" spans="1:11" ht="18.75" customHeight="1" outlineLevel="2">
      <c r="A1882" s="791" t="s">
        <v>776</v>
      </c>
      <c r="B1882" s="791" t="s">
        <v>1028</v>
      </c>
      <c r="C1882" s="791" t="s">
        <v>778</v>
      </c>
      <c r="D1882" s="792" t="s">
        <v>779</v>
      </c>
      <c r="E1882" s="793" t="s">
        <v>763</v>
      </c>
      <c r="F1882" s="793" t="s">
        <v>940</v>
      </c>
      <c r="G1882" s="793" t="s">
        <v>794</v>
      </c>
      <c r="H1882" s="793" t="s">
        <v>913</v>
      </c>
      <c r="I1882" s="794">
        <v>1.6805664648411602E-3</v>
      </c>
      <c r="J1882" s="794">
        <v>12.905315748970628</v>
      </c>
      <c r="K1882" s="771"/>
    </row>
    <row r="1883" spans="1:11" ht="18.75" customHeight="1" outlineLevel="2">
      <c r="A1883" s="791" t="s">
        <v>776</v>
      </c>
      <c r="B1883" s="791" t="s">
        <v>1028</v>
      </c>
      <c r="C1883" s="791" t="s">
        <v>778</v>
      </c>
      <c r="D1883" s="792" t="s">
        <v>779</v>
      </c>
      <c r="E1883" s="793" t="s">
        <v>763</v>
      </c>
      <c r="F1883" s="793" t="s">
        <v>941</v>
      </c>
      <c r="G1883" s="793" t="s">
        <v>794</v>
      </c>
      <c r="H1883" s="793" t="s">
        <v>913</v>
      </c>
      <c r="I1883" s="794">
        <v>5.8174719747208694E-5</v>
      </c>
      <c r="J1883" s="794">
        <v>0.17551935399120802</v>
      </c>
      <c r="K1883" s="771"/>
    </row>
    <row r="1884" spans="1:11" ht="18.75" customHeight="1" outlineLevel="2">
      <c r="A1884" s="791" t="s">
        <v>776</v>
      </c>
      <c r="B1884" s="791" t="s">
        <v>1028</v>
      </c>
      <c r="C1884" s="791" t="s">
        <v>778</v>
      </c>
      <c r="D1884" s="792" t="s">
        <v>779</v>
      </c>
      <c r="E1884" s="793" t="s">
        <v>763</v>
      </c>
      <c r="F1884" s="793" t="s">
        <v>942</v>
      </c>
      <c r="G1884" s="793" t="s">
        <v>794</v>
      </c>
      <c r="H1884" s="793" t="s">
        <v>913</v>
      </c>
      <c r="I1884" s="794">
        <v>1.3790205213420792E-5</v>
      </c>
      <c r="J1884" s="794">
        <v>0.15935640979385557</v>
      </c>
      <c r="K1884" s="771"/>
    </row>
    <row r="1885" spans="1:11" ht="18.75" customHeight="1" outlineLevel="2">
      <c r="A1885" s="791" t="s">
        <v>776</v>
      </c>
      <c r="B1885" s="791" t="s">
        <v>1028</v>
      </c>
      <c r="C1885" s="791" t="s">
        <v>778</v>
      </c>
      <c r="D1885" s="792" t="s">
        <v>779</v>
      </c>
      <c r="E1885" s="793" t="s">
        <v>764</v>
      </c>
      <c r="F1885" s="793" t="s">
        <v>945</v>
      </c>
      <c r="G1885" s="793" t="s">
        <v>244</v>
      </c>
      <c r="H1885" s="793" t="s">
        <v>905</v>
      </c>
      <c r="I1885" s="794">
        <v>0.23721707916091839</v>
      </c>
      <c r="J1885" s="794">
        <v>8537.6288992892496</v>
      </c>
      <c r="K1885" s="771"/>
    </row>
    <row r="1886" spans="1:11" ht="18.75" customHeight="1" outlineLevel="2">
      <c r="A1886" s="791" t="s">
        <v>776</v>
      </c>
      <c r="B1886" s="791" t="s">
        <v>1028</v>
      </c>
      <c r="C1886" s="791" t="s">
        <v>778</v>
      </c>
      <c r="D1886" s="792" t="s">
        <v>779</v>
      </c>
      <c r="E1886" s="793" t="s">
        <v>764</v>
      </c>
      <c r="F1886" s="793" t="s">
        <v>946</v>
      </c>
      <c r="G1886" s="793" t="s">
        <v>244</v>
      </c>
      <c r="H1886" s="793" t="s">
        <v>905</v>
      </c>
      <c r="I1886" s="794">
        <v>1.5330682302948826E-3</v>
      </c>
      <c r="J1886" s="794">
        <v>29.081440259078835</v>
      </c>
      <c r="K1886" s="771"/>
    </row>
    <row r="1887" spans="1:11" ht="18.75" customHeight="1" outlineLevel="2">
      <c r="A1887" s="791" t="s">
        <v>776</v>
      </c>
      <c r="B1887" s="791" t="s">
        <v>1028</v>
      </c>
      <c r="C1887" s="791" t="s">
        <v>778</v>
      </c>
      <c r="D1887" s="792" t="s">
        <v>779</v>
      </c>
      <c r="E1887" s="793" t="s">
        <v>947</v>
      </c>
      <c r="F1887" s="793" t="s">
        <v>948</v>
      </c>
      <c r="G1887" s="793" t="s">
        <v>799</v>
      </c>
      <c r="H1887" s="793" t="s">
        <v>800</v>
      </c>
      <c r="I1887" s="794">
        <v>1.5539089553653638E-3</v>
      </c>
      <c r="J1887" s="794">
        <v>38.414824979931232</v>
      </c>
      <c r="K1887" s="771"/>
    </row>
    <row r="1888" spans="1:11" ht="18.75" customHeight="1" outlineLevel="2">
      <c r="A1888" s="791" t="s">
        <v>776</v>
      </c>
      <c r="B1888" s="791" t="s">
        <v>1028</v>
      </c>
      <c r="C1888" s="791" t="s">
        <v>778</v>
      </c>
      <c r="D1888" s="792" t="s">
        <v>779</v>
      </c>
      <c r="E1888" s="793" t="s">
        <v>947</v>
      </c>
      <c r="F1888" s="793" t="s">
        <v>949</v>
      </c>
      <c r="G1888" s="793" t="s">
        <v>782</v>
      </c>
      <c r="H1888" s="793" t="s">
        <v>804</v>
      </c>
      <c r="I1888" s="794">
        <v>6.9958049743840025E-4</v>
      </c>
      <c r="J1888" s="794">
        <v>40.799834760429874</v>
      </c>
      <c r="K1888" s="771"/>
    </row>
    <row r="1889" spans="1:11" ht="18.75" customHeight="1" outlineLevel="2">
      <c r="A1889" s="791" t="s">
        <v>776</v>
      </c>
      <c r="B1889" s="791" t="s">
        <v>1028</v>
      </c>
      <c r="C1889" s="791" t="s">
        <v>778</v>
      </c>
      <c r="D1889" s="792" t="s">
        <v>779</v>
      </c>
      <c r="E1889" s="793" t="s">
        <v>947</v>
      </c>
      <c r="F1889" s="793" t="s">
        <v>950</v>
      </c>
      <c r="G1889" s="793" t="s">
        <v>782</v>
      </c>
      <c r="H1889" s="793" t="s">
        <v>804</v>
      </c>
      <c r="I1889" s="794">
        <v>6.015202161065513E-6</v>
      </c>
      <c r="J1889" s="794">
        <v>6.6441664379345566E-2</v>
      </c>
      <c r="K1889" s="771"/>
    </row>
    <row r="1890" spans="1:11" ht="18.75" customHeight="1" outlineLevel="2">
      <c r="A1890" s="791" t="s">
        <v>776</v>
      </c>
      <c r="B1890" s="791" t="s">
        <v>1028</v>
      </c>
      <c r="C1890" s="791" t="s">
        <v>778</v>
      </c>
      <c r="D1890" s="792" t="s">
        <v>779</v>
      </c>
      <c r="E1890" s="793" t="s">
        <v>947</v>
      </c>
      <c r="F1890" s="793" t="s">
        <v>951</v>
      </c>
      <c r="G1890" s="793" t="s">
        <v>782</v>
      </c>
      <c r="H1890" s="793" t="s">
        <v>804</v>
      </c>
      <c r="I1890" s="794">
        <v>8.7235885273834098E-5</v>
      </c>
      <c r="J1890" s="794">
        <v>1.0944750492847157</v>
      </c>
      <c r="K1890" s="771"/>
    </row>
    <row r="1891" spans="1:11" ht="18.75" customHeight="1" outlineLevel="2">
      <c r="A1891" s="791" t="s">
        <v>776</v>
      </c>
      <c r="B1891" s="791" t="s">
        <v>1028</v>
      </c>
      <c r="C1891" s="791" t="s">
        <v>778</v>
      </c>
      <c r="D1891" s="792" t="s">
        <v>779</v>
      </c>
      <c r="E1891" s="793" t="s">
        <v>947</v>
      </c>
      <c r="F1891" s="793" t="s">
        <v>952</v>
      </c>
      <c r="G1891" s="793" t="s">
        <v>782</v>
      </c>
      <c r="H1891" s="793" t="s">
        <v>804</v>
      </c>
      <c r="I1891" s="794">
        <v>1.9921221660225415E-3</v>
      </c>
      <c r="J1891" s="794">
        <v>102.1281562127146</v>
      </c>
      <c r="K1891" s="771"/>
    </row>
    <row r="1892" spans="1:11" ht="18.75" customHeight="1" outlineLevel="2">
      <c r="A1892" s="791" t="s">
        <v>776</v>
      </c>
      <c r="B1892" s="791" t="s">
        <v>1028</v>
      </c>
      <c r="C1892" s="791" t="s">
        <v>778</v>
      </c>
      <c r="D1892" s="792" t="s">
        <v>779</v>
      </c>
      <c r="E1892" s="793" t="s">
        <v>947</v>
      </c>
      <c r="F1892" s="793" t="s">
        <v>953</v>
      </c>
      <c r="G1892" s="793" t="s">
        <v>782</v>
      </c>
      <c r="H1892" s="793" t="s">
        <v>804</v>
      </c>
      <c r="I1892" s="794">
        <v>1.5122740927795688E-3</v>
      </c>
      <c r="J1892" s="794">
        <v>111.12236351560348</v>
      </c>
      <c r="K1892" s="771"/>
    </row>
    <row r="1893" spans="1:11" ht="18.75" customHeight="1" outlineLevel="2">
      <c r="A1893" s="791" t="s">
        <v>776</v>
      </c>
      <c r="B1893" s="791" t="s">
        <v>1028</v>
      </c>
      <c r="C1893" s="791" t="s">
        <v>778</v>
      </c>
      <c r="D1893" s="792" t="s">
        <v>779</v>
      </c>
      <c r="E1893" s="793" t="s">
        <v>947</v>
      </c>
      <c r="F1893" s="793" t="s">
        <v>954</v>
      </c>
      <c r="G1893" s="793" t="s">
        <v>782</v>
      </c>
      <c r="H1893" s="793" t="s">
        <v>804</v>
      </c>
      <c r="I1893" s="794">
        <v>1.7085532739273638E-4</v>
      </c>
      <c r="J1893" s="794">
        <v>6.1359682607172132</v>
      </c>
      <c r="K1893" s="771"/>
    </row>
    <row r="1894" spans="1:11" ht="18.75" customHeight="1" outlineLevel="2">
      <c r="A1894" s="791" t="s">
        <v>776</v>
      </c>
      <c r="B1894" s="791" t="s">
        <v>1028</v>
      </c>
      <c r="C1894" s="791" t="s">
        <v>778</v>
      </c>
      <c r="D1894" s="792" t="s">
        <v>779</v>
      </c>
      <c r="E1894" s="793" t="s">
        <v>947</v>
      </c>
      <c r="F1894" s="793" t="s">
        <v>955</v>
      </c>
      <c r="G1894" s="793" t="s">
        <v>782</v>
      </c>
      <c r="H1894" s="793" t="s">
        <v>804</v>
      </c>
      <c r="I1894" s="794">
        <v>9.0876416094507809E-5</v>
      </c>
      <c r="J1894" s="794">
        <v>4.1783300011572164</v>
      </c>
      <c r="K1894" s="771"/>
    </row>
    <row r="1895" spans="1:11" ht="18.75" customHeight="1" outlineLevel="2">
      <c r="A1895" s="791" t="s">
        <v>776</v>
      </c>
      <c r="B1895" s="791" t="s">
        <v>1028</v>
      </c>
      <c r="C1895" s="791" t="s">
        <v>778</v>
      </c>
      <c r="D1895" s="792" t="s">
        <v>779</v>
      </c>
      <c r="E1895" s="793" t="s">
        <v>947</v>
      </c>
      <c r="F1895" s="793" t="s">
        <v>956</v>
      </c>
      <c r="G1895" s="793" t="s">
        <v>782</v>
      </c>
      <c r="H1895" s="793" t="s">
        <v>804</v>
      </c>
      <c r="I1895" s="794">
        <v>4.8300467666146133E-4</v>
      </c>
      <c r="J1895" s="794">
        <v>11.474096868697986</v>
      </c>
      <c r="K1895" s="771"/>
    </row>
    <row r="1896" spans="1:11" ht="18.75" customHeight="1" outlineLevel="2">
      <c r="A1896" s="791" t="s">
        <v>776</v>
      </c>
      <c r="B1896" s="791" t="s">
        <v>1028</v>
      </c>
      <c r="C1896" s="791" t="s">
        <v>778</v>
      </c>
      <c r="D1896" s="792" t="s">
        <v>779</v>
      </c>
      <c r="E1896" s="793" t="s">
        <v>947</v>
      </c>
      <c r="F1896" s="793" t="s">
        <v>957</v>
      </c>
      <c r="G1896" s="793" t="s">
        <v>782</v>
      </c>
      <c r="H1896" s="793" t="s">
        <v>804</v>
      </c>
      <c r="I1896" s="794">
        <v>1.3846362312819971E-3</v>
      </c>
      <c r="J1896" s="794">
        <v>49.10070362914437</v>
      </c>
      <c r="K1896" s="771"/>
    </row>
    <row r="1897" spans="1:11" ht="18.75" customHeight="1" outlineLevel="2">
      <c r="A1897" s="791" t="s">
        <v>776</v>
      </c>
      <c r="B1897" s="791" t="s">
        <v>1028</v>
      </c>
      <c r="C1897" s="791" t="s">
        <v>778</v>
      </c>
      <c r="D1897" s="792" t="s">
        <v>779</v>
      </c>
      <c r="E1897" s="793" t="s">
        <v>947</v>
      </c>
      <c r="F1897" s="793" t="s">
        <v>958</v>
      </c>
      <c r="G1897" s="793" t="s">
        <v>782</v>
      </c>
      <c r="H1897" s="793" t="s">
        <v>804</v>
      </c>
      <c r="I1897" s="794">
        <v>9.7889216526286988E-4</v>
      </c>
      <c r="J1897" s="794">
        <v>53.909528527653087</v>
      </c>
      <c r="K1897" s="771"/>
    </row>
    <row r="1898" spans="1:11" ht="18.75" customHeight="1" outlineLevel="2">
      <c r="A1898" s="791" t="s">
        <v>776</v>
      </c>
      <c r="B1898" s="791" t="s">
        <v>1028</v>
      </c>
      <c r="C1898" s="791" t="s">
        <v>778</v>
      </c>
      <c r="D1898" s="792" t="s">
        <v>779</v>
      </c>
      <c r="E1898" s="793" t="s">
        <v>947</v>
      </c>
      <c r="F1898" s="793" t="s">
        <v>959</v>
      </c>
      <c r="G1898" s="793" t="s">
        <v>782</v>
      </c>
      <c r="H1898" s="793" t="s">
        <v>804</v>
      </c>
      <c r="I1898" s="794">
        <v>5.3667407818062977E-3</v>
      </c>
      <c r="J1898" s="794">
        <v>413.94301384254425</v>
      </c>
      <c r="K1898" s="771"/>
    </row>
    <row r="1899" spans="1:11" ht="18.75" customHeight="1" outlineLevel="2">
      <c r="A1899" s="791" t="s">
        <v>776</v>
      </c>
      <c r="B1899" s="791" t="s">
        <v>1028</v>
      </c>
      <c r="C1899" s="791" t="s">
        <v>778</v>
      </c>
      <c r="D1899" s="792" t="s">
        <v>779</v>
      </c>
      <c r="E1899" s="793" t="s">
        <v>947</v>
      </c>
      <c r="F1899" s="793" t="s">
        <v>960</v>
      </c>
      <c r="G1899" s="793" t="s">
        <v>782</v>
      </c>
      <c r="H1899" s="793" t="s">
        <v>804</v>
      </c>
      <c r="I1899" s="794">
        <v>1.1351059038875667E-4</v>
      </c>
      <c r="J1899" s="794">
        <v>3.441985271969207</v>
      </c>
      <c r="K1899" s="771"/>
    </row>
    <row r="1900" spans="1:11" ht="18.75" customHeight="1" outlineLevel="2">
      <c r="A1900" s="791" t="s">
        <v>776</v>
      </c>
      <c r="B1900" s="791" t="s">
        <v>1028</v>
      </c>
      <c r="C1900" s="791" t="s">
        <v>778</v>
      </c>
      <c r="D1900" s="792" t="s">
        <v>779</v>
      </c>
      <c r="E1900" s="793" t="s">
        <v>947</v>
      </c>
      <c r="F1900" s="793" t="s">
        <v>961</v>
      </c>
      <c r="G1900" s="793" t="s">
        <v>782</v>
      </c>
      <c r="H1900" s="793" t="s">
        <v>804</v>
      </c>
      <c r="I1900" s="794">
        <v>4.4701725615792323E-5</v>
      </c>
      <c r="J1900" s="794">
        <v>2.1075348136990071</v>
      </c>
      <c r="K1900" s="771"/>
    </row>
    <row r="1901" spans="1:11" ht="18.75" customHeight="1" outlineLevel="2">
      <c r="A1901" s="791" t="s">
        <v>776</v>
      </c>
      <c r="B1901" s="791" t="s">
        <v>1028</v>
      </c>
      <c r="C1901" s="791" t="s">
        <v>778</v>
      </c>
      <c r="D1901" s="792" t="s">
        <v>779</v>
      </c>
      <c r="E1901" s="793" t="s">
        <v>947</v>
      </c>
      <c r="F1901" s="793" t="s">
        <v>962</v>
      </c>
      <c r="G1901" s="793" t="s">
        <v>782</v>
      </c>
      <c r="H1901" s="793" t="s">
        <v>804</v>
      </c>
      <c r="I1901" s="794">
        <v>1.5836419900687527E-3</v>
      </c>
      <c r="J1901" s="794">
        <v>94.616747597403588</v>
      </c>
      <c r="K1901" s="771"/>
    </row>
    <row r="1902" spans="1:11" ht="18.75" customHeight="1" outlineLevel="2">
      <c r="A1902" s="791" t="s">
        <v>776</v>
      </c>
      <c r="B1902" s="791" t="s">
        <v>1028</v>
      </c>
      <c r="C1902" s="791" t="s">
        <v>778</v>
      </c>
      <c r="D1902" s="792" t="s">
        <v>779</v>
      </c>
      <c r="E1902" s="793" t="s">
        <v>947</v>
      </c>
      <c r="F1902" s="793" t="s">
        <v>963</v>
      </c>
      <c r="G1902" s="793" t="s">
        <v>782</v>
      </c>
      <c r="H1902" s="793" t="s">
        <v>804</v>
      </c>
      <c r="I1902" s="794">
        <v>1.3614788667141481E-3</v>
      </c>
      <c r="J1902" s="794">
        <v>102.99155614914744</v>
      </c>
      <c r="K1902" s="771"/>
    </row>
    <row r="1903" spans="1:11" ht="18.75" customHeight="1" outlineLevel="2">
      <c r="A1903" s="791" t="s">
        <v>776</v>
      </c>
      <c r="B1903" s="791" t="s">
        <v>1028</v>
      </c>
      <c r="C1903" s="791" t="s">
        <v>778</v>
      </c>
      <c r="D1903" s="792" t="s">
        <v>779</v>
      </c>
      <c r="E1903" s="793" t="s">
        <v>947</v>
      </c>
      <c r="F1903" s="793" t="s">
        <v>964</v>
      </c>
      <c r="G1903" s="793" t="s">
        <v>782</v>
      </c>
      <c r="H1903" s="793" t="s">
        <v>804</v>
      </c>
      <c r="I1903" s="794">
        <v>4.9708887304138185E-3</v>
      </c>
      <c r="J1903" s="794">
        <v>354.2763696720499</v>
      </c>
      <c r="K1903" s="771"/>
    </row>
    <row r="1904" spans="1:11" ht="18.75" customHeight="1" outlineLevel="2">
      <c r="A1904" s="791" t="s">
        <v>776</v>
      </c>
      <c r="B1904" s="791" t="s">
        <v>1028</v>
      </c>
      <c r="C1904" s="791" t="s">
        <v>778</v>
      </c>
      <c r="D1904" s="792" t="s">
        <v>779</v>
      </c>
      <c r="E1904" s="793" t="s">
        <v>947</v>
      </c>
      <c r="F1904" s="793" t="s">
        <v>965</v>
      </c>
      <c r="G1904" s="793" t="s">
        <v>782</v>
      </c>
      <c r="H1904" s="793" t="s">
        <v>804</v>
      </c>
      <c r="I1904" s="794">
        <v>3.421717030953139E-4</v>
      </c>
      <c r="J1904" s="794">
        <v>16.658696601599221</v>
      </c>
      <c r="K1904" s="771"/>
    </row>
    <row r="1905" spans="1:11" ht="18.75" customHeight="1" outlineLevel="2">
      <c r="A1905" s="791" t="s">
        <v>776</v>
      </c>
      <c r="B1905" s="791" t="s">
        <v>1028</v>
      </c>
      <c r="C1905" s="791" t="s">
        <v>778</v>
      </c>
      <c r="D1905" s="792" t="s">
        <v>779</v>
      </c>
      <c r="E1905" s="793" t="s">
        <v>947</v>
      </c>
      <c r="F1905" s="793" t="s">
        <v>966</v>
      </c>
      <c r="G1905" s="793" t="s">
        <v>782</v>
      </c>
      <c r="H1905" s="793" t="s">
        <v>804</v>
      </c>
      <c r="I1905" s="794">
        <v>2.8772250278356025E-3</v>
      </c>
      <c r="J1905" s="794">
        <v>132.51096051110426</v>
      </c>
      <c r="K1905" s="771"/>
    </row>
    <row r="1906" spans="1:11" ht="18.75" customHeight="1" outlineLevel="2">
      <c r="A1906" s="791" t="s">
        <v>776</v>
      </c>
      <c r="B1906" s="791" t="s">
        <v>1028</v>
      </c>
      <c r="C1906" s="791" t="s">
        <v>778</v>
      </c>
      <c r="D1906" s="792" t="s">
        <v>779</v>
      </c>
      <c r="E1906" s="793" t="s">
        <v>947</v>
      </c>
      <c r="F1906" s="793" t="s">
        <v>967</v>
      </c>
      <c r="G1906" s="793" t="s">
        <v>782</v>
      </c>
      <c r="H1906" s="793" t="s">
        <v>804</v>
      </c>
      <c r="I1906" s="794">
        <v>7.0299421741209988E-3</v>
      </c>
      <c r="J1906" s="794">
        <v>450.51195137250971</v>
      </c>
      <c r="K1906" s="771"/>
    </row>
    <row r="1907" spans="1:11" ht="18.75" customHeight="1" outlineLevel="2">
      <c r="A1907" s="791" t="s">
        <v>776</v>
      </c>
      <c r="B1907" s="791" t="s">
        <v>1028</v>
      </c>
      <c r="C1907" s="791" t="s">
        <v>778</v>
      </c>
      <c r="D1907" s="792" t="s">
        <v>779</v>
      </c>
      <c r="E1907" s="793" t="s">
        <v>947</v>
      </c>
      <c r="F1907" s="793" t="s">
        <v>968</v>
      </c>
      <c r="G1907" s="793" t="s">
        <v>782</v>
      </c>
      <c r="H1907" s="793" t="s">
        <v>804</v>
      </c>
      <c r="I1907" s="794">
        <v>1.5397302467907058E-2</v>
      </c>
      <c r="J1907" s="794">
        <v>302.23193874742793</v>
      </c>
      <c r="K1907" s="771"/>
    </row>
    <row r="1908" spans="1:11" ht="18.75" customHeight="1" outlineLevel="2">
      <c r="A1908" s="791" t="s">
        <v>776</v>
      </c>
      <c r="B1908" s="791" t="s">
        <v>1028</v>
      </c>
      <c r="C1908" s="791" t="s">
        <v>778</v>
      </c>
      <c r="D1908" s="792" t="s">
        <v>779</v>
      </c>
      <c r="E1908" s="793" t="s">
        <v>947</v>
      </c>
      <c r="F1908" s="793" t="s">
        <v>969</v>
      </c>
      <c r="G1908" s="793" t="s">
        <v>782</v>
      </c>
      <c r="H1908" s="793" t="s">
        <v>804</v>
      </c>
      <c r="I1908" s="794">
        <v>5.6612230209378295E-3</v>
      </c>
      <c r="J1908" s="794">
        <v>412.12315048900018</v>
      </c>
      <c r="K1908" s="771"/>
    </row>
    <row r="1909" spans="1:11" ht="18.75" customHeight="1" outlineLevel="2">
      <c r="A1909" s="791" t="s">
        <v>776</v>
      </c>
      <c r="B1909" s="791" t="s">
        <v>1028</v>
      </c>
      <c r="C1909" s="791" t="s">
        <v>778</v>
      </c>
      <c r="D1909" s="792" t="s">
        <v>779</v>
      </c>
      <c r="E1909" s="793" t="s">
        <v>947</v>
      </c>
      <c r="F1909" s="793" t="s">
        <v>970</v>
      </c>
      <c r="G1909" s="793" t="s">
        <v>782</v>
      </c>
      <c r="H1909" s="793" t="s">
        <v>804</v>
      </c>
      <c r="I1909" s="794">
        <v>1.0307986031817739E-2</v>
      </c>
      <c r="J1909" s="794">
        <v>237.23666121448775</v>
      </c>
      <c r="K1909" s="771"/>
    </row>
    <row r="1910" spans="1:11" ht="18.75" customHeight="1" outlineLevel="2">
      <c r="A1910" s="791" t="s">
        <v>776</v>
      </c>
      <c r="B1910" s="791" t="s">
        <v>1028</v>
      </c>
      <c r="C1910" s="791" t="s">
        <v>778</v>
      </c>
      <c r="D1910" s="792" t="s">
        <v>779</v>
      </c>
      <c r="E1910" s="793" t="s">
        <v>947</v>
      </c>
      <c r="F1910" s="793" t="s">
        <v>971</v>
      </c>
      <c r="G1910" s="793" t="s">
        <v>782</v>
      </c>
      <c r="H1910" s="793" t="s">
        <v>804</v>
      </c>
      <c r="I1910" s="794">
        <v>6.0509881514289317E-4</v>
      </c>
      <c r="J1910" s="794">
        <v>44.221322450322475</v>
      </c>
      <c r="K1910" s="771"/>
    </row>
    <row r="1911" spans="1:11" ht="18.75" customHeight="1" outlineLevel="2">
      <c r="A1911" s="791" t="s">
        <v>776</v>
      </c>
      <c r="B1911" s="791" t="s">
        <v>1028</v>
      </c>
      <c r="C1911" s="791" t="s">
        <v>778</v>
      </c>
      <c r="D1911" s="792" t="s">
        <v>779</v>
      </c>
      <c r="E1911" s="793" t="s">
        <v>947</v>
      </c>
      <c r="F1911" s="793" t="s">
        <v>972</v>
      </c>
      <c r="G1911" s="793" t="s">
        <v>782</v>
      </c>
      <c r="H1911" s="793" t="s">
        <v>804</v>
      </c>
      <c r="I1911" s="794">
        <v>3.1428330926999133E-5</v>
      </c>
      <c r="J1911" s="794">
        <v>0.72550934854699412</v>
      </c>
      <c r="K1911" s="771"/>
    </row>
    <row r="1912" spans="1:11" ht="18.75" customHeight="1" outlineLevel="2">
      <c r="A1912" s="791" t="s">
        <v>776</v>
      </c>
      <c r="B1912" s="791" t="s">
        <v>1028</v>
      </c>
      <c r="C1912" s="791" t="s">
        <v>778</v>
      </c>
      <c r="D1912" s="792" t="s">
        <v>779</v>
      </c>
      <c r="E1912" s="793" t="s">
        <v>947</v>
      </c>
      <c r="F1912" s="793" t="s">
        <v>973</v>
      </c>
      <c r="G1912" s="793" t="s">
        <v>782</v>
      </c>
      <c r="H1912" s="793" t="s">
        <v>804</v>
      </c>
      <c r="I1912" s="794">
        <v>8.580222684920636E-4</v>
      </c>
      <c r="J1912" s="794">
        <v>46.127192395166567</v>
      </c>
      <c r="K1912" s="771"/>
    </row>
    <row r="1913" spans="1:11" ht="18.75" customHeight="1" outlineLevel="2">
      <c r="A1913" s="791" t="s">
        <v>776</v>
      </c>
      <c r="B1913" s="791" t="s">
        <v>1028</v>
      </c>
      <c r="C1913" s="791" t="s">
        <v>778</v>
      </c>
      <c r="D1913" s="792" t="s">
        <v>779</v>
      </c>
      <c r="E1913" s="793" t="s">
        <v>947</v>
      </c>
      <c r="F1913" s="793" t="s">
        <v>974</v>
      </c>
      <c r="G1913" s="793" t="s">
        <v>785</v>
      </c>
      <c r="H1913" s="793" t="s">
        <v>727</v>
      </c>
      <c r="I1913" s="794">
        <v>1.8065651397932408E-3</v>
      </c>
      <c r="J1913" s="794">
        <v>43.70562014682865</v>
      </c>
      <c r="K1913" s="771"/>
    </row>
    <row r="1914" spans="1:11" ht="18.75" customHeight="1" outlineLevel="2">
      <c r="A1914" s="791" t="s">
        <v>776</v>
      </c>
      <c r="B1914" s="791" t="s">
        <v>1028</v>
      </c>
      <c r="C1914" s="791" t="s">
        <v>778</v>
      </c>
      <c r="D1914" s="792" t="s">
        <v>779</v>
      </c>
      <c r="E1914" s="793" t="s">
        <v>947</v>
      </c>
      <c r="F1914" s="793" t="s">
        <v>975</v>
      </c>
      <c r="G1914" s="793" t="s">
        <v>785</v>
      </c>
      <c r="H1914" s="793" t="s">
        <v>727</v>
      </c>
      <c r="I1914" s="794">
        <v>8.9906103806284172E-3</v>
      </c>
      <c r="J1914" s="794">
        <v>634.06351862765609</v>
      </c>
      <c r="K1914" s="771"/>
    </row>
    <row r="1915" spans="1:11" ht="18.75" customHeight="1" outlineLevel="2">
      <c r="A1915" s="791" t="s">
        <v>776</v>
      </c>
      <c r="B1915" s="791" t="s">
        <v>1028</v>
      </c>
      <c r="C1915" s="791" t="s">
        <v>778</v>
      </c>
      <c r="D1915" s="792" t="s">
        <v>779</v>
      </c>
      <c r="E1915" s="793" t="s">
        <v>947</v>
      </c>
      <c r="F1915" s="793" t="s">
        <v>976</v>
      </c>
      <c r="G1915" s="793" t="s">
        <v>785</v>
      </c>
      <c r="H1915" s="793" t="s">
        <v>727</v>
      </c>
      <c r="I1915" s="794">
        <v>5.2815081562482347E-3</v>
      </c>
      <c r="J1915" s="794">
        <v>276.94592288294865</v>
      </c>
      <c r="K1915" s="771"/>
    </row>
    <row r="1916" spans="1:11" ht="18.75" customHeight="1" outlineLevel="2">
      <c r="A1916" s="791" t="s">
        <v>776</v>
      </c>
      <c r="B1916" s="791" t="s">
        <v>1028</v>
      </c>
      <c r="C1916" s="791" t="s">
        <v>778</v>
      </c>
      <c r="D1916" s="792" t="s">
        <v>779</v>
      </c>
      <c r="E1916" s="793" t="s">
        <v>947</v>
      </c>
      <c r="F1916" s="793" t="s">
        <v>977</v>
      </c>
      <c r="G1916" s="793" t="s">
        <v>785</v>
      </c>
      <c r="H1916" s="793" t="s">
        <v>727</v>
      </c>
      <c r="I1916" s="794">
        <v>6.2515956378450237E-3</v>
      </c>
      <c r="J1916" s="794">
        <v>280.83396216055064</v>
      </c>
      <c r="K1916" s="771"/>
    </row>
    <row r="1917" spans="1:11" ht="18.75" customHeight="1" outlineLevel="2">
      <c r="A1917" s="791" t="s">
        <v>776</v>
      </c>
      <c r="B1917" s="791" t="s">
        <v>1028</v>
      </c>
      <c r="C1917" s="791" t="s">
        <v>778</v>
      </c>
      <c r="D1917" s="792" t="s">
        <v>779</v>
      </c>
      <c r="E1917" s="793" t="s">
        <v>947</v>
      </c>
      <c r="F1917" s="793" t="s">
        <v>978</v>
      </c>
      <c r="G1917" s="793" t="s">
        <v>785</v>
      </c>
      <c r="H1917" s="793" t="s">
        <v>727</v>
      </c>
      <c r="I1917" s="794">
        <v>3.9594763164466247E-4</v>
      </c>
      <c r="J1917" s="794">
        <v>10.830691158835036</v>
      </c>
      <c r="K1917" s="771"/>
    </row>
    <row r="1918" spans="1:11" ht="18.75" customHeight="1" outlineLevel="2">
      <c r="A1918" s="791" t="s">
        <v>776</v>
      </c>
      <c r="B1918" s="791" t="s">
        <v>1028</v>
      </c>
      <c r="C1918" s="791" t="s">
        <v>778</v>
      </c>
      <c r="D1918" s="792" t="s">
        <v>779</v>
      </c>
      <c r="E1918" s="793" t="s">
        <v>947</v>
      </c>
      <c r="F1918" s="793" t="s">
        <v>979</v>
      </c>
      <c r="G1918" s="793" t="s">
        <v>785</v>
      </c>
      <c r="H1918" s="793" t="s">
        <v>727</v>
      </c>
      <c r="I1918" s="794">
        <v>1.6335326285291649E-2</v>
      </c>
      <c r="J1918" s="794">
        <v>536.88306922020251</v>
      </c>
      <c r="K1918" s="771"/>
    </row>
    <row r="1919" spans="1:11" ht="18.75" customHeight="1" outlineLevel="2">
      <c r="A1919" s="791" t="s">
        <v>776</v>
      </c>
      <c r="B1919" s="791" t="s">
        <v>1028</v>
      </c>
      <c r="C1919" s="791" t="s">
        <v>778</v>
      </c>
      <c r="D1919" s="792" t="s">
        <v>779</v>
      </c>
      <c r="E1919" s="793" t="s">
        <v>947</v>
      </c>
      <c r="F1919" s="793" t="s">
        <v>980</v>
      </c>
      <c r="G1919" s="793" t="s">
        <v>785</v>
      </c>
      <c r="H1919" s="793" t="s">
        <v>727</v>
      </c>
      <c r="I1919" s="794">
        <v>4.9295883426603172E-3</v>
      </c>
      <c r="J1919" s="794">
        <v>399.62748574363002</v>
      </c>
      <c r="K1919" s="771"/>
    </row>
    <row r="1920" spans="1:11" ht="18.75" customHeight="1" outlineLevel="2">
      <c r="A1920" s="791" t="s">
        <v>776</v>
      </c>
      <c r="B1920" s="791" t="s">
        <v>1028</v>
      </c>
      <c r="C1920" s="791" t="s">
        <v>778</v>
      </c>
      <c r="D1920" s="792" t="s">
        <v>779</v>
      </c>
      <c r="E1920" s="793" t="s">
        <v>947</v>
      </c>
      <c r="F1920" s="793" t="s">
        <v>981</v>
      </c>
      <c r="G1920" s="793" t="s">
        <v>813</v>
      </c>
      <c r="H1920" s="793" t="s">
        <v>814</v>
      </c>
      <c r="I1920" s="794">
        <v>2.40546932758179E-6</v>
      </c>
      <c r="J1920" s="794">
        <v>6.0290411678601913E-2</v>
      </c>
      <c r="K1920" s="771"/>
    </row>
    <row r="1921" spans="1:11" ht="18.75" customHeight="1" outlineLevel="2">
      <c r="A1921" s="791" t="s">
        <v>776</v>
      </c>
      <c r="B1921" s="791" t="s">
        <v>1028</v>
      </c>
      <c r="C1921" s="791" t="s">
        <v>778</v>
      </c>
      <c r="D1921" s="792" t="s">
        <v>779</v>
      </c>
      <c r="E1921" s="793" t="s">
        <v>947</v>
      </c>
      <c r="F1921" s="793" t="s">
        <v>983</v>
      </c>
      <c r="G1921" s="793" t="s">
        <v>813</v>
      </c>
      <c r="H1921" s="793" t="s">
        <v>814</v>
      </c>
      <c r="I1921" s="794">
        <v>1.9024005675891104E-2</v>
      </c>
      <c r="J1921" s="794">
        <v>422.62088269131448</v>
      </c>
      <c r="K1921" s="771"/>
    </row>
    <row r="1922" spans="1:11" ht="18.75" customHeight="1" outlineLevel="2">
      <c r="A1922" s="791" t="s">
        <v>776</v>
      </c>
      <c r="B1922" s="791" t="s">
        <v>1028</v>
      </c>
      <c r="C1922" s="791" t="s">
        <v>778</v>
      </c>
      <c r="D1922" s="792" t="s">
        <v>779</v>
      </c>
      <c r="E1922" s="793" t="s">
        <v>947</v>
      </c>
      <c r="F1922" s="793" t="s">
        <v>984</v>
      </c>
      <c r="G1922" s="793" t="s">
        <v>813</v>
      </c>
      <c r="H1922" s="793" t="s">
        <v>814</v>
      </c>
      <c r="I1922" s="794">
        <v>5.0029746844480029E-3</v>
      </c>
      <c r="J1922" s="794">
        <v>87.242430952730629</v>
      </c>
      <c r="K1922" s="771"/>
    </row>
    <row r="1923" spans="1:11" ht="18.75" customHeight="1" outlineLevel="2">
      <c r="A1923" s="791" t="s">
        <v>776</v>
      </c>
      <c r="B1923" s="791" t="s">
        <v>1028</v>
      </c>
      <c r="C1923" s="791" t="s">
        <v>778</v>
      </c>
      <c r="D1923" s="792" t="s">
        <v>779</v>
      </c>
      <c r="E1923" s="793" t="s">
        <v>947</v>
      </c>
      <c r="F1923" s="793" t="s">
        <v>985</v>
      </c>
      <c r="G1923" s="793" t="s">
        <v>813</v>
      </c>
      <c r="H1923" s="793" t="s">
        <v>814</v>
      </c>
      <c r="I1923" s="794">
        <v>1.1825071230855008E-2</v>
      </c>
      <c r="J1923" s="794">
        <v>576.11653835729123</v>
      </c>
      <c r="K1923" s="771"/>
    </row>
    <row r="1924" spans="1:11" ht="18.75" customHeight="1" outlineLevel="2">
      <c r="A1924" s="791" t="s">
        <v>776</v>
      </c>
      <c r="B1924" s="791" t="s">
        <v>1028</v>
      </c>
      <c r="C1924" s="791" t="s">
        <v>778</v>
      </c>
      <c r="D1924" s="792" t="s">
        <v>779</v>
      </c>
      <c r="E1924" s="793" t="s">
        <v>947</v>
      </c>
      <c r="F1924" s="793" t="s">
        <v>986</v>
      </c>
      <c r="G1924" s="793" t="s">
        <v>813</v>
      </c>
      <c r="H1924" s="793" t="s">
        <v>814</v>
      </c>
      <c r="I1924" s="794">
        <v>2.0279491559930724E-3</v>
      </c>
      <c r="J1924" s="794">
        <v>67.881042495110421</v>
      </c>
      <c r="K1924" s="771"/>
    </row>
    <row r="1925" spans="1:11" ht="18.75" customHeight="1" outlineLevel="2">
      <c r="A1925" s="791" t="s">
        <v>776</v>
      </c>
      <c r="B1925" s="791" t="s">
        <v>1028</v>
      </c>
      <c r="C1925" s="791" t="s">
        <v>778</v>
      </c>
      <c r="D1925" s="792" t="s">
        <v>779</v>
      </c>
      <c r="E1925" s="793" t="s">
        <v>947</v>
      </c>
      <c r="F1925" s="793" t="s">
        <v>987</v>
      </c>
      <c r="G1925" s="793" t="s">
        <v>813</v>
      </c>
      <c r="H1925" s="793" t="s">
        <v>814</v>
      </c>
      <c r="I1925" s="794">
        <v>5.7015516995148225E-5</v>
      </c>
      <c r="J1925" s="794">
        <v>1.72364840217642</v>
      </c>
      <c r="K1925" s="771"/>
    </row>
    <row r="1926" spans="1:11" ht="18.75" customHeight="1" outlineLevel="2">
      <c r="A1926" s="791" t="s">
        <v>776</v>
      </c>
      <c r="B1926" s="791" t="s">
        <v>1028</v>
      </c>
      <c r="C1926" s="791" t="s">
        <v>778</v>
      </c>
      <c r="D1926" s="792" t="s">
        <v>779</v>
      </c>
      <c r="E1926" s="793" t="s">
        <v>947</v>
      </c>
      <c r="F1926" s="793" t="s">
        <v>988</v>
      </c>
      <c r="G1926" s="793" t="s">
        <v>791</v>
      </c>
      <c r="H1926" s="793" t="s">
        <v>826</v>
      </c>
      <c r="I1926" s="794">
        <v>1.2526682492978561E-5</v>
      </c>
      <c r="J1926" s="794">
        <v>0.10707060111977187</v>
      </c>
      <c r="K1926" s="771"/>
    </row>
    <row r="1927" spans="1:11" ht="18.75" customHeight="1" outlineLevel="2">
      <c r="A1927" s="791" t="s">
        <v>776</v>
      </c>
      <c r="B1927" s="791" t="s">
        <v>1028</v>
      </c>
      <c r="C1927" s="791" t="s">
        <v>778</v>
      </c>
      <c r="D1927" s="792" t="s">
        <v>779</v>
      </c>
      <c r="E1927" s="793" t="s">
        <v>947</v>
      </c>
      <c r="F1927" s="793" t="s">
        <v>989</v>
      </c>
      <c r="G1927" s="793" t="s">
        <v>791</v>
      </c>
      <c r="H1927" s="793" t="s">
        <v>826</v>
      </c>
      <c r="I1927" s="794">
        <v>7.5774206577209846E-2</v>
      </c>
      <c r="J1927" s="794">
        <v>4445.8046170726966</v>
      </c>
      <c r="K1927" s="771"/>
    </row>
    <row r="1928" spans="1:11" ht="18.75" customHeight="1" outlineLevel="2">
      <c r="A1928" s="791" t="s">
        <v>776</v>
      </c>
      <c r="B1928" s="791" t="s">
        <v>1028</v>
      </c>
      <c r="C1928" s="791" t="s">
        <v>778</v>
      </c>
      <c r="D1928" s="792" t="s">
        <v>779</v>
      </c>
      <c r="E1928" s="793" t="s">
        <v>947</v>
      </c>
      <c r="F1928" s="793" t="s">
        <v>990</v>
      </c>
      <c r="G1928" s="793" t="s">
        <v>791</v>
      </c>
      <c r="H1928" s="793" t="s">
        <v>826</v>
      </c>
      <c r="I1928" s="794">
        <v>3.6166272196102409E-3</v>
      </c>
      <c r="J1928" s="794">
        <v>398.60431106860938</v>
      </c>
      <c r="K1928" s="771"/>
    </row>
    <row r="1929" spans="1:11" ht="18.75" customHeight="1" outlineLevel="2">
      <c r="A1929" s="791" t="s">
        <v>776</v>
      </c>
      <c r="B1929" s="791" t="s">
        <v>1028</v>
      </c>
      <c r="C1929" s="791" t="s">
        <v>778</v>
      </c>
      <c r="D1929" s="792" t="s">
        <v>779</v>
      </c>
      <c r="E1929" s="793" t="s">
        <v>947</v>
      </c>
      <c r="F1929" s="793" t="s">
        <v>991</v>
      </c>
      <c r="G1929" s="793" t="s">
        <v>791</v>
      </c>
      <c r="H1929" s="793" t="s">
        <v>826</v>
      </c>
      <c r="I1929" s="794">
        <v>2.8727136490699861E-5</v>
      </c>
      <c r="J1929" s="794">
        <v>2.2063032618890057</v>
      </c>
      <c r="K1929" s="771"/>
    </row>
    <row r="1930" spans="1:11" ht="18.75" customHeight="1" outlineLevel="2">
      <c r="A1930" s="791" t="s">
        <v>776</v>
      </c>
      <c r="B1930" s="791" t="s">
        <v>1028</v>
      </c>
      <c r="C1930" s="791" t="s">
        <v>778</v>
      </c>
      <c r="D1930" s="792" t="s">
        <v>779</v>
      </c>
      <c r="E1930" s="793" t="s">
        <v>947</v>
      </c>
      <c r="F1930" s="793" t="s">
        <v>992</v>
      </c>
      <c r="G1930" s="793" t="s">
        <v>791</v>
      </c>
      <c r="H1930" s="793" t="s">
        <v>826</v>
      </c>
      <c r="I1930" s="794">
        <v>5.5999423977114339E-6</v>
      </c>
      <c r="J1930" s="794">
        <v>0.46347692935664681</v>
      </c>
      <c r="K1930" s="771"/>
    </row>
    <row r="1931" spans="1:11" ht="18.75" customHeight="1" outlineLevel="2">
      <c r="A1931" s="791" t="s">
        <v>776</v>
      </c>
      <c r="B1931" s="791" t="s">
        <v>1028</v>
      </c>
      <c r="C1931" s="791" t="s">
        <v>778</v>
      </c>
      <c r="D1931" s="792" t="s">
        <v>779</v>
      </c>
      <c r="E1931" s="793" t="s">
        <v>947</v>
      </c>
      <c r="F1931" s="793" t="s">
        <v>993</v>
      </c>
      <c r="G1931" s="793" t="s">
        <v>791</v>
      </c>
      <c r="H1931" s="793" t="s">
        <v>826</v>
      </c>
      <c r="I1931" s="794">
        <v>3.676356664887437E-4</v>
      </c>
      <c r="J1931" s="794">
        <v>33.803383909621836</v>
      </c>
      <c r="K1931" s="771"/>
    </row>
    <row r="1932" spans="1:11" ht="18.75" customHeight="1" outlineLevel="2">
      <c r="A1932" s="791" t="s">
        <v>776</v>
      </c>
      <c r="B1932" s="791" t="s">
        <v>1028</v>
      </c>
      <c r="C1932" s="791" t="s">
        <v>778</v>
      </c>
      <c r="D1932" s="792" t="s">
        <v>779</v>
      </c>
      <c r="E1932" s="793" t="s">
        <v>947</v>
      </c>
      <c r="F1932" s="793" t="s">
        <v>994</v>
      </c>
      <c r="G1932" s="793" t="s">
        <v>791</v>
      </c>
      <c r="H1932" s="793" t="s">
        <v>826</v>
      </c>
      <c r="I1932" s="794">
        <v>7.7727625202421021E-7</v>
      </c>
      <c r="J1932" s="794">
        <v>9.3523570280052981E-2</v>
      </c>
      <c r="K1932" s="771"/>
    </row>
    <row r="1933" spans="1:11" ht="18.75" customHeight="1" outlineLevel="2">
      <c r="A1933" s="791" t="s">
        <v>776</v>
      </c>
      <c r="B1933" s="791" t="s">
        <v>1028</v>
      </c>
      <c r="C1933" s="791" t="s">
        <v>778</v>
      </c>
      <c r="D1933" s="792" t="s">
        <v>779</v>
      </c>
      <c r="E1933" s="793" t="s">
        <v>947</v>
      </c>
      <c r="F1933" s="793" t="s">
        <v>995</v>
      </c>
      <c r="G1933" s="793" t="s">
        <v>791</v>
      </c>
      <c r="H1933" s="793" t="s">
        <v>826</v>
      </c>
      <c r="I1933" s="794">
        <v>3.3089520360663242E-4</v>
      </c>
      <c r="J1933" s="794">
        <v>31.255701810294653</v>
      </c>
      <c r="K1933" s="771"/>
    </row>
    <row r="1934" spans="1:11" ht="18.75" customHeight="1" outlineLevel="2">
      <c r="A1934" s="791" t="s">
        <v>776</v>
      </c>
      <c r="B1934" s="791" t="s">
        <v>1028</v>
      </c>
      <c r="C1934" s="791" t="s">
        <v>778</v>
      </c>
      <c r="D1934" s="792" t="s">
        <v>779</v>
      </c>
      <c r="E1934" s="793" t="s">
        <v>947</v>
      </c>
      <c r="F1934" s="793" t="s">
        <v>996</v>
      </c>
      <c r="G1934" s="793" t="s">
        <v>791</v>
      </c>
      <c r="H1934" s="793" t="s">
        <v>826</v>
      </c>
      <c r="I1934" s="794">
        <v>9.783503064910912E-4</v>
      </c>
      <c r="J1934" s="794">
        <v>86.979471029908638</v>
      </c>
      <c r="K1934" s="771"/>
    </row>
    <row r="1935" spans="1:11" ht="18.75" customHeight="1" outlineLevel="2">
      <c r="A1935" s="791" t="s">
        <v>776</v>
      </c>
      <c r="B1935" s="791" t="s">
        <v>1028</v>
      </c>
      <c r="C1935" s="791" t="s">
        <v>778</v>
      </c>
      <c r="D1935" s="792" t="s">
        <v>779</v>
      </c>
      <c r="E1935" s="793" t="s">
        <v>947</v>
      </c>
      <c r="F1935" s="793" t="s">
        <v>997</v>
      </c>
      <c r="G1935" s="793" t="s">
        <v>791</v>
      </c>
      <c r="H1935" s="793" t="s">
        <v>826</v>
      </c>
      <c r="I1935" s="794">
        <v>1.4837842526328189E-3</v>
      </c>
      <c r="J1935" s="794">
        <v>64.136191844136846</v>
      </c>
      <c r="K1935" s="771"/>
    </row>
    <row r="1936" spans="1:11" ht="18.75" customHeight="1" outlineLevel="2">
      <c r="A1936" s="791" t="s">
        <v>776</v>
      </c>
      <c r="B1936" s="791" t="s">
        <v>1028</v>
      </c>
      <c r="C1936" s="791" t="s">
        <v>778</v>
      </c>
      <c r="D1936" s="792" t="s">
        <v>779</v>
      </c>
      <c r="E1936" s="793" t="s">
        <v>947</v>
      </c>
      <c r="F1936" s="793" t="s">
        <v>998</v>
      </c>
      <c r="G1936" s="793" t="s">
        <v>794</v>
      </c>
      <c r="H1936" s="793" t="s">
        <v>828</v>
      </c>
      <c r="I1936" s="794">
        <v>8.4483690337088507E-3</v>
      </c>
      <c r="J1936" s="794">
        <v>308.93127017435609</v>
      </c>
      <c r="K1936" s="771"/>
    </row>
    <row r="1937" spans="1:11" ht="18.75" customHeight="1" outlineLevel="2">
      <c r="A1937" s="791" t="s">
        <v>776</v>
      </c>
      <c r="B1937" s="791" t="s">
        <v>1028</v>
      </c>
      <c r="C1937" s="791" t="s">
        <v>778</v>
      </c>
      <c r="D1937" s="792" t="s">
        <v>779</v>
      </c>
      <c r="E1937" s="793" t="s">
        <v>947</v>
      </c>
      <c r="F1937" s="793" t="s">
        <v>999</v>
      </c>
      <c r="G1937" s="793" t="s">
        <v>794</v>
      </c>
      <c r="H1937" s="793" t="s">
        <v>828</v>
      </c>
      <c r="I1937" s="794">
        <v>1.9923850253178669E-3</v>
      </c>
      <c r="J1937" s="794">
        <v>72.913409006351301</v>
      </c>
      <c r="K1937" s="771"/>
    </row>
    <row r="1938" spans="1:11" ht="18.75" customHeight="1" outlineLevel="2">
      <c r="A1938" s="791" t="s">
        <v>776</v>
      </c>
      <c r="B1938" s="791" t="s">
        <v>1028</v>
      </c>
      <c r="C1938" s="791" t="s">
        <v>778</v>
      </c>
      <c r="D1938" s="792" t="s">
        <v>779</v>
      </c>
      <c r="E1938" s="793" t="s">
        <v>947</v>
      </c>
      <c r="F1938" s="793" t="s">
        <v>1000</v>
      </c>
      <c r="G1938" s="793" t="s">
        <v>794</v>
      </c>
      <c r="H1938" s="793" t="s">
        <v>828</v>
      </c>
      <c r="I1938" s="794">
        <v>5.5917876949907021E-3</v>
      </c>
      <c r="J1938" s="794">
        <v>202.28935742328042</v>
      </c>
      <c r="K1938" s="771"/>
    </row>
    <row r="1939" spans="1:11" ht="18.75" customHeight="1" outlineLevel="2">
      <c r="A1939" s="791" t="s">
        <v>776</v>
      </c>
      <c r="B1939" s="791" t="s">
        <v>1028</v>
      </c>
      <c r="C1939" s="791" t="s">
        <v>778</v>
      </c>
      <c r="D1939" s="792" t="s">
        <v>779</v>
      </c>
      <c r="E1939" s="793" t="s">
        <v>947</v>
      </c>
      <c r="F1939" s="793" t="s">
        <v>1001</v>
      </c>
      <c r="G1939" s="793" t="s">
        <v>794</v>
      </c>
      <c r="H1939" s="793" t="s">
        <v>828</v>
      </c>
      <c r="I1939" s="794">
        <v>4.7217987277181194E-3</v>
      </c>
      <c r="J1939" s="794">
        <v>102.70848352282374</v>
      </c>
      <c r="K1939" s="771"/>
    </row>
    <row r="1940" spans="1:11" ht="18.75" customHeight="1" outlineLevel="2">
      <c r="A1940" s="791" t="s">
        <v>776</v>
      </c>
      <c r="B1940" s="791" t="s">
        <v>1028</v>
      </c>
      <c r="C1940" s="791" t="s">
        <v>778</v>
      </c>
      <c r="D1940" s="792" t="s">
        <v>779</v>
      </c>
      <c r="E1940" s="793" t="s">
        <v>947</v>
      </c>
      <c r="F1940" s="793" t="s">
        <v>1002</v>
      </c>
      <c r="G1940" s="793" t="s">
        <v>794</v>
      </c>
      <c r="H1940" s="793" t="s">
        <v>828</v>
      </c>
      <c r="I1940" s="794">
        <v>2.3488301568251504E-4</v>
      </c>
      <c r="J1940" s="794">
        <v>9.8779800659487478</v>
      </c>
      <c r="K1940" s="771"/>
    </row>
    <row r="1941" spans="1:11" ht="18.75" customHeight="1" outlineLevel="2">
      <c r="A1941" s="791" t="s">
        <v>776</v>
      </c>
      <c r="B1941" s="791" t="s">
        <v>1028</v>
      </c>
      <c r="C1941" s="791" t="s">
        <v>778</v>
      </c>
      <c r="D1941" s="792" t="s">
        <v>779</v>
      </c>
      <c r="E1941" s="793" t="s">
        <v>947</v>
      </c>
      <c r="F1941" s="793" t="s">
        <v>1003</v>
      </c>
      <c r="G1941" s="793" t="s">
        <v>794</v>
      </c>
      <c r="H1941" s="793" t="s">
        <v>828</v>
      </c>
      <c r="I1941" s="794">
        <v>2.7173282887713967E-4</v>
      </c>
      <c r="J1941" s="794">
        <v>8.7428038531878478</v>
      </c>
      <c r="K1941" s="771"/>
    </row>
    <row r="1942" spans="1:11" ht="18.75" customHeight="1" outlineLevel="2">
      <c r="A1942" s="791" t="s">
        <v>776</v>
      </c>
      <c r="B1942" s="791" t="s">
        <v>1028</v>
      </c>
      <c r="C1942" s="791" t="s">
        <v>778</v>
      </c>
      <c r="D1942" s="792" t="s">
        <v>779</v>
      </c>
      <c r="E1942" s="793" t="s">
        <v>947</v>
      </c>
      <c r="F1942" s="793" t="s">
        <v>1004</v>
      </c>
      <c r="G1942" s="793" t="s">
        <v>833</v>
      </c>
      <c r="H1942" s="793" t="s">
        <v>834</v>
      </c>
      <c r="I1942" s="794">
        <v>1.0914639396680257E-2</v>
      </c>
      <c r="J1942" s="794">
        <v>715.32190439011333</v>
      </c>
      <c r="K1942" s="771"/>
    </row>
    <row r="1943" spans="1:11" ht="18.75" customHeight="1" outlineLevel="2">
      <c r="A1943" s="791" t="s">
        <v>776</v>
      </c>
      <c r="B1943" s="791" t="s">
        <v>1028</v>
      </c>
      <c r="C1943" s="791" t="s">
        <v>778</v>
      </c>
      <c r="D1943" s="792" t="s">
        <v>1010</v>
      </c>
      <c r="E1943" s="793" t="s">
        <v>662</v>
      </c>
      <c r="F1943" s="793" t="s">
        <v>1011</v>
      </c>
      <c r="G1943" s="793" t="s">
        <v>1012</v>
      </c>
      <c r="H1943" s="793" t="s">
        <v>1013</v>
      </c>
      <c r="I1943" s="794">
        <v>2.4458772484917791E-6</v>
      </c>
      <c r="J1943" s="794">
        <v>8.2967744857120381E-3</v>
      </c>
      <c r="K1943" s="771"/>
    </row>
    <row r="1944" spans="1:11" ht="18.75" customHeight="1" outlineLevel="2">
      <c r="A1944" s="791" t="s">
        <v>776</v>
      </c>
      <c r="B1944" s="791" t="s">
        <v>1028</v>
      </c>
      <c r="C1944" s="791" t="s">
        <v>778</v>
      </c>
      <c r="D1944" s="792" t="s">
        <v>1010</v>
      </c>
      <c r="E1944" s="793" t="s">
        <v>763</v>
      </c>
      <c r="F1944" s="793" t="s">
        <v>1014</v>
      </c>
      <c r="G1944" s="793" t="s">
        <v>1012</v>
      </c>
      <c r="H1944" s="793" t="s">
        <v>913</v>
      </c>
      <c r="I1944" s="794">
        <v>2.7620558171863633E-7</v>
      </c>
      <c r="J1944" s="794">
        <v>4.6293272553186576E-3</v>
      </c>
      <c r="K1944" s="771"/>
    </row>
    <row r="1945" spans="1:11" ht="18.75" customHeight="1" outlineLevel="2">
      <c r="A1945" s="791" t="s">
        <v>776</v>
      </c>
      <c r="B1945" s="791" t="s">
        <v>1028</v>
      </c>
      <c r="C1945" s="791" t="s">
        <v>778</v>
      </c>
      <c r="D1945" s="792" t="s">
        <v>1010</v>
      </c>
      <c r="E1945" s="793" t="s">
        <v>947</v>
      </c>
      <c r="F1945" s="793" t="s">
        <v>1015</v>
      </c>
      <c r="G1945" s="793" t="s">
        <v>1012</v>
      </c>
      <c r="H1945" s="793" t="s">
        <v>1013</v>
      </c>
      <c r="I1945" s="794">
        <v>4.8080574889743485E-6</v>
      </c>
      <c r="J1945" s="794">
        <v>0.25605756708743366</v>
      </c>
      <c r="K1945" s="771"/>
    </row>
    <row r="1946" spans="1:11" ht="18.75" customHeight="1" outlineLevel="2">
      <c r="A1946" s="791" t="s">
        <v>776</v>
      </c>
      <c r="B1946" s="791" t="s">
        <v>1029</v>
      </c>
      <c r="C1946" s="791" t="s">
        <v>1022</v>
      </c>
      <c r="D1946" s="792" t="s">
        <v>779</v>
      </c>
      <c r="E1946" s="793" t="s">
        <v>780</v>
      </c>
      <c r="F1946" s="793" t="s">
        <v>781</v>
      </c>
      <c r="G1946" s="793" t="s">
        <v>782</v>
      </c>
      <c r="H1946" s="793" t="s">
        <v>783</v>
      </c>
      <c r="I1946" s="794">
        <v>1.2578431563272674E-2</v>
      </c>
      <c r="J1946" s="794">
        <v>0.18503157114110283</v>
      </c>
      <c r="K1946" s="771"/>
    </row>
    <row r="1947" spans="1:11" ht="18.75" customHeight="1" outlineLevel="2">
      <c r="A1947" s="791" t="s">
        <v>776</v>
      </c>
      <c r="B1947" s="791" t="s">
        <v>1029</v>
      </c>
      <c r="C1947" s="791" t="s">
        <v>1022</v>
      </c>
      <c r="D1947" s="792" t="s">
        <v>779</v>
      </c>
      <c r="E1947" s="793" t="s">
        <v>780</v>
      </c>
      <c r="F1947" s="793" t="s">
        <v>784</v>
      </c>
      <c r="G1947" s="793" t="s">
        <v>785</v>
      </c>
      <c r="H1947" s="793" t="s">
        <v>783</v>
      </c>
      <c r="I1947" s="794">
        <v>3.7407301991564688</v>
      </c>
      <c r="J1947" s="794">
        <v>607.4724368088423</v>
      </c>
      <c r="K1947" s="771"/>
    </row>
    <row r="1948" spans="1:11" ht="18.75" customHeight="1" outlineLevel="2">
      <c r="A1948" s="791" t="s">
        <v>776</v>
      </c>
      <c r="B1948" s="791" t="s">
        <v>1029</v>
      </c>
      <c r="C1948" s="791" t="s">
        <v>1022</v>
      </c>
      <c r="D1948" s="792" t="s">
        <v>779</v>
      </c>
      <c r="E1948" s="793" t="s">
        <v>780</v>
      </c>
      <c r="F1948" s="793" t="s">
        <v>786</v>
      </c>
      <c r="G1948" s="793" t="s">
        <v>785</v>
      </c>
      <c r="H1948" s="793" t="s">
        <v>783</v>
      </c>
      <c r="I1948" s="794">
        <v>3.0378433019964397E-3</v>
      </c>
      <c r="J1948" s="794">
        <v>0.51463665204390174</v>
      </c>
      <c r="K1948" s="771"/>
    </row>
    <row r="1949" spans="1:11" ht="18.75" customHeight="1" outlineLevel="2">
      <c r="A1949" s="791" t="s">
        <v>776</v>
      </c>
      <c r="B1949" s="791" t="s">
        <v>1029</v>
      </c>
      <c r="C1949" s="791" t="s">
        <v>1022</v>
      </c>
      <c r="D1949" s="792" t="s">
        <v>779</v>
      </c>
      <c r="E1949" s="793" t="s">
        <v>780</v>
      </c>
      <c r="F1949" s="793" t="s">
        <v>787</v>
      </c>
      <c r="G1949" s="793" t="s">
        <v>785</v>
      </c>
      <c r="H1949" s="793" t="s">
        <v>783</v>
      </c>
      <c r="I1949" s="794">
        <v>1.5265967006711874E-3</v>
      </c>
      <c r="J1949" s="794">
        <v>0.2804422563974111</v>
      </c>
      <c r="K1949" s="771"/>
    </row>
    <row r="1950" spans="1:11" ht="18.75" customHeight="1" outlineLevel="2">
      <c r="A1950" s="791" t="s">
        <v>776</v>
      </c>
      <c r="B1950" s="791" t="s">
        <v>1029</v>
      </c>
      <c r="C1950" s="791" t="s">
        <v>1022</v>
      </c>
      <c r="D1950" s="792" t="s">
        <v>779</v>
      </c>
      <c r="E1950" s="793" t="s">
        <v>780</v>
      </c>
      <c r="F1950" s="793" t="s">
        <v>788</v>
      </c>
      <c r="G1950" s="793" t="s">
        <v>785</v>
      </c>
      <c r="H1950" s="793" t="s">
        <v>783</v>
      </c>
      <c r="I1950" s="794">
        <v>8.8543340169709526E-3</v>
      </c>
      <c r="J1950" s="794">
        <v>1.4104158069310671</v>
      </c>
      <c r="K1950" s="771"/>
    </row>
    <row r="1951" spans="1:11" ht="18.75" customHeight="1" outlineLevel="2">
      <c r="A1951" s="791" t="s">
        <v>776</v>
      </c>
      <c r="B1951" s="791" t="s">
        <v>1029</v>
      </c>
      <c r="C1951" s="791" t="s">
        <v>1022</v>
      </c>
      <c r="D1951" s="792" t="s">
        <v>779</v>
      </c>
      <c r="E1951" s="793" t="s">
        <v>780</v>
      </c>
      <c r="F1951" s="793" t="s">
        <v>789</v>
      </c>
      <c r="G1951" s="793" t="s">
        <v>785</v>
      </c>
      <c r="H1951" s="793" t="s">
        <v>783</v>
      </c>
      <c r="I1951" s="794">
        <v>1.3973312144431737E-2</v>
      </c>
      <c r="J1951" s="794">
        <v>3.4373159394895425</v>
      </c>
      <c r="K1951" s="771"/>
    </row>
    <row r="1952" spans="1:11" ht="18.75" customHeight="1" outlineLevel="2">
      <c r="A1952" s="791" t="s">
        <v>776</v>
      </c>
      <c r="B1952" s="791" t="s">
        <v>1029</v>
      </c>
      <c r="C1952" s="791" t="s">
        <v>1022</v>
      </c>
      <c r="D1952" s="792" t="s">
        <v>779</v>
      </c>
      <c r="E1952" s="793" t="s">
        <v>780</v>
      </c>
      <c r="F1952" s="793" t="s">
        <v>790</v>
      </c>
      <c r="G1952" s="793" t="s">
        <v>791</v>
      </c>
      <c r="H1952" s="793" t="s">
        <v>783</v>
      </c>
      <c r="I1952" s="794">
        <v>1.1484931446658232E-2</v>
      </c>
      <c r="J1952" s="794">
        <v>0.15255330151280941</v>
      </c>
      <c r="K1952" s="771"/>
    </row>
    <row r="1953" spans="1:11" ht="18.75" customHeight="1" outlineLevel="2">
      <c r="A1953" s="791" t="s">
        <v>776</v>
      </c>
      <c r="B1953" s="791" t="s">
        <v>1029</v>
      </c>
      <c r="C1953" s="791" t="s">
        <v>1022</v>
      </c>
      <c r="D1953" s="792" t="s">
        <v>779</v>
      </c>
      <c r="E1953" s="793" t="s">
        <v>780</v>
      </c>
      <c r="F1953" s="793" t="s">
        <v>792</v>
      </c>
      <c r="G1953" s="793" t="s">
        <v>791</v>
      </c>
      <c r="H1953" s="793" t="s">
        <v>783</v>
      </c>
      <c r="I1953" s="794">
        <v>8.5250798788442009E-2</v>
      </c>
      <c r="J1953" s="794">
        <v>16.556530923308223</v>
      </c>
      <c r="K1953" s="771"/>
    </row>
    <row r="1954" spans="1:11" ht="18.75" customHeight="1" outlineLevel="2">
      <c r="A1954" s="791" t="s">
        <v>776</v>
      </c>
      <c r="B1954" s="791" t="s">
        <v>1029</v>
      </c>
      <c r="C1954" s="791" t="s">
        <v>1022</v>
      </c>
      <c r="D1954" s="792" t="s">
        <v>779</v>
      </c>
      <c r="E1954" s="793" t="s">
        <v>780</v>
      </c>
      <c r="F1954" s="793" t="s">
        <v>793</v>
      </c>
      <c r="G1954" s="793" t="s">
        <v>794</v>
      </c>
      <c r="H1954" s="793" t="s">
        <v>783</v>
      </c>
      <c r="I1954" s="794">
        <v>2.3443384113382111</v>
      </c>
      <c r="J1954" s="794">
        <v>60.841803928658038</v>
      </c>
      <c r="K1954" s="771"/>
    </row>
    <row r="1955" spans="1:11" ht="18.75" customHeight="1" outlineLevel="2">
      <c r="A1955" s="791" t="s">
        <v>776</v>
      </c>
      <c r="B1955" s="791" t="s">
        <v>1029</v>
      </c>
      <c r="C1955" s="791" t="s">
        <v>1022</v>
      </c>
      <c r="D1955" s="792" t="s">
        <v>779</v>
      </c>
      <c r="E1955" s="793" t="s">
        <v>780</v>
      </c>
      <c r="F1955" s="793" t="s">
        <v>795</v>
      </c>
      <c r="G1955" s="793" t="s">
        <v>794</v>
      </c>
      <c r="H1955" s="793" t="s">
        <v>783</v>
      </c>
      <c r="I1955" s="794">
        <v>7.0892454901924987E-2</v>
      </c>
      <c r="J1955" s="794">
        <v>2.9046917208598484</v>
      </c>
      <c r="K1955" s="771"/>
    </row>
    <row r="1956" spans="1:11" ht="18.75" customHeight="1" outlineLevel="2">
      <c r="A1956" s="791" t="s">
        <v>776</v>
      </c>
      <c r="B1956" s="791" t="s">
        <v>1029</v>
      </c>
      <c r="C1956" s="791" t="s">
        <v>1022</v>
      </c>
      <c r="D1956" s="792" t="s">
        <v>779</v>
      </c>
      <c r="E1956" s="793" t="s">
        <v>780</v>
      </c>
      <c r="F1956" s="793" t="s">
        <v>796</v>
      </c>
      <c r="G1956" s="793" t="s">
        <v>794</v>
      </c>
      <c r="H1956" s="793" t="s">
        <v>783</v>
      </c>
      <c r="I1956" s="794">
        <v>3.6848161059296503E-2</v>
      </c>
      <c r="J1956" s="794">
        <v>4.2463308384287588</v>
      </c>
      <c r="K1956" s="771"/>
    </row>
    <row r="1957" spans="1:11" ht="18.75" customHeight="1" outlineLevel="2">
      <c r="A1957" s="791" t="s">
        <v>776</v>
      </c>
      <c r="B1957" s="791" t="s">
        <v>1029</v>
      </c>
      <c r="C1957" s="791" t="s">
        <v>1022</v>
      </c>
      <c r="D1957" s="792" t="s">
        <v>779</v>
      </c>
      <c r="E1957" s="793" t="s">
        <v>780</v>
      </c>
      <c r="F1957" s="793" t="s">
        <v>797</v>
      </c>
      <c r="G1957" s="793" t="s">
        <v>794</v>
      </c>
      <c r="H1957" s="793" t="s">
        <v>783</v>
      </c>
      <c r="I1957" s="794">
        <v>0.72058439474085556</v>
      </c>
      <c r="J1957" s="794">
        <v>150.79350654164296</v>
      </c>
      <c r="K1957" s="771"/>
    </row>
    <row r="1958" spans="1:11" ht="18.75" customHeight="1" outlineLevel="2">
      <c r="A1958" s="791" t="s">
        <v>776</v>
      </c>
      <c r="B1958" s="791" t="s">
        <v>1029</v>
      </c>
      <c r="C1958" s="791" t="s">
        <v>1022</v>
      </c>
      <c r="D1958" s="792" t="s">
        <v>779</v>
      </c>
      <c r="E1958" s="793" t="s">
        <v>662</v>
      </c>
      <c r="F1958" s="793" t="s">
        <v>798</v>
      </c>
      <c r="G1958" s="793" t="s">
        <v>799</v>
      </c>
      <c r="H1958" s="793" t="s">
        <v>800</v>
      </c>
      <c r="I1958" s="794">
        <v>0.62709222247279695</v>
      </c>
      <c r="J1958" s="794">
        <v>180.18387379956295</v>
      </c>
      <c r="K1958" s="771"/>
    </row>
    <row r="1959" spans="1:11" ht="18.75" customHeight="1" outlineLevel="2">
      <c r="A1959" s="791" t="s">
        <v>776</v>
      </c>
      <c r="B1959" s="791" t="s">
        <v>1029</v>
      </c>
      <c r="C1959" s="791" t="s">
        <v>1022</v>
      </c>
      <c r="D1959" s="792" t="s">
        <v>779</v>
      </c>
      <c r="E1959" s="793" t="s">
        <v>662</v>
      </c>
      <c r="F1959" s="793" t="s">
        <v>801</v>
      </c>
      <c r="G1959" s="793" t="s">
        <v>799</v>
      </c>
      <c r="H1959" s="793" t="s">
        <v>800</v>
      </c>
      <c r="I1959" s="794">
        <v>0.19155200138827844</v>
      </c>
      <c r="J1959" s="794">
        <v>77.381798849913579</v>
      </c>
      <c r="K1959" s="771"/>
    </row>
    <row r="1960" spans="1:11" ht="18.75" customHeight="1" outlineLevel="2">
      <c r="A1960" s="791" t="s">
        <v>776</v>
      </c>
      <c r="B1960" s="791" t="s">
        <v>1029</v>
      </c>
      <c r="C1960" s="791" t="s">
        <v>1022</v>
      </c>
      <c r="D1960" s="792" t="s">
        <v>779</v>
      </c>
      <c r="E1960" s="793" t="s">
        <v>662</v>
      </c>
      <c r="F1960" s="793" t="s">
        <v>802</v>
      </c>
      <c r="G1960" s="793" t="s">
        <v>799</v>
      </c>
      <c r="H1960" s="793" t="s">
        <v>800</v>
      </c>
      <c r="I1960" s="794">
        <v>8.7185679491838947E-2</v>
      </c>
      <c r="J1960" s="794">
        <v>112.12724707176623</v>
      </c>
      <c r="K1960" s="771"/>
    </row>
    <row r="1961" spans="1:11" ht="18.75" customHeight="1" outlineLevel="2">
      <c r="A1961" s="791" t="s">
        <v>776</v>
      </c>
      <c r="B1961" s="791" t="s">
        <v>1029</v>
      </c>
      <c r="C1961" s="791" t="s">
        <v>1022</v>
      </c>
      <c r="D1961" s="792" t="s">
        <v>779</v>
      </c>
      <c r="E1961" s="793" t="s">
        <v>662</v>
      </c>
      <c r="F1961" s="793" t="s">
        <v>803</v>
      </c>
      <c r="G1961" s="793" t="s">
        <v>782</v>
      </c>
      <c r="H1961" s="793" t="s">
        <v>804</v>
      </c>
      <c r="I1961" s="794">
        <v>3.8880609306523428E-2</v>
      </c>
      <c r="J1961" s="794">
        <v>24.124648674846362</v>
      </c>
      <c r="K1961" s="771"/>
    </row>
    <row r="1962" spans="1:11" ht="18.75" customHeight="1" outlineLevel="2">
      <c r="A1962" s="791" t="s">
        <v>776</v>
      </c>
      <c r="B1962" s="791" t="s">
        <v>1029</v>
      </c>
      <c r="C1962" s="791" t="s">
        <v>1022</v>
      </c>
      <c r="D1962" s="792" t="s">
        <v>779</v>
      </c>
      <c r="E1962" s="793" t="s">
        <v>662</v>
      </c>
      <c r="F1962" s="793" t="s">
        <v>805</v>
      </c>
      <c r="G1962" s="793" t="s">
        <v>782</v>
      </c>
      <c r="H1962" s="793" t="s">
        <v>804</v>
      </c>
      <c r="I1962" s="794">
        <v>3.2266777251774943E-3</v>
      </c>
      <c r="J1962" s="794">
        <v>1.5627009690427358</v>
      </c>
      <c r="K1962" s="771"/>
    </row>
    <row r="1963" spans="1:11" ht="18.75" customHeight="1" outlineLevel="2">
      <c r="A1963" s="791" t="s">
        <v>776</v>
      </c>
      <c r="B1963" s="791" t="s">
        <v>1029</v>
      </c>
      <c r="C1963" s="791" t="s">
        <v>1022</v>
      </c>
      <c r="D1963" s="792" t="s">
        <v>779</v>
      </c>
      <c r="E1963" s="793" t="s">
        <v>662</v>
      </c>
      <c r="F1963" s="793" t="s">
        <v>806</v>
      </c>
      <c r="G1963" s="793" t="s">
        <v>782</v>
      </c>
      <c r="H1963" s="793" t="s">
        <v>804</v>
      </c>
      <c r="I1963" s="794">
        <v>3.910310641264232E-3</v>
      </c>
      <c r="J1963" s="794">
        <v>1.8678720002056486</v>
      </c>
      <c r="K1963" s="771"/>
    </row>
    <row r="1964" spans="1:11" ht="18.75" customHeight="1" outlineLevel="2">
      <c r="A1964" s="791" t="s">
        <v>776</v>
      </c>
      <c r="B1964" s="791" t="s">
        <v>1029</v>
      </c>
      <c r="C1964" s="791" t="s">
        <v>1022</v>
      </c>
      <c r="D1964" s="792" t="s">
        <v>779</v>
      </c>
      <c r="E1964" s="793" t="s">
        <v>662</v>
      </c>
      <c r="F1964" s="793" t="s">
        <v>807</v>
      </c>
      <c r="G1964" s="793" t="s">
        <v>782</v>
      </c>
      <c r="H1964" s="793" t="s">
        <v>804</v>
      </c>
      <c r="I1964" s="794">
        <v>2.8918445086581205E-5</v>
      </c>
      <c r="J1964" s="794">
        <v>1.2942345043283428E-2</v>
      </c>
      <c r="K1964" s="771"/>
    </row>
    <row r="1965" spans="1:11" ht="18.75" customHeight="1" outlineLevel="2">
      <c r="A1965" s="791" t="s">
        <v>776</v>
      </c>
      <c r="B1965" s="791" t="s">
        <v>1029</v>
      </c>
      <c r="C1965" s="791" t="s">
        <v>1022</v>
      </c>
      <c r="D1965" s="792" t="s">
        <v>779</v>
      </c>
      <c r="E1965" s="793" t="s">
        <v>662</v>
      </c>
      <c r="F1965" s="793" t="s">
        <v>808</v>
      </c>
      <c r="G1965" s="793" t="s">
        <v>782</v>
      </c>
      <c r="H1965" s="793" t="s">
        <v>804</v>
      </c>
      <c r="I1965" s="794">
        <v>0.11146643691000593</v>
      </c>
      <c r="J1965" s="794">
        <v>62.241139084377906</v>
      </c>
      <c r="K1965" s="771"/>
    </row>
    <row r="1966" spans="1:11" ht="18.75" customHeight="1" outlineLevel="2">
      <c r="A1966" s="791" t="s">
        <v>776</v>
      </c>
      <c r="B1966" s="791" t="s">
        <v>1029</v>
      </c>
      <c r="C1966" s="791" t="s">
        <v>1022</v>
      </c>
      <c r="D1966" s="792" t="s">
        <v>779</v>
      </c>
      <c r="E1966" s="793" t="s">
        <v>662</v>
      </c>
      <c r="F1966" s="793" t="s">
        <v>809</v>
      </c>
      <c r="G1966" s="793" t="s">
        <v>782</v>
      </c>
      <c r="H1966" s="793" t="s">
        <v>804</v>
      </c>
      <c r="I1966" s="794">
        <v>8.1500636269948965E-4</v>
      </c>
      <c r="J1966" s="794">
        <v>0.36475367369873873</v>
      </c>
      <c r="K1966" s="771"/>
    </row>
    <row r="1967" spans="1:11" ht="18.75" customHeight="1" outlineLevel="2">
      <c r="A1967" s="791" t="s">
        <v>776</v>
      </c>
      <c r="B1967" s="791" t="s">
        <v>1029</v>
      </c>
      <c r="C1967" s="791" t="s">
        <v>1022</v>
      </c>
      <c r="D1967" s="792" t="s">
        <v>779</v>
      </c>
      <c r="E1967" s="793" t="s">
        <v>662</v>
      </c>
      <c r="F1967" s="793" t="s">
        <v>810</v>
      </c>
      <c r="G1967" s="793" t="s">
        <v>785</v>
      </c>
      <c r="H1967" s="793" t="s">
        <v>727</v>
      </c>
      <c r="I1967" s="794">
        <v>3.7048192218013371E-3</v>
      </c>
      <c r="J1967" s="794">
        <v>1.6580779803710213</v>
      </c>
      <c r="K1967" s="771"/>
    </row>
    <row r="1968" spans="1:11" ht="18.75" customHeight="1" outlineLevel="2">
      <c r="A1968" s="791" t="s">
        <v>776</v>
      </c>
      <c r="B1968" s="791" t="s">
        <v>1029</v>
      </c>
      <c r="C1968" s="791" t="s">
        <v>1022</v>
      </c>
      <c r="D1968" s="792" t="s">
        <v>779</v>
      </c>
      <c r="E1968" s="793" t="s">
        <v>662</v>
      </c>
      <c r="F1968" s="793" t="s">
        <v>811</v>
      </c>
      <c r="G1968" s="793" t="s">
        <v>785</v>
      </c>
      <c r="H1968" s="793" t="s">
        <v>727</v>
      </c>
      <c r="I1968" s="794">
        <v>2.8349760629880414E-4</v>
      </c>
      <c r="J1968" s="794">
        <v>0.12687839451930866</v>
      </c>
      <c r="K1968" s="771"/>
    </row>
    <row r="1969" spans="1:11" ht="18.75" customHeight="1" outlineLevel="2">
      <c r="A1969" s="791" t="s">
        <v>776</v>
      </c>
      <c r="B1969" s="791" t="s">
        <v>1029</v>
      </c>
      <c r="C1969" s="791" t="s">
        <v>1022</v>
      </c>
      <c r="D1969" s="792" t="s">
        <v>779</v>
      </c>
      <c r="E1969" s="793" t="s">
        <v>662</v>
      </c>
      <c r="F1969" s="793" t="s">
        <v>812</v>
      </c>
      <c r="G1969" s="793" t="s">
        <v>813</v>
      </c>
      <c r="H1969" s="793" t="s">
        <v>814</v>
      </c>
      <c r="I1969" s="794">
        <v>1.2362405539739642E-2</v>
      </c>
      <c r="J1969" s="794">
        <v>6.7704713261464686</v>
      </c>
      <c r="K1969" s="771"/>
    </row>
    <row r="1970" spans="1:11" ht="18.75" customHeight="1" outlineLevel="2">
      <c r="A1970" s="791" t="s">
        <v>776</v>
      </c>
      <c r="B1970" s="791" t="s">
        <v>1029</v>
      </c>
      <c r="C1970" s="791" t="s">
        <v>1022</v>
      </c>
      <c r="D1970" s="792" t="s">
        <v>779</v>
      </c>
      <c r="E1970" s="793" t="s">
        <v>662</v>
      </c>
      <c r="F1970" s="793" t="s">
        <v>815</v>
      </c>
      <c r="G1970" s="793" t="s">
        <v>813</v>
      </c>
      <c r="H1970" s="793" t="s">
        <v>814</v>
      </c>
      <c r="I1970" s="794">
        <v>0.19260094727030166</v>
      </c>
      <c r="J1970" s="794">
        <v>103.51249710731513</v>
      </c>
      <c r="K1970" s="771"/>
    </row>
    <row r="1971" spans="1:11" ht="18.75" customHeight="1" outlineLevel="2">
      <c r="A1971" s="791" t="s">
        <v>776</v>
      </c>
      <c r="B1971" s="791" t="s">
        <v>1029</v>
      </c>
      <c r="C1971" s="791" t="s">
        <v>1022</v>
      </c>
      <c r="D1971" s="792" t="s">
        <v>779</v>
      </c>
      <c r="E1971" s="793" t="s">
        <v>662</v>
      </c>
      <c r="F1971" s="793" t="s">
        <v>816</v>
      </c>
      <c r="G1971" s="793" t="s">
        <v>813</v>
      </c>
      <c r="H1971" s="793" t="s">
        <v>814</v>
      </c>
      <c r="I1971" s="794">
        <v>0.17399492645091985</v>
      </c>
      <c r="J1971" s="794">
        <v>90.39854705988887</v>
      </c>
      <c r="K1971" s="771"/>
    </row>
    <row r="1972" spans="1:11" ht="18.75" customHeight="1" outlineLevel="2">
      <c r="A1972" s="791" t="s">
        <v>776</v>
      </c>
      <c r="B1972" s="791" t="s">
        <v>1029</v>
      </c>
      <c r="C1972" s="791" t="s">
        <v>1022</v>
      </c>
      <c r="D1972" s="792" t="s">
        <v>779</v>
      </c>
      <c r="E1972" s="793" t="s">
        <v>662</v>
      </c>
      <c r="F1972" s="793" t="s">
        <v>817</v>
      </c>
      <c r="G1972" s="793" t="s">
        <v>813</v>
      </c>
      <c r="H1972" s="793" t="s">
        <v>814</v>
      </c>
      <c r="I1972" s="794">
        <v>1.8211546132900962</v>
      </c>
      <c r="J1972" s="794">
        <v>996.90494031982041</v>
      </c>
      <c r="K1972" s="771"/>
    </row>
    <row r="1973" spans="1:11" ht="18.75" customHeight="1" outlineLevel="2">
      <c r="A1973" s="791" t="s">
        <v>776</v>
      </c>
      <c r="B1973" s="791" t="s">
        <v>1029</v>
      </c>
      <c r="C1973" s="791" t="s">
        <v>1022</v>
      </c>
      <c r="D1973" s="792" t="s">
        <v>779</v>
      </c>
      <c r="E1973" s="793" t="s">
        <v>662</v>
      </c>
      <c r="F1973" s="793" t="s">
        <v>818</v>
      </c>
      <c r="G1973" s="793" t="s">
        <v>813</v>
      </c>
      <c r="H1973" s="793" t="s">
        <v>814</v>
      </c>
      <c r="I1973" s="794">
        <v>0.21374287178234308</v>
      </c>
      <c r="J1973" s="794">
        <v>125.54398412897021</v>
      </c>
      <c r="K1973" s="771"/>
    </row>
    <row r="1974" spans="1:11" ht="18.75" customHeight="1" outlineLevel="2">
      <c r="A1974" s="791" t="s">
        <v>776</v>
      </c>
      <c r="B1974" s="791" t="s">
        <v>1029</v>
      </c>
      <c r="C1974" s="791" t="s">
        <v>1022</v>
      </c>
      <c r="D1974" s="792" t="s">
        <v>779</v>
      </c>
      <c r="E1974" s="793" t="s">
        <v>662</v>
      </c>
      <c r="F1974" s="793" t="s">
        <v>819</v>
      </c>
      <c r="G1974" s="793" t="s">
        <v>813</v>
      </c>
      <c r="H1974" s="793" t="s">
        <v>814</v>
      </c>
      <c r="I1974" s="794">
        <v>1.7232392774813485</v>
      </c>
      <c r="J1974" s="794">
        <v>871.16155963725373</v>
      </c>
      <c r="K1974" s="771"/>
    </row>
    <row r="1975" spans="1:11" ht="18.75" customHeight="1" outlineLevel="2">
      <c r="A1975" s="791" t="s">
        <v>776</v>
      </c>
      <c r="B1975" s="791" t="s">
        <v>1029</v>
      </c>
      <c r="C1975" s="791" t="s">
        <v>1022</v>
      </c>
      <c r="D1975" s="792" t="s">
        <v>779</v>
      </c>
      <c r="E1975" s="793" t="s">
        <v>662</v>
      </c>
      <c r="F1975" s="793" t="s">
        <v>820</v>
      </c>
      <c r="G1975" s="793" t="s">
        <v>813</v>
      </c>
      <c r="H1975" s="793" t="s">
        <v>814</v>
      </c>
      <c r="I1975" s="794">
        <v>0.15065578130987892</v>
      </c>
      <c r="J1975" s="794">
        <v>80.799824296039603</v>
      </c>
      <c r="K1975" s="771"/>
    </row>
    <row r="1976" spans="1:11" ht="18.75" customHeight="1" outlineLevel="2">
      <c r="A1976" s="791" t="s">
        <v>776</v>
      </c>
      <c r="B1976" s="791" t="s">
        <v>1029</v>
      </c>
      <c r="C1976" s="791" t="s">
        <v>1022</v>
      </c>
      <c r="D1976" s="792" t="s">
        <v>779</v>
      </c>
      <c r="E1976" s="793" t="s">
        <v>662</v>
      </c>
      <c r="F1976" s="793" t="s">
        <v>821</v>
      </c>
      <c r="G1976" s="793" t="s">
        <v>813</v>
      </c>
      <c r="H1976" s="793" t="s">
        <v>814</v>
      </c>
      <c r="I1976" s="794">
        <v>1.5209193212631138</v>
      </c>
      <c r="J1976" s="794">
        <v>813.45668568980204</v>
      </c>
      <c r="K1976" s="771"/>
    </row>
    <row r="1977" spans="1:11" ht="18.75" customHeight="1" outlineLevel="2">
      <c r="A1977" s="791" t="s">
        <v>776</v>
      </c>
      <c r="B1977" s="791" t="s">
        <v>1029</v>
      </c>
      <c r="C1977" s="791" t="s">
        <v>1022</v>
      </c>
      <c r="D1977" s="792" t="s">
        <v>779</v>
      </c>
      <c r="E1977" s="793" t="s">
        <v>662</v>
      </c>
      <c r="F1977" s="793" t="s">
        <v>822</v>
      </c>
      <c r="G1977" s="793" t="s">
        <v>813</v>
      </c>
      <c r="H1977" s="793" t="s">
        <v>814</v>
      </c>
      <c r="I1977" s="794">
        <v>0.27304784032170615</v>
      </c>
      <c r="J1977" s="794">
        <v>39.977814911835985</v>
      </c>
      <c r="K1977" s="771"/>
    </row>
    <row r="1978" spans="1:11" ht="18.75" customHeight="1" outlineLevel="2">
      <c r="A1978" s="791" t="s">
        <v>776</v>
      </c>
      <c r="B1978" s="791" t="s">
        <v>1029</v>
      </c>
      <c r="C1978" s="791" t="s">
        <v>1022</v>
      </c>
      <c r="D1978" s="792" t="s">
        <v>779</v>
      </c>
      <c r="E1978" s="793" t="s">
        <v>662</v>
      </c>
      <c r="F1978" s="793" t="s">
        <v>823</v>
      </c>
      <c r="G1978" s="793" t="s">
        <v>813</v>
      </c>
      <c r="H1978" s="793" t="s">
        <v>814</v>
      </c>
      <c r="I1978" s="794">
        <v>2.0230140275389594</v>
      </c>
      <c r="J1978" s="794">
        <v>296.18768620777013</v>
      </c>
      <c r="K1978" s="771"/>
    </row>
    <row r="1979" spans="1:11" ht="18.75" customHeight="1" outlineLevel="2">
      <c r="A1979" s="791" t="s">
        <v>776</v>
      </c>
      <c r="B1979" s="791" t="s">
        <v>1029</v>
      </c>
      <c r="C1979" s="791" t="s">
        <v>1022</v>
      </c>
      <c r="D1979" s="792" t="s">
        <v>779</v>
      </c>
      <c r="E1979" s="793" t="s">
        <v>662</v>
      </c>
      <c r="F1979" s="793" t="s">
        <v>824</v>
      </c>
      <c r="G1979" s="793" t="s">
        <v>813</v>
      </c>
      <c r="H1979" s="793" t="s">
        <v>814</v>
      </c>
      <c r="I1979" s="794">
        <v>8.6990674678163299E-4</v>
      </c>
      <c r="J1979" s="794">
        <v>0.43406679646518076</v>
      </c>
      <c r="K1979" s="771"/>
    </row>
    <row r="1980" spans="1:11" ht="18.75" customHeight="1" outlineLevel="2">
      <c r="A1980" s="791" t="s">
        <v>776</v>
      </c>
      <c r="B1980" s="791" t="s">
        <v>1029</v>
      </c>
      <c r="C1980" s="791" t="s">
        <v>1022</v>
      </c>
      <c r="D1980" s="792" t="s">
        <v>779</v>
      </c>
      <c r="E1980" s="793" t="s">
        <v>662</v>
      </c>
      <c r="F1980" s="793" t="s">
        <v>825</v>
      </c>
      <c r="G1980" s="793" t="s">
        <v>791</v>
      </c>
      <c r="H1980" s="793" t="s">
        <v>826</v>
      </c>
      <c r="I1980" s="794">
        <v>1.4262754963025798E-3</v>
      </c>
      <c r="J1980" s="794">
        <v>0.86735029279543818</v>
      </c>
      <c r="K1980" s="771"/>
    </row>
    <row r="1981" spans="1:11" ht="18.75" customHeight="1" outlineLevel="2">
      <c r="A1981" s="791" t="s">
        <v>776</v>
      </c>
      <c r="B1981" s="791" t="s">
        <v>1029</v>
      </c>
      <c r="C1981" s="791" t="s">
        <v>1022</v>
      </c>
      <c r="D1981" s="792" t="s">
        <v>779</v>
      </c>
      <c r="E1981" s="793" t="s">
        <v>662</v>
      </c>
      <c r="F1981" s="793" t="s">
        <v>827</v>
      </c>
      <c r="G1981" s="793" t="s">
        <v>794</v>
      </c>
      <c r="H1981" s="793" t="s">
        <v>828</v>
      </c>
      <c r="I1981" s="794">
        <v>2.0660057730057638E-2</v>
      </c>
      <c r="J1981" s="794">
        <v>10.228998653022678</v>
      </c>
      <c r="K1981" s="771"/>
    </row>
    <row r="1982" spans="1:11" ht="18.75" customHeight="1" outlineLevel="2">
      <c r="A1982" s="791" t="s">
        <v>776</v>
      </c>
      <c r="B1982" s="791" t="s">
        <v>1029</v>
      </c>
      <c r="C1982" s="791" t="s">
        <v>1022</v>
      </c>
      <c r="D1982" s="792" t="s">
        <v>779</v>
      </c>
      <c r="E1982" s="793" t="s">
        <v>662</v>
      </c>
      <c r="F1982" s="793" t="s">
        <v>829</v>
      </c>
      <c r="G1982" s="793" t="s">
        <v>794</v>
      </c>
      <c r="H1982" s="793" t="s">
        <v>828</v>
      </c>
      <c r="I1982" s="794">
        <v>0.13184411055280348</v>
      </c>
      <c r="J1982" s="794">
        <v>68.238836094254026</v>
      </c>
      <c r="K1982" s="771"/>
    </row>
    <row r="1983" spans="1:11" ht="18.75" customHeight="1" outlineLevel="2">
      <c r="A1983" s="791" t="s">
        <v>776</v>
      </c>
      <c r="B1983" s="791" t="s">
        <v>1029</v>
      </c>
      <c r="C1983" s="791" t="s">
        <v>1022</v>
      </c>
      <c r="D1983" s="792" t="s">
        <v>779</v>
      </c>
      <c r="E1983" s="793" t="s">
        <v>662</v>
      </c>
      <c r="F1983" s="793" t="s">
        <v>830</v>
      </c>
      <c r="G1983" s="793" t="s">
        <v>794</v>
      </c>
      <c r="H1983" s="793" t="s">
        <v>828</v>
      </c>
      <c r="I1983" s="794">
        <v>5.2882414782170592E-5</v>
      </c>
      <c r="J1983" s="794">
        <v>2.3667359192352588E-2</v>
      </c>
      <c r="K1983" s="771"/>
    </row>
    <row r="1984" spans="1:11" ht="18.75" customHeight="1" outlineLevel="2">
      <c r="A1984" s="791" t="s">
        <v>776</v>
      </c>
      <c r="B1984" s="791" t="s">
        <v>1029</v>
      </c>
      <c r="C1984" s="791" t="s">
        <v>1022</v>
      </c>
      <c r="D1984" s="792" t="s">
        <v>779</v>
      </c>
      <c r="E1984" s="793" t="s">
        <v>662</v>
      </c>
      <c r="F1984" s="793" t="s">
        <v>831</v>
      </c>
      <c r="G1984" s="793" t="s">
        <v>794</v>
      </c>
      <c r="H1984" s="793" t="s">
        <v>828</v>
      </c>
      <c r="I1984" s="794">
        <v>9.2243670317475009E-4</v>
      </c>
      <c r="J1984" s="794">
        <v>0.41283344363351804</v>
      </c>
      <c r="K1984" s="771"/>
    </row>
    <row r="1985" spans="1:11" ht="18.75" customHeight="1" outlineLevel="2">
      <c r="A1985" s="791" t="s">
        <v>776</v>
      </c>
      <c r="B1985" s="791" t="s">
        <v>1029</v>
      </c>
      <c r="C1985" s="791" t="s">
        <v>1022</v>
      </c>
      <c r="D1985" s="792" t="s">
        <v>779</v>
      </c>
      <c r="E1985" s="793" t="s">
        <v>662</v>
      </c>
      <c r="F1985" s="793" t="s">
        <v>832</v>
      </c>
      <c r="G1985" s="793" t="s">
        <v>833</v>
      </c>
      <c r="H1985" s="793" t="s">
        <v>834</v>
      </c>
      <c r="I1985" s="794">
        <v>3.8364517566334723E-3</v>
      </c>
      <c r="J1985" s="794">
        <v>2.2148931849439863</v>
      </c>
      <c r="K1985" s="771"/>
    </row>
    <row r="1986" spans="1:11" ht="18.75" customHeight="1" outlineLevel="2">
      <c r="A1986" s="791" t="s">
        <v>776</v>
      </c>
      <c r="B1986" s="791" t="s">
        <v>1029</v>
      </c>
      <c r="C1986" s="791" t="s">
        <v>1022</v>
      </c>
      <c r="D1986" s="792" t="s">
        <v>779</v>
      </c>
      <c r="E1986" s="793" t="s">
        <v>662</v>
      </c>
      <c r="F1986" s="793" t="s">
        <v>835</v>
      </c>
      <c r="G1986" s="793" t="s">
        <v>799</v>
      </c>
      <c r="H1986" s="793" t="s">
        <v>800</v>
      </c>
      <c r="I1986" s="794">
        <v>0.11906215692901145</v>
      </c>
      <c r="J1986" s="794">
        <v>84.03409685442287</v>
      </c>
      <c r="K1986" s="771"/>
    </row>
    <row r="1987" spans="1:11" ht="18.75" customHeight="1" outlineLevel="2">
      <c r="A1987" s="791" t="s">
        <v>776</v>
      </c>
      <c r="B1987" s="791" t="s">
        <v>1029</v>
      </c>
      <c r="C1987" s="791" t="s">
        <v>1022</v>
      </c>
      <c r="D1987" s="792" t="s">
        <v>779</v>
      </c>
      <c r="E1987" s="793" t="s">
        <v>662</v>
      </c>
      <c r="F1987" s="793" t="s">
        <v>836</v>
      </c>
      <c r="G1987" s="793" t="s">
        <v>799</v>
      </c>
      <c r="H1987" s="793" t="s">
        <v>800</v>
      </c>
      <c r="I1987" s="794">
        <v>0.87735940419353964</v>
      </c>
      <c r="J1987" s="794">
        <v>798.89408669602801</v>
      </c>
      <c r="K1987" s="771"/>
    </row>
    <row r="1988" spans="1:11" ht="18.75" customHeight="1" outlineLevel="2">
      <c r="A1988" s="791" t="s">
        <v>776</v>
      </c>
      <c r="B1988" s="791" t="s">
        <v>1029</v>
      </c>
      <c r="C1988" s="791" t="s">
        <v>1022</v>
      </c>
      <c r="D1988" s="792" t="s">
        <v>779</v>
      </c>
      <c r="E1988" s="793" t="s">
        <v>662</v>
      </c>
      <c r="F1988" s="793" t="s">
        <v>837</v>
      </c>
      <c r="G1988" s="793" t="s">
        <v>799</v>
      </c>
      <c r="H1988" s="793" t="s">
        <v>800</v>
      </c>
      <c r="I1988" s="794">
        <v>0.89283081769836259</v>
      </c>
      <c r="J1988" s="794">
        <v>1184.205116302857</v>
      </c>
      <c r="K1988" s="771"/>
    </row>
    <row r="1989" spans="1:11" ht="18.75" customHeight="1" outlineLevel="2">
      <c r="A1989" s="791" t="s">
        <v>776</v>
      </c>
      <c r="B1989" s="791" t="s">
        <v>1029</v>
      </c>
      <c r="C1989" s="791" t="s">
        <v>1022</v>
      </c>
      <c r="D1989" s="792" t="s">
        <v>779</v>
      </c>
      <c r="E1989" s="793" t="s">
        <v>662</v>
      </c>
      <c r="F1989" s="793" t="s">
        <v>838</v>
      </c>
      <c r="G1989" s="793" t="s">
        <v>799</v>
      </c>
      <c r="H1989" s="793" t="s">
        <v>800</v>
      </c>
      <c r="I1989" s="794">
        <v>0.11787749382377416</v>
      </c>
      <c r="J1989" s="794">
        <v>107.15204737313533</v>
      </c>
      <c r="K1989" s="771"/>
    </row>
    <row r="1990" spans="1:11" ht="18.75" customHeight="1" outlineLevel="2">
      <c r="A1990" s="791" t="s">
        <v>776</v>
      </c>
      <c r="B1990" s="791" t="s">
        <v>1029</v>
      </c>
      <c r="C1990" s="791" t="s">
        <v>1022</v>
      </c>
      <c r="D1990" s="792" t="s">
        <v>779</v>
      </c>
      <c r="E1990" s="793" t="s">
        <v>662</v>
      </c>
      <c r="F1990" s="793" t="s">
        <v>839</v>
      </c>
      <c r="G1990" s="793" t="s">
        <v>782</v>
      </c>
      <c r="H1990" s="793" t="s">
        <v>804</v>
      </c>
      <c r="I1990" s="794">
        <v>1.3161600529851504E-2</v>
      </c>
      <c r="J1990" s="794">
        <v>21.385397503225075</v>
      </c>
      <c r="K1990" s="771"/>
    </row>
    <row r="1991" spans="1:11" ht="18.75" customHeight="1" outlineLevel="2">
      <c r="A1991" s="791" t="s">
        <v>776</v>
      </c>
      <c r="B1991" s="791" t="s">
        <v>1029</v>
      </c>
      <c r="C1991" s="791" t="s">
        <v>1022</v>
      </c>
      <c r="D1991" s="792" t="s">
        <v>779</v>
      </c>
      <c r="E1991" s="793" t="s">
        <v>662</v>
      </c>
      <c r="F1991" s="793" t="s">
        <v>840</v>
      </c>
      <c r="G1991" s="793" t="s">
        <v>782</v>
      </c>
      <c r="H1991" s="793" t="s">
        <v>804</v>
      </c>
      <c r="I1991" s="794">
        <v>1.0517682275834008E-4</v>
      </c>
      <c r="J1991" s="794">
        <v>0.15962341832738464</v>
      </c>
      <c r="K1991" s="771"/>
    </row>
    <row r="1992" spans="1:11" ht="18.75" customHeight="1" outlineLevel="2">
      <c r="A1992" s="791" t="s">
        <v>776</v>
      </c>
      <c r="B1992" s="791" t="s">
        <v>1029</v>
      </c>
      <c r="C1992" s="791" t="s">
        <v>1022</v>
      </c>
      <c r="D1992" s="792" t="s">
        <v>779</v>
      </c>
      <c r="E1992" s="793" t="s">
        <v>662</v>
      </c>
      <c r="F1992" s="793" t="s">
        <v>841</v>
      </c>
      <c r="G1992" s="793" t="s">
        <v>782</v>
      </c>
      <c r="H1992" s="793" t="s">
        <v>804</v>
      </c>
      <c r="I1992" s="794">
        <v>2.8438181516693615E-2</v>
      </c>
      <c r="J1992" s="794">
        <v>40.175081228062929</v>
      </c>
      <c r="K1992" s="771"/>
    </row>
    <row r="1993" spans="1:11" ht="18.75" customHeight="1" outlineLevel="2">
      <c r="A1993" s="791" t="s">
        <v>776</v>
      </c>
      <c r="B1993" s="791" t="s">
        <v>1029</v>
      </c>
      <c r="C1993" s="791" t="s">
        <v>1022</v>
      </c>
      <c r="D1993" s="792" t="s">
        <v>779</v>
      </c>
      <c r="E1993" s="793" t="s">
        <v>662</v>
      </c>
      <c r="F1993" s="793" t="s">
        <v>842</v>
      </c>
      <c r="G1993" s="793" t="s">
        <v>782</v>
      </c>
      <c r="H1993" s="793" t="s">
        <v>804</v>
      </c>
      <c r="I1993" s="794">
        <v>2.3206468578929308E-2</v>
      </c>
      <c r="J1993" s="794">
        <v>37.824159147848796</v>
      </c>
      <c r="K1993" s="771"/>
    </row>
    <row r="1994" spans="1:11" ht="18.75" customHeight="1" outlineLevel="2">
      <c r="A1994" s="791" t="s">
        <v>776</v>
      </c>
      <c r="B1994" s="791" t="s">
        <v>1029</v>
      </c>
      <c r="C1994" s="791" t="s">
        <v>1022</v>
      </c>
      <c r="D1994" s="792" t="s">
        <v>779</v>
      </c>
      <c r="E1994" s="793" t="s">
        <v>662</v>
      </c>
      <c r="F1994" s="793" t="s">
        <v>843</v>
      </c>
      <c r="G1994" s="793" t="s">
        <v>782</v>
      </c>
      <c r="H1994" s="793" t="s">
        <v>804</v>
      </c>
      <c r="I1994" s="794">
        <v>5.1896811430276912E-2</v>
      </c>
      <c r="J1994" s="794">
        <v>75.485372492370544</v>
      </c>
      <c r="K1994" s="771"/>
    </row>
    <row r="1995" spans="1:11" ht="18.75" customHeight="1" outlineLevel="2">
      <c r="A1995" s="791" t="s">
        <v>776</v>
      </c>
      <c r="B1995" s="791" t="s">
        <v>1029</v>
      </c>
      <c r="C1995" s="791" t="s">
        <v>1022</v>
      </c>
      <c r="D1995" s="792" t="s">
        <v>779</v>
      </c>
      <c r="E1995" s="793" t="s">
        <v>662</v>
      </c>
      <c r="F1995" s="793" t="s">
        <v>844</v>
      </c>
      <c r="G1995" s="793" t="s">
        <v>782</v>
      </c>
      <c r="H1995" s="793" t="s">
        <v>804</v>
      </c>
      <c r="I1995" s="794">
        <v>2.2514227604369733E-2</v>
      </c>
      <c r="J1995" s="794">
        <v>31.78492744056248</v>
      </c>
      <c r="K1995" s="771"/>
    </row>
    <row r="1996" spans="1:11" ht="18.75" customHeight="1" outlineLevel="2">
      <c r="A1996" s="791" t="s">
        <v>776</v>
      </c>
      <c r="B1996" s="791" t="s">
        <v>1029</v>
      </c>
      <c r="C1996" s="791" t="s">
        <v>1022</v>
      </c>
      <c r="D1996" s="792" t="s">
        <v>779</v>
      </c>
      <c r="E1996" s="793" t="s">
        <v>662</v>
      </c>
      <c r="F1996" s="793" t="s">
        <v>845</v>
      </c>
      <c r="G1996" s="793" t="s">
        <v>782</v>
      </c>
      <c r="H1996" s="793" t="s">
        <v>804</v>
      </c>
      <c r="I1996" s="794">
        <v>1.2261666692653507E-3</v>
      </c>
      <c r="J1996" s="794">
        <v>1.656571957848038</v>
      </c>
      <c r="K1996" s="771"/>
    </row>
    <row r="1997" spans="1:11" ht="18.75" customHeight="1" outlineLevel="2">
      <c r="A1997" s="791" t="s">
        <v>776</v>
      </c>
      <c r="B1997" s="791" t="s">
        <v>1029</v>
      </c>
      <c r="C1997" s="791" t="s">
        <v>1022</v>
      </c>
      <c r="D1997" s="792" t="s">
        <v>779</v>
      </c>
      <c r="E1997" s="793" t="s">
        <v>662</v>
      </c>
      <c r="F1997" s="793" t="s">
        <v>846</v>
      </c>
      <c r="G1997" s="793" t="s">
        <v>782</v>
      </c>
      <c r="H1997" s="793" t="s">
        <v>804</v>
      </c>
      <c r="I1997" s="794">
        <v>4.2668425918405681E-2</v>
      </c>
      <c r="J1997" s="794">
        <v>66.516097238179071</v>
      </c>
      <c r="K1997" s="771"/>
    </row>
    <row r="1998" spans="1:11" ht="18.75" customHeight="1" outlineLevel="2">
      <c r="A1998" s="791" t="s">
        <v>776</v>
      </c>
      <c r="B1998" s="791" t="s">
        <v>1029</v>
      </c>
      <c r="C1998" s="791" t="s">
        <v>1022</v>
      </c>
      <c r="D1998" s="792" t="s">
        <v>779</v>
      </c>
      <c r="E1998" s="793" t="s">
        <v>662</v>
      </c>
      <c r="F1998" s="793" t="s">
        <v>847</v>
      </c>
      <c r="G1998" s="793" t="s">
        <v>782</v>
      </c>
      <c r="H1998" s="793" t="s">
        <v>804</v>
      </c>
      <c r="I1998" s="794">
        <v>2.0333464045171008E-2</v>
      </c>
      <c r="J1998" s="794">
        <v>24.669620391867181</v>
      </c>
      <c r="K1998" s="771"/>
    </row>
    <row r="1999" spans="1:11" ht="18.75" customHeight="1" outlineLevel="2">
      <c r="A1999" s="791" t="s">
        <v>776</v>
      </c>
      <c r="B1999" s="791" t="s">
        <v>1029</v>
      </c>
      <c r="C1999" s="791" t="s">
        <v>1022</v>
      </c>
      <c r="D1999" s="792" t="s">
        <v>779</v>
      </c>
      <c r="E1999" s="793" t="s">
        <v>662</v>
      </c>
      <c r="F1999" s="793" t="s">
        <v>848</v>
      </c>
      <c r="G1999" s="793" t="s">
        <v>782</v>
      </c>
      <c r="H1999" s="793" t="s">
        <v>804</v>
      </c>
      <c r="I1999" s="794">
        <v>9.6128314534361256E-2</v>
      </c>
      <c r="J1999" s="794">
        <v>138.60496436468759</v>
      </c>
      <c r="K1999" s="771"/>
    </row>
    <row r="2000" spans="1:11" ht="18.75" customHeight="1" outlineLevel="2">
      <c r="A2000" s="791" t="s">
        <v>776</v>
      </c>
      <c r="B2000" s="791" t="s">
        <v>1029</v>
      </c>
      <c r="C2000" s="791" t="s">
        <v>1022</v>
      </c>
      <c r="D2000" s="792" t="s">
        <v>779</v>
      </c>
      <c r="E2000" s="793" t="s">
        <v>662</v>
      </c>
      <c r="F2000" s="793" t="s">
        <v>849</v>
      </c>
      <c r="G2000" s="793" t="s">
        <v>782</v>
      </c>
      <c r="H2000" s="793" t="s">
        <v>804</v>
      </c>
      <c r="I2000" s="794">
        <v>4.8728965171160481E-2</v>
      </c>
      <c r="J2000" s="794">
        <v>66.561936922646808</v>
      </c>
      <c r="K2000" s="771"/>
    </row>
    <row r="2001" spans="1:11" ht="18.75" customHeight="1" outlineLevel="2">
      <c r="A2001" s="791" t="s">
        <v>776</v>
      </c>
      <c r="B2001" s="791" t="s">
        <v>1029</v>
      </c>
      <c r="C2001" s="791" t="s">
        <v>1022</v>
      </c>
      <c r="D2001" s="792" t="s">
        <v>779</v>
      </c>
      <c r="E2001" s="793" t="s">
        <v>662</v>
      </c>
      <c r="F2001" s="793" t="s">
        <v>850</v>
      </c>
      <c r="G2001" s="793" t="s">
        <v>782</v>
      </c>
      <c r="H2001" s="793" t="s">
        <v>804</v>
      </c>
      <c r="I2001" s="794">
        <v>3.8494786929695107E-3</v>
      </c>
      <c r="J2001" s="794">
        <v>5.3614783478600723</v>
      </c>
      <c r="K2001" s="771"/>
    </row>
    <row r="2002" spans="1:11" ht="18.75" customHeight="1" outlineLevel="2">
      <c r="A2002" s="791" t="s">
        <v>776</v>
      </c>
      <c r="B2002" s="791" t="s">
        <v>1029</v>
      </c>
      <c r="C2002" s="791" t="s">
        <v>1022</v>
      </c>
      <c r="D2002" s="792" t="s">
        <v>779</v>
      </c>
      <c r="E2002" s="793" t="s">
        <v>662</v>
      </c>
      <c r="F2002" s="793" t="s">
        <v>851</v>
      </c>
      <c r="G2002" s="793" t="s">
        <v>782</v>
      </c>
      <c r="H2002" s="793" t="s">
        <v>804</v>
      </c>
      <c r="I2002" s="794">
        <v>6.3244429304074217E-3</v>
      </c>
      <c r="J2002" s="794">
        <v>9.0032643843320574</v>
      </c>
      <c r="K2002" s="771"/>
    </row>
    <row r="2003" spans="1:11" ht="18.75" customHeight="1" outlineLevel="2">
      <c r="A2003" s="791" t="s">
        <v>776</v>
      </c>
      <c r="B2003" s="791" t="s">
        <v>1029</v>
      </c>
      <c r="C2003" s="791" t="s">
        <v>1022</v>
      </c>
      <c r="D2003" s="792" t="s">
        <v>779</v>
      </c>
      <c r="E2003" s="793" t="s">
        <v>662</v>
      </c>
      <c r="F2003" s="793" t="s">
        <v>852</v>
      </c>
      <c r="G2003" s="793" t="s">
        <v>782</v>
      </c>
      <c r="H2003" s="793" t="s">
        <v>804</v>
      </c>
      <c r="I2003" s="794">
        <v>2.7674286613291908E-3</v>
      </c>
      <c r="J2003" s="794">
        <v>8.0451557079469218</v>
      </c>
      <c r="K2003" s="771"/>
    </row>
    <row r="2004" spans="1:11" ht="18.75" customHeight="1" outlineLevel="2">
      <c r="A2004" s="791" t="s">
        <v>776</v>
      </c>
      <c r="B2004" s="791" t="s">
        <v>1029</v>
      </c>
      <c r="C2004" s="791" t="s">
        <v>1022</v>
      </c>
      <c r="D2004" s="792" t="s">
        <v>779</v>
      </c>
      <c r="E2004" s="793" t="s">
        <v>662</v>
      </c>
      <c r="F2004" s="793" t="s">
        <v>853</v>
      </c>
      <c r="G2004" s="793" t="s">
        <v>782</v>
      </c>
      <c r="H2004" s="793" t="s">
        <v>804</v>
      </c>
      <c r="I2004" s="794">
        <v>2.2282334899615809E-3</v>
      </c>
      <c r="J2004" s="794">
        <v>19.081718267239054</v>
      </c>
      <c r="K2004" s="771"/>
    </row>
    <row r="2005" spans="1:11" ht="18.75" customHeight="1" outlineLevel="2">
      <c r="A2005" s="791" t="s">
        <v>776</v>
      </c>
      <c r="B2005" s="791" t="s">
        <v>1029</v>
      </c>
      <c r="C2005" s="791" t="s">
        <v>1022</v>
      </c>
      <c r="D2005" s="792" t="s">
        <v>779</v>
      </c>
      <c r="E2005" s="793" t="s">
        <v>662</v>
      </c>
      <c r="F2005" s="793" t="s">
        <v>854</v>
      </c>
      <c r="G2005" s="793" t="s">
        <v>782</v>
      </c>
      <c r="H2005" s="793" t="s">
        <v>804</v>
      </c>
      <c r="I2005" s="794">
        <v>3.0328829771274483E-2</v>
      </c>
      <c r="J2005" s="794">
        <v>45.49897064571941</v>
      </c>
      <c r="K2005" s="771"/>
    </row>
    <row r="2006" spans="1:11" ht="18.75" customHeight="1" outlineLevel="2">
      <c r="A2006" s="791" t="s">
        <v>776</v>
      </c>
      <c r="B2006" s="791" t="s">
        <v>1029</v>
      </c>
      <c r="C2006" s="791" t="s">
        <v>1022</v>
      </c>
      <c r="D2006" s="792" t="s">
        <v>779</v>
      </c>
      <c r="E2006" s="793" t="s">
        <v>662</v>
      </c>
      <c r="F2006" s="793" t="s">
        <v>855</v>
      </c>
      <c r="G2006" s="793" t="s">
        <v>782</v>
      </c>
      <c r="H2006" s="793" t="s">
        <v>804</v>
      </c>
      <c r="I2006" s="794">
        <v>2.1641801810688196E-2</v>
      </c>
      <c r="J2006" s="794">
        <v>31.710972549057576</v>
      </c>
      <c r="K2006" s="771"/>
    </row>
    <row r="2007" spans="1:11" ht="18.75" customHeight="1" outlineLevel="2">
      <c r="A2007" s="791" t="s">
        <v>776</v>
      </c>
      <c r="B2007" s="791" t="s">
        <v>1029</v>
      </c>
      <c r="C2007" s="791" t="s">
        <v>1022</v>
      </c>
      <c r="D2007" s="792" t="s">
        <v>779</v>
      </c>
      <c r="E2007" s="793" t="s">
        <v>662</v>
      </c>
      <c r="F2007" s="793" t="s">
        <v>856</v>
      </c>
      <c r="G2007" s="793" t="s">
        <v>782</v>
      </c>
      <c r="H2007" s="793" t="s">
        <v>804</v>
      </c>
      <c r="I2007" s="794">
        <v>8.503844988130083E-3</v>
      </c>
      <c r="J2007" s="794">
        <v>10.390558005595986</v>
      </c>
      <c r="K2007" s="771"/>
    </row>
    <row r="2008" spans="1:11" ht="18.75" customHeight="1" outlineLevel="2">
      <c r="A2008" s="791" t="s">
        <v>776</v>
      </c>
      <c r="B2008" s="791" t="s">
        <v>1029</v>
      </c>
      <c r="C2008" s="791" t="s">
        <v>1022</v>
      </c>
      <c r="D2008" s="792" t="s">
        <v>779</v>
      </c>
      <c r="E2008" s="793" t="s">
        <v>662</v>
      </c>
      <c r="F2008" s="793" t="s">
        <v>857</v>
      </c>
      <c r="G2008" s="793" t="s">
        <v>782</v>
      </c>
      <c r="H2008" s="793" t="s">
        <v>804</v>
      </c>
      <c r="I2008" s="794">
        <v>7.0717760489079264E-3</v>
      </c>
      <c r="J2008" s="794">
        <v>7.592403425024469</v>
      </c>
      <c r="K2008" s="771"/>
    </row>
    <row r="2009" spans="1:11" ht="18.75" customHeight="1" outlineLevel="2">
      <c r="A2009" s="791" t="s">
        <v>776</v>
      </c>
      <c r="B2009" s="791" t="s">
        <v>1029</v>
      </c>
      <c r="C2009" s="791" t="s">
        <v>1022</v>
      </c>
      <c r="D2009" s="792" t="s">
        <v>779</v>
      </c>
      <c r="E2009" s="793" t="s">
        <v>662</v>
      </c>
      <c r="F2009" s="793" t="s">
        <v>858</v>
      </c>
      <c r="G2009" s="793" t="s">
        <v>785</v>
      </c>
      <c r="H2009" s="793" t="s">
        <v>727</v>
      </c>
      <c r="I2009" s="794">
        <v>9.2027836768055801E-2</v>
      </c>
      <c r="J2009" s="794">
        <v>183.78963725110054</v>
      </c>
      <c r="K2009" s="771"/>
    </row>
    <row r="2010" spans="1:11" ht="18.75" customHeight="1" outlineLevel="2">
      <c r="A2010" s="791" t="s">
        <v>776</v>
      </c>
      <c r="B2010" s="791" t="s">
        <v>1029</v>
      </c>
      <c r="C2010" s="791" t="s">
        <v>1022</v>
      </c>
      <c r="D2010" s="792" t="s">
        <v>779</v>
      </c>
      <c r="E2010" s="793" t="s">
        <v>662</v>
      </c>
      <c r="F2010" s="793" t="s">
        <v>859</v>
      </c>
      <c r="G2010" s="793" t="s">
        <v>785</v>
      </c>
      <c r="H2010" s="793" t="s">
        <v>727</v>
      </c>
      <c r="I2010" s="794">
        <v>6.6140391028426782E-2</v>
      </c>
      <c r="J2010" s="794">
        <v>695.5519282847107</v>
      </c>
      <c r="K2010" s="771"/>
    </row>
    <row r="2011" spans="1:11" ht="18.75" customHeight="1" outlineLevel="2">
      <c r="A2011" s="791" t="s">
        <v>776</v>
      </c>
      <c r="B2011" s="791" t="s">
        <v>1029</v>
      </c>
      <c r="C2011" s="791" t="s">
        <v>1022</v>
      </c>
      <c r="D2011" s="792" t="s">
        <v>779</v>
      </c>
      <c r="E2011" s="793" t="s">
        <v>662</v>
      </c>
      <c r="F2011" s="793" t="s">
        <v>860</v>
      </c>
      <c r="G2011" s="793" t="s">
        <v>785</v>
      </c>
      <c r="H2011" s="793" t="s">
        <v>727</v>
      </c>
      <c r="I2011" s="794">
        <v>5.4893431467831176E-2</v>
      </c>
      <c r="J2011" s="794">
        <v>149.46153649716118</v>
      </c>
      <c r="K2011" s="771"/>
    </row>
    <row r="2012" spans="1:11" ht="18.75" customHeight="1" outlineLevel="2">
      <c r="A2012" s="791" t="s">
        <v>776</v>
      </c>
      <c r="B2012" s="791" t="s">
        <v>1029</v>
      </c>
      <c r="C2012" s="791" t="s">
        <v>1022</v>
      </c>
      <c r="D2012" s="792" t="s">
        <v>779</v>
      </c>
      <c r="E2012" s="793" t="s">
        <v>662</v>
      </c>
      <c r="F2012" s="793" t="s">
        <v>861</v>
      </c>
      <c r="G2012" s="793" t="s">
        <v>785</v>
      </c>
      <c r="H2012" s="793" t="s">
        <v>727</v>
      </c>
      <c r="I2012" s="794">
        <v>0.2111539285702754</v>
      </c>
      <c r="J2012" s="794">
        <v>280.72984711796607</v>
      </c>
      <c r="K2012" s="771"/>
    </row>
    <row r="2013" spans="1:11" ht="18.75" customHeight="1" outlineLevel="2">
      <c r="A2013" s="791" t="s">
        <v>776</v>
      </c>
      <c r="B2013" s="791" t="s">
        <v>1029</v>
      </c>
      <c r="C2013" s="791" t="s">
        <v>1022</v>
      </c>
      <c r="D2013" s="792" t="s">
        <v>779</v>
      </c>
      <c r="E2013" s="793" t="s">
        <v>662</v>
      </c>
      <c r="F2013" s="793" t="s">
        <v>862</v>
      </c>
      <c r="G2013" s="793" t="s">
        <v>785</v>
      </c>
      <c r="H2013" s="793" t="s">
        <v>727</v>
      </c>
      <c r="I2013" s="794">
        <v>5.9550144376876377E-3</v>
      </c>
      <c r="J2013" s="794">
        <v>12.881082961180251</v>
      </c>
      <c r="K2013" s="771"/>
    </row>
    <row r="2014" spans="1:11" ht="18.75" customHeight="1" outlineLevel="2">
      <c r="A2014" s="791" t="s">
        <v>776</v>
      </c>
      <c r="B2014" s="791" t="s">
        <v>1029</v>
      </c>
      <c r="C2014" s="791" t="s">
        <v>1022</v>
      </c>
      <c r="D2014" s="792" t="s">
        <v>779</v>
      </c>
      <c r="E2014" s="793" t="s">
        <v>662</v>
      </c>
      <c r="F2014" s="793" t="s">
        <v>863</v>
      </c>
      <c r="G2014" s="793" t="s">
        <v>785</v>
      </c>
      <c r="H2014" s="793" t="s">
        <v>727</v>
      </c>
      <c r="I2014" s="794">
        <v>4.6351018249312752E-3</v>
      </c>
      <c r="J2014" s="794">
        <v>6.8532188522109649</v>
      </c>
      <c r="K2014" s="771"/>
    </row>
    <row r="2015" spans="1:11" ht="18.75" customHeight="1" outlineLevel="2">
      <c r="A2015" s="791" t="s">
        <v>776</v>
      </c>
      <c r="B2015" s="791" t="s">
        <v>1029</v>
      </c>
      <c r="C2015" s="791" t="s">
        <v>1022</v>
      </c>
      <c r="D2015" s="792" t="s">
        <v>779</v>
      </c>
      <c r="E2015" s="793" t="s">
        <v>662</v>
      </c>
      <c r="F2015" s="793" t="s">
        <v>864</v>
      </c>
      <c r="G2015" s="793" t="s">
        <v>785</v>
      </c>
      <c r="H2015" s="793" t="s">
        <v>727</v>
      </c>
      <c r="I2015" s="794">
        <v>4.3371647678610622E-3</v>
      </c>
      <c r="J2015" s="794">
        <v>61.428023877978326</v>
      </c>
      <c r="K2015" s="771"/>
    </row>
    <row r="2016" spans="1:11" ht="18.75" customHeight="1" outlineLevel="2">
      <c r="A2016" s="791" t="s">
        <v>776</v>
      </c>
      <c r="B2016" s="791" t="s">
        <v>1029</v>
      </c>
      <c r="C2016" s="791" t="s">
        <v>1022</v>
      </c>
      <c r="D2016" s="792" t="s">
        <v>779</v>
      </c>
      <c r="E2016" s="793" t="s">
        <v>662</v>
      </c>
      <c r="F2016" s="793" t="s">
        <v>865</v>
      </c>
      <c r="G2016" s="793" t="s">
        <v>813</v>
      </c>
      <c r="H2016" s="793" t="s">
        <v>814</v>
      </c>
      <c r="I2016" s="794">
        <v>1.0709985599614877</v>
      </c>
      <c r="J2016" s="794">
        <v>1142.0006828917253</v>
      </c>
      <c r="K2016" s="771"/>
    </row>
    <row r="2017" spans="1:11" ht="18.75" customHeight="1" outlineLevel="2">
      <c r="A2017" s="791" t="s">
        <v>776</v>
      </c>
      <c r="B2017" s="791" t="s">
        <v>1029</v>
      </c>
      <c r="C2017" s="791" t="s">
        <v>1022</v>
      </c>
      <c r="D2017" s="792" t="s">
        <v>779</v>
      </c>
      <c r="E2017" s="793" t="s">
        <v>662</v>
      </c>
      <c r="F2017" s="793" t="s">
        <v>866</v>
      </c>
      <c r="G2017" s="793" t="s">
        <v>813</v>
      </c>
      <c r="H2017" s="793" t="s">
        <v>814</v>
      </c>
      <c r="I2017" s="794">
        <v>1.8824566003140957</v>
      </c>
      <c r="J2017" s="794">
        <v>2546.499157099744</v>
      </c>
      <c r="K2017" s="771"/>
    </row>
    <row r="2018" spans="1:11" ht="18.75" customHeight="1" outlineLevel="2">
      <c r="A2018" s="791" t="s">
        <v>776</v>
      </c>
      <c r="B2018" s="791" t="s">
        <v>1029</v>
      </c>
      <c r="C2018" s="791" t="s">
        <v>1022</v>
      </c>
      <c r="D2018" s="792" t="s">
        <v>779</v>
      </c>
      <c r="E2018" s="793" t="s">
        <v>662</v>
      </c>
      <c r="F2018" s="793" t="s">
        <v>867</v>
      </c>
      <c r="G2018" s="793" t="s">
        <v>813</v>
      </c>
      <c r="H2018" s="793" t="s">
        <v>814</v>
      </c>
      <c r="I2018" s="794">
        <v>9.2196552385943265E-2</v>
      </c>
      <c r="J2018" s="794">
        <v>98.271116777329183</v>
      </c>
      <c r="K2018" s="771"/>
    </row>
    <row r="2019" spans="1:11" ht="18.75" customHeight="1" outlineLevel="2">
      <c r="A2019" s="791" t="s">
        <v>776</v>
      </c>
      <c r="B2019" s="791" t="s">
        <v>1029</v>
      </c>
      <c r="C2019" s="791" t="s">
        <v>1022</v>
      </c>
      <c r="D2019" s="792" t="s">
        <v>779</v>
      </c>
      <c r="E2019" s="793" t="s">
        <v>662</v>
      </c>
      <c r="F2019" s="793" t="s">
        <v>868</v>
      </c>
      <c r="G2019" s="793" t="s">
        <v>813</v>
      </c>
      <c r="H2019" s="793" t="s">
        <v>814</v>
      </c>
      <c r="I2019" s="794">
        <v>1.19963573435686</v>
      </c>
      <c r="J2019" s="794">
        <v>1510.4903001675214</v>
      </c>
      <c r="K2019" s="771"/>
    </row>
    <row r="2020" spans="1:11" ht="18.75" customHeight="1" outlineLevel="2">
      <c r="A2020" s="791" t="s">
        <v>776</v>
      </c>
      <c r="B2020" s="791" t="s">
        <v>1029</v>
      </c>
      <c r="C2020" s="791" t="s">
        <v>1022</v>
      </c>
      <c r="D2020" s="792" t="s">
        <v>779</v>
      </c>
      <c r="E2020" s="793" t="s">
        <v>662</v>
      </c>
      <c r="F2020" s="793" t="s">
        <v>869</v>
      </c>
      <c r="G2020" s="793" t="s">
        <v>813</v>
      </c>
      <c r="H2020" s="793" t="s">
        <v>814</v>
      </c>
      <c r="I2020" s="794">
        <v>5.0224627168708458E-3</v>
      </c>
      <c r="J2020" s="794">
        <v>6.348059917127407</v>
      </c>
      <c r="K2020" s="771"/>
    </row>
    <row r="2021" spans="1:11" ht="18.75" customHeight="1" outlineLevel="2">
      <c r="A2021" s="791" t="s">
        <v>776</v>
      </c>
      <c r="B2021" s="791" t="s">
        <v>1029</v>
      </c>
      <c r="C2021" s="791" t="s">
        <v>1022</v>
      </c>
      <c r="D2021" s="792" t="s">
        <v>779</v>
      </c>
      <c r="E2021" s="793" t="s">
        <v>662</v>
      </c>
      <c r="F2021" s="793" t="s">
        <v>870</v>
      </c>
      <c r="G2021" s="793" t="s">
        <v>813</v>
      </c>
      <c r="H2021" s="793" t="s">
        <v>814</v>
      </c>
      <c r="I2021" s="794">
        <v>4.1792969491674881E-2</v>
      </c>
      <c r="J2021" s="794">
        <v>58.983296960104262</v>
      </c>
      <c r="K2021" s="771"/>
    </row>
    <row r="2022" spans="1:11" ht="18.75" customHeight="1" outlineLevel="2">
      <c r="A2022" s="791" t="s">
        <v>776</v>
      </c>
      <c r="B2022" s="791" t="s">
        <v>1029</v>
      </c>
      <c r="C2022" s="791" t="s">
        <v>1022</v>
      </c>
      <c r="D2022" s="792" t="s">
        <v>779</v>
      </c>
      <c r="E2022" s="793" t="s">
        <v>662</v>
      </c>
      <c r="F2022" s="793" t="s">
        <v>871</v>
      </c>
      <c r="G2022" s="793" t="s">
        <v>813</v>
      </c>
      <c r="H2022" s="793" t="s">
        <v>814</v>
      </c>
      <c r="I2022" s="794">
        <v>9.5654235762600848E-3</v>
      </c>
      <c r="J2022" s="794">
        <v>12.110665435543748</v>
      </c>
      <c r="K2022" s="771"/>
    </row>
    <row r="2023" spans="1:11" ht="18.75" customHeight="1" outlineLevel="2">
      <c r="A2023" s="791" t="s">
        <v>776</v>
      </c>
      <c r="B2023" s="791" t="s">
        <v>1029</v>
      </c>
      <c r="C2023" s="791" t="s">
        <v>1022</v>
      </c>
      <c r="D2023" s="792" t="s">
        <v>779</v>
      </c>
      <c r="E2023" s="793" t="s">
        <v>662</v>
      </c>
      <c r="F2023" s="793" t="s">
        <v>872</v>
      </c>
      <c r="G2023" s="793" t="s">
        <v>813</v>
      </c>
      <c r="H2023" s="793" t="s">
        <v>814</v>
      </c>
      <c r="I2023" s="794">
        <v>1.4282748535775611</v>
      </c>
      <c r="J2023" s="794">
        <v>2420.3565891888929</v>
      </c>
      <c r="K2023" s="771"/>
    </row>
    <row r="2024" spans="1:11" ht="18.75" customHeight="1" outlineLevel="2">
      <c r="A2024" s="791" t="s">
        <v>776</v>
      </c>
      <c r="B2024" s="791" t="s">
        <v>1029</v>
      </c>
      <c r="C2024" s="791" t="s">
        <v>1022</v>
      </c>
      <c r="D2024" s="792" t="s">
        <v>779</v>
      </c>
      <c r="E2024" s="793" t="s">
        <v>662</v>
      </c>
      <c r="F2024" s="793" t="s">
        <v>873</v>
      </c>
      <c r="G2024" s="793" t="s">
        <v>813</v>
      </c>
      <c r="H2024" s="793" t="s">
        <v>814</v>
      </c>
      <c r="I2024" s="794">
        <v>0.24429789816679293</v>
      </c>
      <c r="J2024" s="794">
        <v>129.24577603480543</v>
      </c>
      <c r="K2024" s="771"/>
    </row>
    <row r="2025" spans="1:11" ht="18.75" customHeight="1" outlineLevel="2">
      <c r="A2025" s="791" t="s">
        <v>776</v>
      </c>
      <c r="B2025" s="791" t="s">
        <v>1029</v>
      </c>
      <c r="C2025" s="791" t="s">
        <v>1022</v>
      </c>
      <c r="D2025" s="792" t="s">
        <v>779</v>
      </c>
      <c r="E2025" s="793" t="s">
        <v>662</v>
      </c>
      <c r="F2025" s="793" t="s">
        <v>874</v>
      </c>
      <c r="G2025" s="793" t="s">
        <v>813</v>
      </c>
      <c r="H2025" s="793" t="s">
        <v>814</v>
      </c>
      <c r="I2025" s="794">
        <v>1.8101471306243573</v>
      </c>
      <c r="J2025" s="794">
        <v>957.54557402960518</v>
      </c>
      <c r="K2025" s="771"/>
    </row>
    <row r="2026" spans="1:11" ht="18.75" customHeight="1" outlineLevel="2">
      <c r="A2026" s="791" t="s">
        <v>776</v>
      </c>
      <c r="B2026" s="791" t="s">
        <v>1029</v>
      </c>
      <c r="C2026" s="791" t="s">
        <v>1022</v>
      </c>
      <c r="D2026" s="792" t="s">
        <v>779</v>
      </c>
      <c r="E2026" s="793" t="s">
        <v>662</v>
      </c>
      <c r="F2026" s="793" t="s">
        <v>875</v>
      </c>
      <c r="G2026" s="793" t="s">
        <v>813</v>
      </c>
      <c r="H2026" s="793" t="s">
        <v>814</v>
      </c>
      <c r="I2026" s="794">
        <v>0.15957994992615721</v>
      </c>
      <c r="J2026" s="794">
        <v>231.94388250182499</v>
      </c>
      <c r="K2026" s="771"/>
    </row>
    <row r="2027" spans="1:11" ht="18.75" customHeight="1" outlineLevel="2">
      <c r="A2027" s="791" t="s">
        <v>776</v>
      </c>
      <c r="B2027" s="791" t="s">
        <v>1029</v>
      </c>
      <c r="C2027" s="791" t="s">
        <v>1022</v>
      </c>
      <c r="D2027" s="792" t="s">
        <v>779</v>
      </c>
      <c r="E2027" s="793" t="s">
        <v>662</v>
      </c>
      <c r="F2027" s="793" t="s">
        <v>876</v>
      </c>
      <c r="G2027" s="793" t="s">
        <v>813</v>
      </c>
      <c r="H2027" s="793" t="s">
        <v>814</v>
      </c>
      <c r="I2027" s="794">
        <v>0.21497703523451406</v>
      </c>
      <c r="J2027" s="794">
        <v>323.53149390870857</v>
      </c>
      <c r="K2027" s="771"/>
    </row>
    <row r="2028" spans="1:11" ht="18.75" customHeight="1" outlineLevel="2">
      <c r="A2028" s="791" t="s">
        <v>776</v>
      </c>
      <c r="B2028" s="791" t="s">
        <v>1029</v>
      </c>
      <c r="C2028" s="791" t="s">
        <v>1022</v>
      </c>
      <c r="D2028" s="792" t="s">
        <v>779</v>
      </c>
      <c r="E2028" s="793" t="s">
        <v>662</v>
      </c>
      <c r="F2028" s="793" t="s">
        <v>877</v>
      </c>
      <c r="G2028" s="793" t="s">
        <v>813</v>
      </c>
      <c r="H2028" s="793" t="s">
        <v>814</v>
      </c>
      <c r="I2028" s="794">
        <v>0.28362653272232813</v>
      </c>
      <c r="J2028" s="794">
        <v>366.20587266623727</v>
      </c>
      <c r="K2028" s="771"/>
    </row>
    <row r="2029" spans="1:11" ht="18.75" customHeight="1" outlineLevel="2">
      <c r="A2029" s="791" t="s">
        <v>776</v>
      </c>
      <c r="B2029" s="791" t="s">
        <v>1029</v>
      </c>
      <c r="C2029" s="791" t="s">
        <v>1022</v>
      </c>
      <c r="D2029" s="792" t="s">
        <v>779</v>
      </c>
      <c r="E2029" s="793" t="s">
        <v>662</v>
      </c>
      <c r="F2029" s="793" t="s">
        <v>878</v>
      </c>
      <c r="G2029" s="793" t="s">
        <v>813</v>
      </c>
      <c r="H2029" s="793" t="s">
        <v>814</v>
      </c>
      <c r="I2029" s="794">
        <v>0.14472553744223962</v>
      </c>
      <c r="J2029" s="794">
        <v>173.87234998423597</v>
      </c>
      <c r="K2029" s="771"/>
    </row>
    <row r="2030" spans="1:11" ht="18.75" customHeight="1" outlineLevel="2">
      <c r="A2030" s="791" t="s">
        <v>776</v>
      </c>
      <c r="B2030" s="791" t="s">
        <v>1029</v>
      </c>
      <c r="C2030" s="791" t="s">
        <v>1022</v>
      </c>
      <c r="D2030" s="792" t="s">
        <v>779</v>
      </c>
      <c r="E2030" s="793" t="s">
        <v>662</v>
      </c>
      <c r="F2030" s="793" t="s">
        <v>879</v>
      </c>
      <c r="G2030" s="793" t="s">
        <v>813</v>
      </c>
      <c r="H2030" s="793" t="s">
        <v>814</v>
      </c>
      <c r="I2030" s="794">
        <v>2.1341808089058003</v>
      </c>
      <c r="J2030" s="794">
        <v>3109.0194564976605</v>
      </c>
      <c r="K2030" s="771"/>
    </row>
    <row r="2031" spans="1:11" ht="18.75" customHeight="1" outlineLevel="2">
      <c r="A2031" s="791" t="s">
        <v>776</v>
      </c>
      <c r="B2031" s="791" t="s">
        <v>1029</v>
      </c>
      <c r="C2031" s="791" t="s">
        <v>1022</v>
      </c>
      <c r="D2031" s="792" t="s">
        <v>779</v>
      </c>
      <c r="E2031" s="793" t="s">
        <v>662</v>
      </c>
      <c r="F2031" s="793" t="s">
        <v>880</v>
      </c>
      <c r="G2031" s="793" t="s">
        <v>813</v>
      </c>
      <c r="H2031" s="793" t="s">
        <v>814</v>
      </c>
      <c r="I2031" s="794">
        <v>2.9208882377463055</v>
      </c>
      <c r="J2031" s="794">
        <v>4396.8067514440982</v>
      </c>
      <c r="K2031" s="771"/>
    </row>
    <row r="2032" spans="1:11" ht="18.75" customHeight="1" outlineLevel="2">
      <c r="A2032" s="791" t="s">
        <v>776</v>
      </c>
      <c r="B2032" s="791" t="s">
        <v>1029</v>
      </c>
      <c r="C2032" s="791" t="s">
        <v>1022</v>
      </c>
      <c r="D2032" s="792" t="s">
        <v>779</v>
      </c>
      <c r="E2032" s="793" t="s">
        <v>662</v>
      </c>
      <c r="F2032" s="793" t="s">
        <v>881</v>
      </c>
      <c r="G2032" s="793" t="s">
        <v>813</v>
      </c>
      <c r="H2032" s="793" t="s">
        <v>814</v>
      </c>
      <c r="I2032" s="794">
        <v>0.32683965426239225</v>
      </c>
      <c r="J2032" s="794">
        <v>734.15170202626052</v>
      </c>
      <c r="K2032" s="771"/>
    </row>
    <row r="2033" spans="1:11" ht="18.75" customHeight="1" outlineLevel="2">
      <c r="A2033" s="791" t="s">
        <v>776</v>
      </c>
      <c r="B2033" s="791" t="s">
        <v>1029</v>
      </c>
      <c r="C2033" s="791" t="s">
        <v>1022</v>
      </c>
      <c r="D2033" s="792" t="s">
        <v>779</v>
      </c>
      <c r="E2033" s="793" t="s">
        <v>662</v>
      </c>
      <c r="F2033" s="793" t="s">
        <v>882</v>
      </c>
      <c r="G2033" s="793" t="s">
        <v>813</v>
      </c>
      <c r="H2033" s="793" t="s">
        <v>814</v>
      </c>
      <c r="I2033" s="794">
        <v>8.9964785054393861</v>
      </c>
      <c r="J2033" s="794">
        <v>14193.172615182875</v>
      </c>
      <c r="K2033" s="771"/>
    </row>
    <row r="2034" spans="1:11" ht="18.75" customHeight="1" outlineLevel="2">
      <c r="A2034" s="791" t="s">
        <v>776</v>
      </c>
      <c r="B2034" s="791" t="s">
        <v>1029</v>
      </c>
      <c r="C2034" s="791" t="s">
        <v>1022</v>
      </c>
      <c r="D2034" s="792" t="s">
        <v>779</v>
      </c>
      <c r="E2034" s="793" t="s">
        <v>662</v>
      </c>
      <c r="F2034" s="793" t="s">
        <v>883</v>
      </c>
      <c r="G2034" s="793" t="s">
        <v>813</v>
      </c>
      <c r="H2034" s="793" t="s">
        <v>814</v>
      </c>
      <c r="I2034" s="794">
        <v>9.716004834930167E-2</v>
      </c>
      <c r="J2034" s="794">
        <v>110.51450943521472</v>
      </c>
      <c r="K2034" s="771"/>
    </row>
    <row r="2035" spans="1:11" ht="18.75" customHeight="1" outlineLevel="2">
      <c r="A2035" s="791" t="s">
        <v>776</v>
      </c>
      <c r="B2035" s="791" t="s">
        <v>1029</v>
      </c>
      <c r="C2035" s="791" t="s">
        <v>1022</v>
      </c>
      <c r="D2035" s="792" t="s">
        <v>779</v>
      </c>
      <c r="E2035" s="793" t="s">
        <v>662</v>
      </c>
      <c r="F2035" s="793" t="s">
        <v>884</v>
      </c>
      <c r="G2035" s="793" t="s">
        <v>813</v>
      </c>
      <c r="H2035" s="793" t="s">
        <v>814</v>
      </c>
      <c r="I2035" s="794">
        <v>0.37752882694032791</v>
      </c>
      <c r="J2035" s="794">
        <v>436.13263281062734</v>
      </c>
      <c r="K2035" s="771"/>
    </row>
    <row r="2036" spans="1:11" ht="18.75" customHeight="1" outlineLevel="2">
      <c r="A2036" s="791" t="s">
        <v>776</v>
      </c>
      <c r="B2036" s="791" t="s">
        <v>1029</v>
      </c>
      <c r="C2036" s="791" t="s">
        <v>1022</v>
      </c>
      <c r="D2036" s="792" t="s">
        <v>779</v>
      </c>
      <c r="E2036" s="793" t="s">
        <v>662</v>
      </c>
      <c r="F2036" s="793" t="s">
        <v>885</v>
      </c>
      <c r="G2036" s="793" t="s">
        <v>791</v>
      </c>
      <c r="H2036" s="793" t="s">
        <v>826</v>
      </c>
      <c r="I2036" s="794">
        <v>1.4351190629261991E-3</v>
      </c>
      <c r="J2036" s="794">
        <v>2.1098985304860292</v>
      </c>
      <c r="K2036" s="771"/>
    </row>
    <row r="2037" spans="1:11" ht="18.75" customHeight="1" outlineLevel="2">
      <c r="A2037" s="791" t="s">
        <v>776</v>
      </c>
      <c r="B2037" s="791" t="s">
        <v>1029</v>
      </c>
      <c r="C2037" s="791" t="s">
        <v>1022</v>
      </c>
      <c r="D2037" s="792" t="s">
        <v>779</v>
      </c>
      <c r="E2037" s="793" t="s">
        <v>662</v>
      </c>
      <c r="F2037" s="793" t="s">
        <v>886</v>
      </c>
      <c r="G2037" s="793" t="s">
        <v>791</v>
      </c>
      <c r="H2037" s="793" t="s">
        <v>826</v>
      </c>
      <c r="I2037" s="794">
        <v>1.8778743203580854E-3</v>
      </c>
      <c r="J2037" s="794">
        <v>8.1645496250362495</v>
      </c>
      <c r="K2037" s="771"/>
    </row>
    <row r="2038" spans="1:11" ht="18.75" customHeight="1" outlineLevel="2">
      <c r="A2038" s="791" t="s">
        <v>776</v>
      </c>
      <c r="B2038" s="791" t="s">
        <v>1029</v>
      </c>
      <c r="C2038" s="791" t="s">
        <v>1022</v>
      </c>
      <c r="D2038" s="792" t="s">
        <v>779</v>
      </c>
      <c r="E2038" s="793" t="s">
        <v>662</v>
      </c>
      <c r="F2038" s="793" t="s">
        <v>887</v>
      </c>
      <c r="G2038" s="793" t="s">
        <v>791</v>
      </c>
      <c r="H2038" s="793" t="s">
        <v>826</v>
      </c>
      <c r="I2038" s="794">
        <v>6.9981518059429712E-5</v>
      </c>
      <c r="J2038" s="794">
        <v>6.5493880101784599E-2</v>
      </c>
      <c r="K2038" s="771"/>
    </row>
    <row r="2039" spans="1:11" ht="18.75" customHeight="1" outlineLevel="2">
      <c r="A2039" s="791" t="s">
        <v>776</v>
      </c>
      <c r="B2039" s="791" t="s">
        <v>1029</v>
      </c>
      <c r="C2039" s="791" t="s">
        <v>1022</v>
      </c>
      <c r="D2039" s="792" t="s">
        <v>779</v>
      </c>
      <c r="E2039" s="793" t="s">
        <v>662</v>
      </c>
      <c r="F2039" s="793" t="s">
        <v>888</v>
      </c>
      <c r="G2039" s="793" t="s">
        <v>791</v>
      </c>
      <c r="H2039" s="793" t="s">
        <v>826</v>
      </c>
      <c r="I2039" s="794">
        <v>6.2772278779874716E-3</v>
      </c>
      <c r="J2039" s="794">
        <v>5.8629933430221435</v>
      </c>
      <c r="K2039" s="771"/>
    </row>
    <row r="2040" spans="1:11" ht="18.75" customHeight="1" outlineLevel="2">
      <c r="A2040" s="791" t="s">
        <v>776</v>
      </c>
      <c r="B2040" s="791" t="s">
        <v>1029</v>
      </c>
      <c r="C2040" s="791" t="s">
        <v>1022</v>
      </c>
      <c r="D2040" s="792" t="s">
        <v>779</v>
      </c>
      <c r="E2040" s="793" t="s">
        <v>662</v>
      </c>
      <c r="F2040" s="793" t="s">
        <v>889</v>
      </c>
      <c r="G2040" s="793" t="s">
        <v>791</v>
      </c>
      <c r="H2040" s="793" t="s">
        <v>826</v>
      </c>
      <c r="I2040" s="794">
        <v>1.2074208489356684E-3</v>
      </c>
      <c r="J2040" s="794">
        <v>1.7346580639763758</v>
      </c>
      <c r="K2040" s="771"/>
    </row>
    <row r="2041" spans="1:11" ht="18.75" customHeight="1" outlineLevel="2">
      <c r="A2041" s="791" t="s">
        <v>776</v>
      </c>
      <c r="B2041" s="791" t="s">
        <v>1029</v>
      </c>
      <c r="C2041" s="791" t="s">
        <v>1022</v>
      </c>
      <c r="D2041" s="792" t="s">
        <v>779</v>
      </c>
      <c r="E2041" s="793" t="s">
        <v>662</v>
      </c>
      <c r="F2041" s="793" t="s">
        <v>890</v>
      </c>
      <c r="G2041" s="793" t="s">
        <v>791</v>
      </c>
      <c r="H2041" s="793" t="s">
        <v>826</v>
      </c>
      <c r="I2041" s="794">
        <v>1.7249000733062913E-2</v>
      </c>
      <c r="J2041" s="794">
        <v>19.219911740834082</v>
      </c>
      <c r="K2041" s="771"/>
    </row>
    <row r="2042" spans="1:11" ht="18.75" customHeight="1" outlineLevel="2">
      <c r="A2042" s="791" t="s">
        <v>776</v>
      </c>
      <c r="B2042" s="791" t="s">
        <v>1029</v>
      </c>
      <c r="C2042" s="791" t="s">
        <v>1022</v>
      </c>
      <c r="D2042" s="792" t="s">
        <v>779</v>
      </c>
      <c r="E2042" s="793" t="s">
        <v>662</v>
      </c>
      <c r="F2042" s="793" t="s">
        <v>891</v>
      </c>
      <c r="G2042" s="793" t="s">
        <v>791</v>
      </c>
      <c r="H2042" s="793" t="s">
        <v>826</v>
      </c>
      <c r="I2042" s="794">
        <v>8.8281461598133437E-2</v>
      </c>
      <c r="J2042" s="794">
        <v>43.089084225179953</v>
      </c>
      <c r="K2042" s="771"/>
    </row>
    <row r="2043" spans="1:11" ht="18.75" customHeight="1" outlineLevel="2">
      <c r="A2043" s="791" t="s">
        <v>776</v>
      </c>
      <c r="B2043" s="791" t="s">
        <v>1029</v>
      </c>
      <c r="C2043" s="791" t="s">
        <v>1022</v>
      </c>
      <c r="D2043" s="792" t="s">
        <v>779</v>
      </c>
      <c r="E2043" s="793" t="s">
        <v>662</v>
      </c>
      <c r="F2043" s="793" t="s">
        <v>892</v>
      </c>
      <c r="G2043" s="793" t="s">
        <v>791</v>
      </c>
      <c r="H2043" s="793" t="s">
        <v>826</v>
      </c>
      <c r="I2043" s="794">
        <v>9.9411988177003432E-3</v>
      </c>
      <c r="J2043" s="794">
        <v>9.2851794525552904</v>
      </c>
      <c r="K2043" s="771"/>
    </row>
    <row r="2044" spans="1:11" ht="18.75" customHeight="1" outlineLevel="2">
      <c r="A2044" s="791" t="s">
        <v>776</v>
      </c>
      <c r="B2044" s="791" t="s">
        <v>1029</v>
      </c>
      <c r="C2044" s="791" t="s">
        <v>1022</v>
      </c>
      <c r="D2044" s="792" t="s">
        <v>779</v>
      </c>
      <c r="E2044" s="793" t="s">
        <v>662</v>
      </c>
      <c r="F2044" s="793" t="s">
        <v>893</v>
      </c>
      <c r="G2044" s="793" t="s">
        <v>791</v>
      </c>
      <c r="H2044" s="793" t="s">
        <v>826</v>
      </c>
      <c r="I2044" s="794">
        <v>1.3053019033183335E-2</v>
      </c>
      <c r="J2044" s="794">
        <v>13.250281614754606</v>
      </c>
      <c r="K2044" s="771"/>
    </row>
    <row r="2045" spans="1:11" ht="18.75" customHeight="1" outlineLevel="2">
      <c r="A2045" s="791" t="s">
        <v>776</v>
      </c>
      <c r="B2045" s="791" t="s">
        <v>1029</v>
      </c>
      <c r="C2045" s="791" t="s">
        <v>1022</v>
      </c>
      <c r="D2045" s="792" t="s">
        <v>779</v>
      </c>
      <c r="E2045" s="793" t="s">
        <v>662</v>
      </c>
      <c r="F2045" s="793" t="s">
        <v>894</v>
      </c>
      <c r="G2045" s="793" t="s">
        <v>791</v>
      </c>
      <c r="H2045" s="793" t="s">
        <v>826</v>
      </c>
      <c r="I2045" s="794">
        <v>1.5648759288397617E-3</v>
      </c>
      <c r="J2045" s="794">
        <v>14.160662166533038</v>
      </c>
      <c r="K2045" s="771"/>
    </row>
    <row r="2046" spans="1:11" ht="18.75" customHeight="1" outlineLevel="2">
      <c r="A2046" s="791" t="s">
        <v>776</v>
      </c>
      <c r="B2046" s="791" t="s">
        <v>1029</v>
      </c>
      <c r="C2046" s="791" t="s">
        <v>1022</v>
      </c>
      <c r="D2046" s="792" t="s">
        <v>779</v>
      </c>
      <c r="E2046" s="793" t="s">
        <v>662</v>
      </c>
      <c r="F2046" s="793" t="s">
        <v>895</v>
      </c>
      <c r="G2046" s="793" t="s">
        <v>794</v>
      </c>
      <c r="H2046" s="793" t="s">
        <v>828</v>
      </c>
      <c r="I2046" s="794">
        <v>1.5247188782365317</v>
      </c>
      <c r="J2046" s="794">
        <v>2104.7387997737601</v>
      </c>
      <c r="K2046" s="771"/>
    </row>
    <row r="2047" spans="1:11" ht="18.75" customHeight="1" outlineLevel="2">
      <c r="A2047" s="791" t="s">
        <v>776</v>
      </c>
      <c r="B2047" s="791" t="s">
        <v>1029</v>
      </c>
      <c r="C2047" s="791" t="s">
        <v>1022</v>
      </c>
      <c r="D2047" s="792" t="s">
        <v>779</v>
      </c>
      <c r="E2047" s="793" t="s">
        <v>662</v>
      </c>
      <c r="F2047" s="793" t="s">
        <v>896</v>
      </c>
      <c r="G2047" s="793" t="s">
        <v>794</v>
      </c>
      <c r="H2047" s="793" t="s">
        <v>828</v>
      </c>
      <c r="I2047" s="794">
        <v>0.35811815269650804</v>
      </c>
      <c r="J2047" s="794">
        <v>526.58684835321105</v>
      </c>
      <c r="K2047" s="771"/>
    </row>
    <row r="2048" spans="1:11" ht="18.75" customHeight="1" outlineLevel="2">
      <c r="A2048" s="791" t="s">
        <v>776</v>
      </c>
      <c r="B2048" s="791" t="s">
        <v>1029</v>
      </c>
      <c r="C2048" s="791" t="s">
        <v>1022</v>
      </c>
      <c r="D2048" s="792" t="s">
        <v>779</v>
      </c>
      <c r="E2048" s="793" t="s">
        <v>662</v>
      </c>
      <c r="F2048" s="793" t="s">
        <v>897</v>
      </c>
      <c r="G2048" s="793" t="s">
        <v>794</v>
      </c>
      <c r="H2048" s="793" t="s">
        <v>828</v>
      </c>
      <c r="I2048" s="794">
        <v>0.16521044854160644</v>
      </c>
      <c r="J2048" s="794">
        <v>278.44171390587138</v>
      </c>
      <c r="K2048" s="771"/>
    </row>
    <row r="2049" spans="1:11" ht="18.75" customHeight="1" outlineLevel="2">
      <c r="A2049" s="791" t="s">
        <v>776</v>
      </c>
      <c r="B2049" s="791" t="s">
        <v>1029</v>
      </c>
      <c r="C2049" s="791" t="s">
        <v>1022</v>
      </c>
      <c r="D2049" s="792" t="s">
        <v>779</v>
      </c>
      <c r="E2049" s="793" t="s">
        <v>662</v>
      </c>
      <c r="F2049" s="793" t="s">
        <v>898</v>
      </c>
      <c r="G2049" s="793" t="s">
        <v>794</v>
      </c>
      <c r="H2049" s="793" t="s">
        <v>828</v>
      </c>
      <c r="I2049" s="794">
        <v>0.38068684817303883</v>
      </c>
      <c r="J2049" s="794">
        <v>598.57461408148447</v>
      </c>
      <c r="K2049" s="771"/>
    </row>
    <row r="2050" spans="1:11" ht="18.75" customHeight="1" outlineLevel="2">
      <c r="A2050" s="791" t="s">
        <v>776</v>
      </c>
      <c r="B2050" s="791" t="s">
        <v>1029</v>
      </c>
      <c r="C2050" s="791" t="s">
        <v>1022</v>
      </c>
      <c r="D2050" s="792" t="s">
        <v>779</v>
      </c>
      <c r="E2050" s="793" t="s">
        <v>662</v>
      </c>
      <c r="F2050" s="793" t="s">
        <v>899</v>
      </c>
      <c r="G2050" s="793" t="s">
        <v>794</v>
      </c>
      <c r="H2050" s="793" t="s">
        <v>828</v>
      </c>
      <c r="I2050" s="794">
        <v>0.67064893823671345</v>
      </c>
      <c r="J2050" s="794">
        <v>945.73189003684854</v>
      </c>
      <c r="K2050" s="771"/>
    </row>
    <row r="2051" spans="1:11" ht="18.75" customHeight="1" outlineLevel="2">
      <c r="A2051" s="791" t="s">
        <v>776</v>
      </c>
      <c r="B2051" s="791" t="s">
        <v>1029</v>
      </c>
      <c r="C2051" s="791" t="s">
        <v>1022</v>
      </c>
      <c r="D2051" s="792" t="s">
        <v>779</v>
      </c>
      <c r="E2051" s="793" t="s">
        <v>662</v>
      </c>
      <c r="F2051" s="793" t="s">
        <v>900</v>
      </c>
      <c r="G2051" s="793" t="s">
        <v>794</v>
      </c>
      <c r="H2051" s="793" t="s">
        <v>828</v>
      </c>
      <c r="I2051" s="794">
        <v>3.1069349594855324E-2</v>
      </c>
      <c r="J2051" s="794">
        <v>44.372208509328622</v>
      </c>
      <c r="K2051" s="771"/>
    </row>
    <row r="2052" spans="1:11" ht="18.75" customHeight="1" outlineLevel="2">
      <c r="A2052" s="791" t="s">
        <v>776</v>
      </c>
      <c r="B2052" s="791" t="s">
        <v>1029</v>
      </c>
      <c r="C2052" s="791" t="s">
        <v>1022</v>
      </c>
      <c r="D2052" s="792" t="s">
        <v>779</v>
      </c>
      <c r="E2052" s="793" t="s">
        <v>662</v>
      </c>
      <c r="F2052" s="793" t="s">
        <v>901</v>
      </c>
      <c r="G2052" s="793" t="s">
        <v>833</v>
      </c>
      <c r="H2052" s="793" t="s">
        <v>834</v>
      </c>
      <c r="I2052" s="794">
        <v>5.1367388417719161E-3</v>
      </c>
      <c r="J2052" s="794">
        <v>5.3375488788831422</v>
      </c>
      <c r="K2052" s="771"/>
    </row>
    <row r="2053" spans="1:11" ht="18.75" customHeight="1" outlineLevel="2">
      <c r="A2053" s="791" t="s">
        <v>776</v>
      </c>
      <c r="B2053" s="791" t="s">
        <v>1029</v>
      </c>
      <c r="C2053" s="791" t="s">
        <v>1022</v>
      </c>
      <c r="D2053" s="792" t="s">
        <v>779</v>
      </c>
      <c r="E2053" s="793" t="s">
        <v>662</v>
      </c>
      <c r="F2053" s="793" t="s">
        <v>902</v>
      </c>
      <c r="G2053" s="793" t="s">
        <v>833</v>
      </c>
      <c r="H2053" s="793" t="s">
        <v>834</v>
      </c>
      <c r="I2053" s="794">
        <v>4.4713779173787337E-5</v>
      </c>
      <c r="J2053" s="794">
        <v>5.6885694100608335E-2</v>
      </c>
      <c r="K2053" s="771"/>
    </row>
    <row r="2054" spans="1:11" ht="18.75" customHeight="1" outlineLevel="2">
      <c r="A2054" s="791" t="s">
        <v>776</v>
      </c>
      <c r="B2054" s="791" t="s">
        <v>1029</v>
      </c>
      <c r="C2054" s="791" t="s">
        <v>1022</v>
      </c>
      <c r="D2054" s="792" t="s">
        <v>779</v>
      </c>
      <c r="E2054" s="793" t="s">
        <v>662</v>
      </c>
      <c r="F2054" s="793" t="s">
        <v>903</v>
      </c>
      <c r="G2054" s="793" t="s">
        <v>904</v>
      </c>
      <c r="H2054" s="793" t="s">
        <v>905</v>
      </c>
      <c r="I2054" s="794">
        <v>0.6601496701580839</v>
      </c>
      <c r="J2054" s="794">
        <v>561.6676610321656</v>
      </c>
      <c r="K2054" s="771"/>
    </row>
    <row r="2055" spans="1:11" ht="18.75" customHeight="1" outlineLevel="2">
      <c r="A2055" s="791" t="s">
        <v>776</v>
      </c>
      <c r="B2055" s="791" t="s">
        <v>1029</v>
      </c>
      <c r="C2055" s="791" t="s">
        <v>1022</v>
      </c>
      <c r="D2055" s="792" t="s">
        <v>779</v>
      </c>
      <c r="E2055" s="793" t="s">
        <v>662</v>
      </c>
      <c r="F2055" s="793" t="s">
        <v>906</v>
      </c>
      <c r="G2055" s="793" t="s">
        <v>904</v>
      </c>
      <c r="H2055" s="793" t="s">
        <v>905</v>
      </c>
      <c r="I2055" s="794">
        <v>0.2778654255520453</v>
      </c>
      <c r="J2055" s="794">
        <v>237.04983281072651</v>
      </c>
      <c r="K2055" s="771"/>
    </row>
    <row r="2056" spans="1:11" ht="18.75" customHeight="1" outlineLevel="2">
      <c r="A2056" s="791" t="s">
        <v>776</v>
      </c>
      <c r="B2056" s="791" t="s">
        <v>1029</v>
      </c>
      <c r="C2056" s="791" t="s">
        <v>1022</v>
      </c>
      <c r="D2056" s="792" t="s">
        <v>779</v>
      </c>
      <c r="E2056" s="793" t="s">
        <v>662</v>
      </c>
      <c r="F2056" s="793" t="s">
        <v>907</v>
      </c>
      <c r="G2056" s="793" t="s">
        <v>908</v>
      </c>
      <c r="H2056" s="793" t="s">
        <v>905</v>
      </c>
      <c r="I2056" s="794">
        <v>0.10433289292280684</v>
      </c>
      <c r="J2056" s="794">
        <v>175.1043957606793</v>
      </c>
      <c r="K2056" s="771"/>
    </row>
    <row r="2057" spans="1:11" ht="18.75" customHeight="1" outlineLevel="2">
      <c r="A2057" s="791" t="s">
        <v>776</v>
      </c>
      <c r="B2057" s="791" t="s">
        <v>1029</v>
      </c>
      <c r="C2057" s="791" t="s">
        <v>1022</v>
      </c>
      <c r="D2057" s="792" t="s">
        <v>779</v>
      </c>
      <c r="E2057" s="793" t="s">
        <v>662</v>
      </c>
      <c r="F2057" s="793" t="s">
        <v>909</v>
      </c>
      <c r="G2057" s="793" t="s">
        <v>910</v>
      </c>
      <c r="H2057" s="793" t="s">
        <v>911</v>
      </c>
      <c r="I2057" s="794">
        <v>1.172826100833165E-2</v>
      </c>
      <c r="J2057" s="794">
        <v>17.4068415904114</v>
      </c>
      <c r="K2057" s="771"/>
    </row>
    <row r="2058" spans="1:11" ht="18.75" customHeight="1" outlineLevel="2">
      <c r="A2058" s="791" t="s">
        <v>776</v>
      </c>
      <c r="B2058" s="791" t="s">
        <v>1029</v>
      </c>
      <c r="C2058" s="791" t="s">
        <v>1022</v>
      </c>
      <c r="D2058" s="792" t="s">
        <v>779</v>
      </c>
      <c r="E2058" s="793" t="s">
        <v>763</v>
      </c>
      <c r="F2058" s="793" t="s">
        <v>912</v>
      </c>
      <c r="G2058" s="793" t="s">
        <v>799</v>
      </c>
      <c r="H2058" s="793" t="s">
        <v>913</v>
      </c>
      <c r="I2058" s="794">
        <v>3.8453088531034021E-3</v>
      </c>
      <c r="J2058" s="794">
        <v>7.3639532715053093</v>
      </c>
      <c r="K2058" s="771"/>
    </row>
    <row r="2059" spans="1:11" ht="18.75" customHeight="1" outlineLevel="2">
      <c r="A2059" s="791" t="s">
        <v>776</v>
      </c>
      <c r="B2059" s="791" t="s">
        <v>1029</v>
      </c>
      <c r="C2059" s="791" t="s">
        <v>1022</v>
      </c>
      <c r="D2059" s="792" t="s">
        <v>779</v>
      </c>
      <c r="E2059" s="793" t="s">
        <v>763</v>
      </c>
      <c r="F2059" s="793" t="s">
        <v>914</v>
      </c>
      <c r="G2059" s="793" t="s">
        <v>782</v>
      </c>
      <c r="H2059" s="793" t="s">
        <v>913</v>
      </c>
      <c r="I2059" s="794">
        <v>6.7377642194365261E-4</v>
      </c>
      <c r="J2059" s="794">
        <v>3.1364254265336848</v>
      </c>
      <c r="K2059" s="771"/>
    </row>
    <row r="2060" spans="1:11" ht="18.75" customHeight="1" outlineLevel="2">
      <c r="A2060" s="791" t="s">
        <v>776</v>
      </c>
      <c r="B2060" s="791" t="s">
        <v>1029</v>
      </c>
      <c r="C2060" s="791" t="s">
        <v>1022</v>
      </c>
      <c r="D2060" s="792" t="s">
        <v>779</v>
      </c>
      <c r="E2060" s="793" t="s">
        <v>763</v>
      </c>
      <c r="F2060" s="793" t="s">
        <v>915</v>
      </c>
      <c r="G2060" s="793" t="s">
        <v>782</v>
      </c>
      <c r="H2060" s="793" t="s">
        <v>913</v>
      </c>
      <c r="I2060" s="794">
        <v>3.6136791682051303E-4</v>
      </c>
      <c r="J2060" s="794">
        <v>5.2452051757060438</v>
      </c>
      <c r="K2060" s="771"/>
    </row>
    <row r="2061" spans="1:11" ht="18.75" customHeight="1" outlineLevel="2">
      <c r="A2061" s="791" t="s">
        <v>776</v>
      </c>
      <c r="B2061" s="791" t="s">
        <v>1029</v>
      </c>
      <c r="C2061" s="791" t="s">
        <v>1022</v>
      </c>
      <c r="D2061" s="792" t="s">
        <v>779</v>
      </c>
      <c r="E2061" s="793" t="s">
        <v>763</v>
      </c>
      <c r="F2061" s="793" t="s">
        <v>916</v>
      </c>
      <c r="G2061" s="793" t="s">
        <v>782</v>
      </c>
      <c r="H2061" s="793" t="s">
        <v>913</v>
      </c>
      <c r="I2061" s="794">
        <v>5.3578436538713958E-4</v>
      </c>
      <c r="J2061" s="794">
        <v>0.92629822376890492</v>
      </c>
      <c r="K2061" s="771"/>
    </row>
    <row r="2062" spans="1:11" ht="18.75" customHeight="1" outlineLevel="2">
      <c r="A2062" s="791" t="s">
        <v>776</v>
      </c>
      <c r="B2062" s="791" t="s">
        <v>1029</v>
      </c>
      <c r="C2062" s="791" t="s">
        <v>1022</v>
      </c>
      <c r="D2062" s="792" t="s">
        <v>779</v>
      </c>
      <c r="E2062" s="793" t="s">
        <v>763</v>
      </c>
      <c r="F2062" s="793" t="s">
        <v>917</v>
      </c>
      <c r="G2062" s="793" t="s">
        <v>782</v>
      </c>
      <c r="H2062" s="793" t="s">
        <v>913</v>
      </c>
      <c r="I2062" s="794">
        <v>9.8090921689352449E-5</v>
      </c>
      <c r="J2062" s="794">
        <v>0.53701726366894531</v>
      </c>
      <c r="K2062" s="771"/>
    </row>
    <row r="2063" spans="1:11" ht="18.75" customHeight="1" outlineLevel="2">
      <c r="A2063" s="791" t="s">
        <v>776</v>
      </c>
      <c r="B2063" s="791" t="s">
        <v>1029</v>
      </c>
      <c r="C2063" s="791" t="s">
        <v>1022</v>
      </c>
      <c r="D2063" s="792" t="s">
        <v>779</v>
      </c>
      <c r="E2063" s="793" t="s">
        <v>763</v>
      </c>
      <c r="F2063" s="793" t="s">
        <v>918</v>
      </c>
      <c r="G2063" s="793" t="s">
        <v>782</v>
      </c>
      <c r="H2063" s="793" t="s">
        <v>913</v>
      </c>
      <c r="I2063" s="794">
        <v>2.1710919675477134E-3</v>
      </c>
      <c r="J2063" s="794">
        <v>9.699757941490418</v>
      </c>
      <c r="K2063" s="771"/>
    </row>
    <row r="2064" spans="1:11" ht="18.75" customHeight="1" outlineLevel="2">
      <c r="A2064" s="791" t="s">
        <v>776</v>
      </c>
      <c r="B2064" s="791" t="s">
        <v>1029</v>
      </c>
      <c r="C2064" s="791" t="s">
        <v>1022</v>
      </c>
      <c r="D2064" s="792" t="s">
        <v>779</v>
      </c>
      <c r="E2064" s="793" t="s">
        <v>763</v>
      </c>
      <c r="F2064" s="793" t="s">
        <v>919</v>
      </c>
      <c r="G2064" s="793" t="s">
        <v>782</v>
      </c>
      <c r="H2064" s="793" t="s">
        <v>913</v>
      </c>
      <c r="I2064" s="794">
        <v>4.1529100185415859E-3</v>
      </c>
      <c r="J2064" s="794">
        <v>4.8719817096574767</v>
      </c>
      <c r="K2064" s="771"/>
    </row>
    <row r="2065" spans="1:11" ht="18.75" customHeight="1" outlineLevel="2">
      <c r="A2065" s="791" t="s">
        <v>776</v>
      </c>
      <c r="B2065" s="791" t="s">
        <v>1029</v>
      </c>
      <c r="C2065" s="791" t="s">
        <v>1022</v>
      </c>
      <c r="D2065" s="792" t="s">
        <v>779</v>
      </c>
      <c r="E2065" s="793" t="s">
        <v>763</v>
      </c>
      <c r="F2065" s="793" t="s">
        <v>920</v>
      </c>
      <c r="G2065" s="793" t="s">
        <v>782</v>
      </c>
      <c r="H2065" s="793" t="s">
        <v>913</v>
      </c>
      <c r="I2065" s="794">
        <v>4.5106067628871983E-4</v>
      </c>
      <c r="J2065" s="794">
        <v>8.9740622179237839</v>
      </c>
      <c r="K2065" s="771"/>
    </row>
    <row r="2066" spans="1:11" ht="18.75" customHeight="1" outlineLevel="2">
      <c r="A2066" s="791" t="s">
        <v>776</v>
      </c>
      <c r="B2066" s="791" t="s">
        <v>1029</v>
      </c>
      <c r="C2066" s="791" t="s">
        <v>1022</v>
      </c>
      <c r="D2066" s="792" t="s">
        <v>779</v>
      </c>
      <c r="E2066" s="793" t="s">
        <v>763</v>
      </c>
      <c r="F2066" s="793" t="s">
        <v>921</v>
      </c>
      <c r="G2066" s="793" t="s">
        <v>782</v>
      </c>
      <c r="H2066" s="793" t="s">
        <v>913</v>
      </c>
      <c r="I2066" s="794">
        <v>2.0934870688315609E-3</v>
      </c>
      <c r="J2066" s="794">
        <v>3.6566356618837457</v>
      </c>
      <c r="K2066" s="771"/>
    </row>
    <row r="2067" spans="1:11" ht="18.75" customHeight="1" outlineLevel="2">
      <c r="A2067" s="791" t="s">
        <v>776</v>
      </c>
      <c r="B2067" s="791" t="s">
        <v>1029</v>
      </c>
      <c r="C2067" s="791" t="s">
        <v>1022</v>
      </c>
      <c r="D2067" s="792" t="s">
        <v>779</v>
      </c>
      <c r="E2067" s="793" t="s">
        <v>763</v>
      </c>
      <c r="F2067" s="793" t="s">
        <v>922</v>
      </c>
      <c r="G2067" s="793" t="s">
        <v>782</v>
      </c>
      <c r="H2067" s="793" t="s">
        <v>913</v>
      </c>
      <c r="I2067" s="794">
        <v>3.1295233257761434E-4</v>
      </c>
      <c r="J2067" s="794">
        <v>0.59932283420131849</v>
      </c>
      <c r="K2067" s="771"/>
    </row>
    <row r="2068" spans="1:11" ht="18.75" customHeight="1" outlineLevel="2">
      <c r="A2068" s="791" t="s">
        <v>776</v>
      </c>
      <c r="B2068" s="791" t="s">
        <v>1029</v>
      </c>
      <c r="C2068" s="791" t="s">
        <v>1022</v>
      </c>
      <c r="D2068" s="792" t="s">
        <v>779</v>
      </c>
      <c r="E2068" s="793" t="s">
        <v>763</v>
      </c>
      <c r="F2068" s="793" t="s">
        <v>923</v>
      </c>
      <c r="G2068" s="793" t="s">
        <v>782</v>
      </c>
      <c r="H2068" s="793" t="s">
        <v>913</v>
      </c>
      <c r="I2068" s="794">
        <v>1.7151379198797555E-3</v>
      </c>
      <c r="J2068" s="794">
        <v>6.2319117051623394</v>
      </c>
      <c r="K2068" s="771"/>
    </row>
    <row r="2069" spans="1:11" ht="18.75" customHeight="1" outlineLevel="2">
      <c r="A2069" s="791" t="s">
        <v>776</v>
      </c>
      <c r="B2069" s="791" t="s">
        <v>1029</v>
      </c>
      <c r="C2069" s="791" t="s">
        <v>1022</v>
      </c>
      <c r="D2069" s="792" t="s">
        <v>779</v>
      </c>
      <c r="E2069" s="793" t="s">
        <v>763</v>
      </c>
      <c r="F2069" s="793" t="s">
        <v>924</v>
      </c>
      <c r="G2069" s="793" t="s">
        <v>782</v>
      </c>
      <c r="H2069" s="793" t="s">
        <v>913</v>
      </c>
      <c r="I2069" s="794">
        <v>1.4129947872749717E-3</v>
      </c>
      <c r="J2069" s="794">
        <v>15.048702822035091</v>
      </c>
      <c r="K2069" s="771"/>
    </row>
    <row r="2070" spans="1:11" ht="18.75" customHeight="1" outlineLevel="2">
      <c r="A2070" s="791" t="s">
        <v>776</v>
      </c>
      <c r="B2070" s="791" t="s">
        <v>1029</v>
      </c>
      <c r="C2070" s="791" t="s">
        <v>1022</v>
      </c>
      <c r="D2070" s="792" t="s">
        <v>779</v>
      </c>
      <c r="E2070" s="793" t="s">
        <v>763</v>
      </c>
      <c r="F2070" s="793" t="s">
        <v>925</v>
      </c>
      <c r="G2070" s="793" t="s">
        <v>782</v>
      </c>
      <c r="H2070" s="793" t="s">
        <v>913</v>
      </c>
      <c r="I2070" s="794">
        <v>9.9424675735267616E-5</v>
      </c>
      <c r="J2070" s="794">
        <v>1.5833201916527107</v>
      </c>
      <c r="K2070" s="771"/>
    </row>
    <row r="2071" spans="1:11" ht="18.75" customHeight="1" outlineLevel="2">
      <c r="A2071" s="791" t="s">
        <v>776</v>
      </c>
      <c r="B2071" s="791" t="s">
        <v>1029</v>
      </c>
      <c r="C2071" s="791" t="s">
        <v>1022</v>
      </c>
      <c r="D2071" s="792" t="s">
        <v>779</v>
      </c>
      <c r="E2071" s="793" t="s">
        <v>763</v>
      </c>
      <c r="F2071" s="793" t="s">
        <v>926</v>
      </c>
      <c r="G2071" s="793" t="s">
        <v>782</v>
      </c>
      <c r="H2071" s="793" t="s">
        <v>913</v>
      </c>
      <c r="I2071" s="794">
        <v>7.373304335275617E-3</v>
      </c>
      <c r="J2071" s="794">
        <v>13.55510725604614</v>
      </c>
      <c r="K2071" s="771"/>
    </row>
    <row r="2072" spans="1:11" ht="18.75" customHeight="1" outlineLevel="2">
      <c r="A2072" s="791" t="s">
        <v>776</v>
      </c>
      <c r="B2072" s="791" t="s">
        <v>1029</v>
      </c>
      <c r="C2072" s="791" t="s">
        <v>1022</v>
      </c>
      <c r="D2072" s="792" t="s">
        <v>779</v>
      </c>
      <c r="E2072" s="793" t="s">
        <v>763</v>
      </c>
      <c r="F2072" s="793" t="s">
        <v>927</v>
      </c>
      <c r="G2072" s="793" t="s">
        <v>782</v>
      </c>
      <c r="H2072" s="793" t="s">
        <v>913</v>
      </c>
      <c r="I2072" s="794">
        <v>4.1098727529892383E-3</v>
      </c>
      <c r="J2072" s="794">
        <v>5.6887028387566909</v>
      </c>
      <c r="K2072" s="771"/>
    </row>
    <row r="2073" spans="1:11" ht="18.75" customHeight="1" outlineLevel="2">
      <c r="A2073" s="791" t="s">
        <v>776</v>
      </c>
      <c r="B2073" s="791" t="s">
        <v>1029</v>
      </c>
      <c r="C2073" s="791" t="s">
        <v>1022</v>
      </c>
      <c r="D2073" s="792" t="s">
        <v>779</v>
      </c>
      <c r="E2073" s="793" t="s">
        <v>763</v>
      </c>
      <c r="F2073" s="793" t="s">
        <v>928</v>
      </c>
      <c r="G2073" s="793" t="s">
        <v>785</v>
      </c>
      <c r="H2073" s="793" t="s">
        <v>913</v>
      </c>
      <c r="I2073" s="794">
        <v>3.232407744355939E-2</v>
      </c>
      <c r="J2073" s="794">
        <v>99.506069106261151</v>
      </c>
      <c r="K2073" s="771"/>
    </row>
    <row r="2074" spans="1:11" ht="18.75" customHeight="1" outlineLevel="2">
      <c r="A2074" s="791" t="s">
        <v>776</v>
      </c>
      <c r="B2074" s="791" t="s">
        <v>1029</v>
      </c>
      <c r="C2074" s="791" t="s">
        <v>1022</v>
      </c>
      <c r="D2074" s="792" t="s">
        <v>779</v>
      </c>
      <c r="E2074" s="793" t="s">
        <v>763</v>
      </c>
      <c r="F2074" s="793" t="s">
        <v>929</v>
      </c>
      <c r="G2074" s="793" t="s">
        <v>785</v>
      </c>
      <c r="H2074" s="793" t="s">
        <v>913</v>
      </c>
      <c r="I2074" s="794">
        <v>0.64262396287536416</v>
      </c>
      <c r="J2074" s="794">
        <v>9051.1676559699899</v>
      </c>
      <c r="K2074" s="771"/>
    </row>
    <row r="2075" spans="1:11" ht="18.75" customHeight="1" outlineLevel="2">
      <c r="A2075" s="791" t="s">
        <v>776</v>
      </c>
      <c r="B2075" s="791" t="s">
        <v>1029</v>
      </c>
      <c r="C2075" s="791" t="s">
        <v>1022</v>
      </c>
      <c r="D2075" s="792" t="s">
        <v>779</v>
      </c>
      <c r="E2075" s="793" t="s">
        <v>763</v>
      </c>
      <c r="F2075" s="793" t="s">
        <v>930</v>
      </c>
      <c r="G2075" s="793" t="s">
        <v>785</v>
      </c>
      <c r="H2075" s="793" t="s">
        <v>913</v>
      </c>
      <c r="I2075" s="794">
        <v>3.8258639918791037E-3</v>
      </c>
      <c r="J2075" s="794">
        <v>67.427691043300982</v>
      </c>
      <c r="K2075" s="771"/>
    </row>
    <row r="2076" spans="1:11" ht="18.75" customHeight="1" outlineLevel="2">
      <c r="A2076" s="791" t="s">
        <v>776</v>
      </c>
      <c r="B2076" s="791" t="s">
        <v>1029</v>
      </c>
      <c r="C2076" s="791" t="s">
        <v>1022</v>
      </c>
      <c r="D2076" s="792" t="s">
        <v>779</v>
      </c>
      <c r="E2076" s="793" t="s">
        <v>763</v>
      </c>
      <c r="F2076" s="793" t="s">
        <v>931</v>
      </c>
      <c r="G2076" s="793" t="s">
        <v>785</v>
      </c>
      <c r="H2076" s="793" t="s">
        <v>913</v>
      </c>
      <c r="I2076" s="794">
        <v>1.2798273087668861E-3</v>
      </c>
      <c r="J2076" s="794">
        <v>21.269094027615786</v>
      </c>
      <c r="K2076" s="771"/>
    </row>
    <row r="2077" spans="1:11" ht="18.75" customHeight="1" outlineLevel="2">
      <c r="A2077" s="791" t="s">
        <v>776</v>
      </c>
      <c r="B2077" s="791" t="s">
        <v>1029</v>
      </c>
      <c r="C2077" s="791" t="s">
        <v>1022</v>
      </c>
      <c r="D2077" s="792" t="s">
        <v>779</v>
      </c>
      <c r="E2077" s="793" t="s">
        <v>763</v>
      </c>
      <c r="F2077" s="793" t="s">
        <v>932</v>
      </c>
      <c r="G2077" s="793" t="s">
        <v>785</v>
      </c>
      <c r="H2077" s="793" t="s">
        <v>913</v>
      </c>
      <c r="I2077" s="794">
        <v>1.3665373545677421E-3</v>
      </c>
      <c r="J2077" s="794">
        <v>5.252831911543077</v>
      </c>
      <c r="K2077" s="771"/>
    </row>
    <row r="2078" spans="1:11" ht="18.75" customHeight="1" outlineLevel="2">
      <c r="A2078" s="791" t="s">
        <v>776</v>
      </c>
      <c r="B2078" s="791" t="s">
        <v>1029</v>
      </c>
      <c r="C2078" s="791" t="s">
        <v>1022</v>
      </c>
      <c r="D2078" s="792" t="s">
        <v>779</v>
      </c>
      <c r="E2078" s="793" t="s">
        <v>763</v>
      </c>
      <c r="F2078" s="793" t="s">
        <v>933</v>
      </c>
      <c r="G2078" s="793" t="s">
        <v>785</v>
      </c>
      <c r="H2078" s="793" t="s">
        <v>913</v>
      </c>
      <c r="I2078" s="794">
        <v>1.918103535782052E-3</v>
      </c>
      <c r="J2078" s="794">
        <v>41.774573362242968</v>
      </c>
      <c r="K2078" s="771"/>
    </row>
    <row r="2079" spans="1:11" ht="18.75" customHeight="1" outlineLevel="2">
      <c r="A2079" s="791" t="s">
        <v>776</v>
      </c>
      <c r="B2079" s="791" t="s">
        <v>1029</v>
      </c>
      <c r="C2079" s="791" t="s">
        <v>1022</v>
      </c>
      <c r="D2079" s="792" t="s">
        <v>779</v>
      </c>
      <c r="E2079" s="793" t="s">
        <v>763</v>
      </c>
      <c r="F2079" s="793" t="s">
        <v>934</v>
      </c>
      <c r="G2079" s="793" t="s">
        <v>813</v>
      </c>
      <c r="H2079" s="793" t="s">
        <v>913</v>
      </c>
      <c r="I2079" s="794">
        <v>1.5967641882138943E-2</v>
      </c>
      <c r="J2079" s="794">
        <v>241.9784033052081</v>
      </c>
      <c r="K2079" s="771"/>
    </row>
    <row r="2080" spans="1:11" ht="18.75" customHeight="1" outlineLevel="2">
      <c r="A2080" s="791" t="s">
        <v>776</v>
      </c>
      <c r="B2080" s="791" t="s">
        <v>1029</v>
      </c>
      <c r="C2080" s="791" t="s">
        <v>1022</v>
      </c>
      <c r="D2080" s="792" t="s">
        <v>779</v>
      </c>
      <c r="E2080" s="793" t="s">
        <v>763</v>
      </c>
      <c r="F2080" s="793" t="s">
        <v>935</v>
      </c>
      <c r="G2080" s="793" t="s">
        <v>791</v>
      </c>
      <c r="H2080" s="793" t="s">
        <v>913</v>
      </c>
      <c r="I2080" s="794">
        <v>6.642994330648636E-5</v>
      </c>
      <c r="J2080" s="794">
        <v>8.3707139633886513E-2</v>
      </c>
      <c r="K2080" s="771"/>
    </row>
    <row r="2081" spans="1:11" ht="18.75" customHeight="1" outlineLevel="2">
      <c r="A2081" s="791" t="s">
        <v>776</v>
      </c>
      <c r="B2081" s="791" t="s">
        <v>1029</v>
      </c>
      <c r="C2081" s="791" t="s">
        <v>1022</v>
      </c>
      <c r="D2081" s="792" t="s">
        <v>779</v>
      </c>
      <c r="E2081" s="793" t="s">
        <v>763</v>
      </c>
      <c r="F2081" s="793" t="s">
        <v>936</v>
      </c>
      <c r="G2081" s="793" t="s">
        <v>791</v>
      </c>
      <c r="H2081" s="793" t="s">
        <v>913</v>
      </c>
      <c r="I2081" s="794">
        <v>9.625083474955562E-6</v>
      </c>
      <c r="J2081" s="794">
        <v>0.16303801083985428</v>
      </c>
      <c r="K2081" s="771"/>
    </row>
    <row r="2082" spans="1:11" ht="18.75" customHeight="1" outlineLevel="2">
      <c r="A2082" s="791" t="s">
        <v>776</v>
      </c>
      <c r="B2082" s="791" t="s">
        <v>1029</v>
      </c>
      <c r="C2082" s="791" t="s">
        <v>1022</v>
      </c>
      <c r="D2082" s="792" t="s">
        <v>779</v>
      </c>
      <c r="E2082" s="793" t="s">
        <v>763</v>
      </c>
      <c r="F2082" s="793" t="s">
        <v>937</v>
      </c>
      <c r="G2082" s="793" t="s">
        <v>794</v>
      </c>
      <c r="H2082" s="793" t="s">
        <v>913</v>
      </c>
      <c r="I2082" s="794">
        <v>8.2378828685425107E-2</v>
      </c>
      <c r="J2082" s="794">
        <v>202.26656994502065</v>
      </c>
      <c r="K2082" s="771"/>
    </row>
    <row r="2083" spans="1:11" ht="18.75" customHeight="1" outlineLevel="2">
      <c r="A2083" s="791" t="s">
        <v>776</v>
      </c>
      <c r="B2083" s="791" t="s">
        <v>1029</v>
      </c>
      <c r="C2083" s="791" t="s">
        <v>1022</v>
      </c>
      <c r="D2083" s="792" t="s">
        <v>779</v>
      </c>
      <c r="E2083" s="793" t="s">
        <v>763</v>
      </c>
      <c r="F2083" s="793" t="s">
        <v>938</v>
      </c>
      <c r="G2083" s="793" t="s">
        <v>794</v>
      </c>
      <c r="H2083" s="793" t="s">
        <v>913</v>
      </c>
      <c r="I2083" s="794">
        <v>9.6932117453800617E-3</v>
      </c>
      <c r="J2083" s="794">
        <v>44.273601395601553</v>
      </c>
      <c r="K2083" s="771"/>
    </row>
    <row r="2084" spans="1:11" ht="18.75" customHeight="1" outlineLevel="2">
      <c r="A2084" s="791" t="s">
        <v>776</v>
      </c>
      <c r="B2084" s="791" t="s">
        <v>1029</v>
      </c>
      <c r="C2084" s="791" t="s">
        <v>1022</v>
      </c>
      <c r="D2084" s="792" t="s">
        <v>779</v>
      </c>
      <c r="E2084" s="793" t="s">
        <v>763</v>
      </c>
      <c r="F2084" s="793" t="s">
        <v>939</v>
      </c>
      <c r="G2084" s="793" t="s">
        <v>794</v>
      </c>
      <c r="H2084" s="793" t="s">
        <v>913</v>
      </c>
      <c r="I2084" s="794">
        <v>5.0541251915955628E-3</v>
      </c>
      <c r="J2084" s="794">
        <v>51.697120645464558</v>
      </c>
      <c r="K2084" s="771"/>
    </row>
    <row r="2085" spans="1:11" ht="18.75" customHeight="1" outlineLevel="2">
      <c r="A2085" s="791" t="s">
        <v>776</v>
      </c>
      <c r="B2085" s="791" t="s">
        <v>1029</v>
      </c>
      <c r="C2085" s="791" t="s">
        <v>1022</v>
      </c>
      <c r="D2085" s="792" t="s">
        <v>779</v>
      </c>
      <c r="E2085" s="793" t="s">
        <v>763</v>
      </c>
      <c r="F2085" s="793" t="s">
        <v>940</v>
      </c>
      <c r="G2085" s="793" t="s">
        <v>794</v>
      </c>
      <c r="H2085" s="793" t="s">
        <v>913</v>
      </c>
      <c r="I2085" s="794">
        <v>8.3670755770991773E-3</v>
      </c>
      <c r="J2085" s="794">
        <v>64.251982627161624</v>
      </c>
      <c r="K2085" s="771"/>
    </row>
    <row r="2086" spans="1:11" ht="18.75" customHeight="1" outlineLevel="2">
      <c r="A2086" s="791" t="s">
        <v>776</v>
      </c>
      <c r="B2086" s="791" t="s">
        <v>1029</v>
      </c>
      <c r="C2086" s="791" t="s">
        <v>1022</v>
      </c>
      <c r="D2086" s="792" t="s">
        <v>779</v>
      </c>
      <c r="E2086" s="793" t="s">
        <v>763</v>
      </c>
      <c r="F2086" s="793" t="s">
        <v>941</v>
      </c>
      <c r="G2086" s="793" t="s">
        <v>794</v>
      </c>
      <c r="H2086" s="793" t="s">
        <v>913</v>
      </c>
      <c r="I2086" s="794">
        <v>2.8963592682130335E-4</v>
      </c>
      <c r="J2086" s="794">
        <v>0.87386215743912066</v>
      </c>
      <c r="K2086" s="771"/>
    </row>
    <row r="2087" spans="1:11" ht="18.75" customHeight="1" outlineLevel="2">
      <c r="A2087" s="791" t="s">
        <v>776</v>
      </c>
      <c r="B2087" s="791" t="s">
        <v>1029</v>
      </c>
      <c r="C2087" s="791" t="s">
        <v>1022</v>
      </c>
      <c r="D2087" s="792" t="s">
        <v>779</v>
      </c>
      <c r="E2087" s="793" t="s">
        <v>763</v>
      </c>
      <c r="F2087" s="793" t="s">
        <v>942</v>
      </c>
      <c r="G2087" s="793" t="s">
        <v>794</v>
      </c>
      <c r="H2087" s="793" t="s">
        <v>913</v>
      </c>
      <c r="I2087" s="794">
        <v>6.8657606408970717E-5</v>
      </c>
      <c r="J2087" s="794">
        <v>0.79339137670396409</v>
      </c>
      <c r="K2087" s="771"/>
    </row>
    <row r="2088" spans="1:11" ht="18.75" customHeight="1" outlineLevel="2">
      <c r="A2088" s="791" t="s">
        <v>776</v>
      </c>
      <c r="B2088" s="791" t="s">
        <v>1029</v>
      </c>
      <c r="C2088" s="791" t="s">
        <v>1022</v>
      </c>
      <c r="D2088" s="792" t="s">
        <v>779</v>
      </c>
      <c r="E2088" s="793" t="s">
        <v>763</v>
      </c>
      <c r="F2088" s="793" t="s">
        <v>943</v>
      </c>
      <c r="G2088" s="793" t="s">
        <v>944</v>
      </c>
      <c r="H2088" s="793" t="s">
        <v>913</v>
      </c>
      <c r="I2088" s="794">
        <v>1.2230386575736788E-4</v>
      </c>
      <c r="J2088" s="794">
        <v>0.52839458721218135</v>
      </c>
      <c r="K2088" s="771"/>
    </row>
    <row r="2089" spans="1:11" ht="18.75" customHeight="1" outlineLevel="2">
      <c r="A2089" s="791" t="s">
        <v>776</v>
      </c>
      <c r="B2089" s="791" t="s">
        <v>1029</v>
      </c>
      <c r="C2089" s="791" t="s">
        <v>1022</v>
      </c>
      <c r="D2089" s="792" t="s">
        <v>779</v>
      </c>
      <c r="E2089" s="793" t="s">
        <v>764</v>
      </c>
      <c r="F2089" s="793" t="s">
        <v>945</v>
      </c>
      <c r="G2089" s="793" t="s">
        <v>244</v>
      </c>
      <c r="H2089" s="793" t="s">
        <v>905</v>
      </c>
      <c r="I2089" s="794">
        <v>3.6968892229815842E-3</v>
      </c>
      <c r="J2089" s="794">
        <v>133.05394744588423</v>
      </c>
      <c r="K2089" s="771"/>
    </row>
    <row r="2090" spans="1:11" ht="18.75" customHeight="1" outlineLevel="2">
      <c r="A2090" s="791" t="s">
        <v>776</v>
      </c>
      <c r="B2090" s="791" t="s">
        <v>1029</v>
      </c>
      <c r="C2090" s="791" t="s">
        <v>1022</v>
      </c>
      <c r="D2090" s="792" t="s">
        <v>779</v>
      </c>
      <c r="E2090" s="793" t="s">
        <v>764</v>
      </c>
      <c r="F2090" s="793" t="s">
        <v>946</v>
      </c>
      <c r="G2090" s="793" t="s">
        <v>244</v>
      </c>
      <c r="H2090" s="793" t="s">
        <v>905</v>
      </c>
      <c r="I2090" s="794">
        <v>5.8588597836737643E-5</v>
      </c>
      <c r="J2090" s="794">
        <v>1.1113924610482149</v>
      </c>
      <c r="K2090" s="771"/>
    </row>
    <row r="2091" spans="1:11" ht="18.75" customHeight="1" outlineLevel="2">
      <c r="A2091" s="791" t="s">
        <v>776</v>
      </c>
      <c r="B2091" s="791" t="s">
        <v>1029</v>
      </c>
      <c r="C2091" s="791" t="s">
        <v>1022</v>
      </c>
      <c r="D2091" s="792" t="s">
        <v>779</v>
      </c>
      <c r="E2091" s="793" t="s">
        <v>947</v>
      </c>
      <c r="F2091" s="793" t="s">
        <v>948</v>
      </c>
      <c r="G2091" s="793" t="s">
        <v>799</v>
      </c>
      <c r="H2091" s="793" t="s">
        <v>800</v>
      </c>
      <c r="I2091" s="794">
        <v>4.6617266909343138E-3</v>
      </c>
      <c r="J2091" s="794">
        <v>115.24447296446013</v>
      </c>
      <c r="K2091" s="771"/>
    </row>
    <row r="2092" spans="1:11" ht="18.75" customHeight="1" outlineLevel="2">
      <c r="A2092" s="791" t="s">
        <v>776</v>
      </c>
      <c r="B2092" s="791" t="s">
        <v>1029</v>
      </c>
      <c r="C2092" s="791" t="s">
        <v>1022</v>
      </c>
      <c r="D2092" s="792" t="s">
        <v>779</v>
      </c>
      <c r="E2092" s="793" t="s">
        <v>947</v>
      </c>
      <c r="F2092" s="793" t="s">
        <v>949</v>
      </c>
      <c r="G2092" s="793" t="s">
        <v>782</v>
      </c>
      <c r="H2092" s="793" t="s">
        <v>804</v>
      </c>
      <c r="I2092" s="794">
        <v>6.4319638879047443E-3</v>
      </c>
      <c r="J2092" s="794">
        <v>375.11485891535824</v>
      </c>
      <c r="K2092" s="771"/>
    </row>
    <row r="2093" spans="1:11" ht="18.75" customHeight="1" outlineLevel="2">
      <c r="A2093" s="791" t="s">
        <v>776</v>
      </c>
      <c r="B2093" s="791" t="s">
        <v>1029</v>
      </c>
      <c r="C2093" s="791" t="s">
        <v>1022</v>
      </c>
      <c r="D2093" s="792" t="s">
        <v>779</v>
      </c>
      <c r="E2093" s="793" t="s">
        <v>947</v>
      </c>
      <c r="F2093" s="793" t="s">
        <v>950</v>
      </c>
      <c r="G2093" s="793" t="s">
        <v>782</v>
      </c>
      <c r="H2093" s="793" t="s">
        <v>804</v>
      </c>
      <c r="I2093" s="794">
        <v>5.5303933659406023E-5</v>
      </c>
      <c r="J2093" s="794">
        <v>0.61086654955889097</v>
      </c>
      <c r="K2093" s="771"/>
    </row>
    <row r="2094" spans="1:11" ht="18.75" customHeight="1" outlineLevel="2">
      <c r="A2094" s="791" t="s">
        <v>776</v>
      </c>
      <c r="B2094" s="791" t="s">
        <v>1029</v>
      </c>
      <c r="C2094" s="791" t="s">
        <v>1022</v>
      </c>
      <c r="D2094" s="792" t="s">
        <v>779</v>
      </c>
      <c r="E2094" s="793" t="s">
        <v>947</v>
      </c>
      <c r="F2094" s="793" t="s">
        <v>951</v>
      </c>
      <c r="G2094" s="793" t="s">
        <v>782</v>
      </c>
      <c r="H2094" s="793" t="s">
        <v>804</v>
      </c>
      <c r="I2094" s="794">
        <v>8.0204908582044503E-4</v>
      </c>
      <c r="J2094" s="794">
        <v>10.062636466139946</v>
      </c>
      <c r="K2094" s="771"/>
    </row>
    <row r="2095" spans="1:11" ht="18.75" customHeight="1" outlineLevel="2">
      <c r="A2095" s="791" t="s">
        <v>776</v>
      </c>
      <c r="B2095" s="791" t="s">
        <v>1029</v>
      </c>
      <c r="C2095" s="791" t="s">
        <v>1022</v>
      </c>
      <c r="D2095" s="792" t="s">
        <v>779</v>
      </c>
      <c r="E2095" s="793" t="s">
        <v>947</v>
      </c>
      <c r="F2095" s="793" t="s">
        <v>952</v>
      </c>
      <c r="G2095" s="793" t="s">
        <v>782</v>
      </c>
      <c r="H2095" s="793" t="s">
        <v>804</v>
      </c>
      <c r="I2095" s="794">
        <v>1.8315628251106296E-2</v>
      </c>
      <c r="J2095" s="794">
        <v>938.96912460366161</v>
      </c>
      <c r="K2095" s="771"/>
    </row>
    <row r="2096" spans="1:11" ht="18.75" customHeight="1" outlineLevel="2">
      <c r="A2096" s="791" t="s">
        <v>776</v>
      </c>
      <c r="B2096" s="791" t="s">
        <v>1029</v>
      </c>
      <c r="C2096" s="791" t="s">
        <v>1022</v>
      </c>
      <c r="D2096" s="792" t="s">
        <v>779</v>
      </c>
      <c r="E2096" s="793" t="s">
        <v>947</v>
      </c>
      <c r="F2096" s="793" t="s">
        <v>953</v>
      </c>
      <c r="G2096" s="793" t="s">
        <v>782</v>
      </c>
      <c r="H2096" s="793" t="s">
        <v>804</v>
      </c>
      <c r="I2096" s="794">
        <v>1.3903887745568628E-2</v>
      </c>
      <c r="J2096" s="794">
        <v>1021.6622069247168</v>
      </c>
      <c r="K2096" s="771"/>
    </row>
    <row r="2097" spans="1:11" ht="18.75" customHeight="1" outlineLevel="2">
      <c r="A2097" s="791" t="s">
        <v>776</v>
      </c>
      <c r="B2097" s="791" t="s">
        <v>1029</v>
      </c>
      <c r="C2097" s="791" t="s">
        <v>1022</v>
      </c>
      <c r="D2097" s="792" t="s">
        <v>779</v>
      </c>
      <c r="E2097" s="793" t="s">
        <v>947</v>
      </c>
      <c r="F2097" s="793" t="s">
        <v>954</v>
      </c>
      <c r="G2097" s="793" t="s">
        <v>782</v>
      </c>
      <c r="H2097" s="793" t="s">
        <v>804</v>
      </c>
      <c r="I2097" s="794">
        <v>1.570848699878537E-3</v>
      </c>
      <c r="J2097" s="794">
        <v>56.414270107513509</v>
      </c>
      <c r="K2097" s="771"/>
    </row>
    <row r="2098" spans="1:11" ht="18.75" customHeight="1" outlineLevel="2">
      <c r="A2098" s="791" t="s">
        <v>776</v>
      </c>
      <c r="B2098" s="791" t="s">
        <v>1029</v>
      </c>
      <c r="C2098" s="791" t="s">
        <v>1022</v>
      </c>
      <c r="D2098" s="792" t="s">
        <v>779</v>
      </c>
      <c r="E2098" s="793" t="s">
        <v>947</v>
      </c>
      <c r="F2098" s="793" t="s">
        <v>955</v>
      </c>
      <c r="G2098" s="793" t="s">
        <v>782</v>
      </c>
      <c r="H2098" s="793" t="s">
        <v>804</v>
      </c>
      <c r="I2098" s="794">
        <v>8.3552040060611336E-4</v>
      </c>
      <c r="J2098" s="794">
        <v>38.415684080414209</v>
      </c>
      <c r="K2098" s="771"/>
    </row>
    <row r="2099" spans="1:11" ht="18.75" customHeight="1" outlineLevel="2">
      <c r="A2099" s="791" t="s">
        <v>776</v>
      </c>
      <c r="B2099" s="791" t="s">
        <v>1029</v>
      </c>
      <c r="C2099" s="791" t="s">
        <v>1022</v>
      </c>
      <c r="D2099" s="792" t="s">
        <v>779</v>
      </c>
      <c r="E2099" s="793" t="s">
        <v>947</v>
      </c>
      <c r="F2099" s="793" t="s">
        <v>956</v>
      </c>
      <c r="G2099" s="793" t="s">
        <v>782</v>
      </c>
      <c r="H2099" s="793" t="s">
        <v>804</v>
      </c>
      <c r="I2099" s="794">
        <v>4.4407559566391874E-3</v>
      </c>
      <c r="J2099" s="794">
        <v>105.493176429244</v>
      </c>
      <c r="K2099" s="771"/>
    </row>
    <row r="2100" spans="1:11" ht="18.75" customHeight="1" outlineLevel="2">
      <c r="A2100" s="791" t="s">
        <v>776</v>
      </c>
      <c r="B2100" s="791" t="s">
        <v>1029</v>
      </c>
      <c r="C2100" s="791" t="s">
        <v>1022</v>
      </c>
      <c r="D2100" s="792" t="s">
        <v>779</v>
      </c>
      <c r="E2100" s="793" t="s">
        <v>947</v>
      </c>
      <c r="F2100" s="793" t="s">
        <v>957</v>
      </c>
      <c r="G2100" s="793" t="s">
        <v>782</v>
      </c>
      <c r="H2100" s="793" t="s">
        <v>804</v>
      </c>
      <c r="I2100" s="794">
        <v>1.27303841424821E-2</v>
      </c>
      <c r="J2100" s="794">
        <v>451.43322876774067</v>
      </c>
      <c r="K2100" s="771"/>
    </row>
    <row r="2101" spans="1:11" ht="18.75" customHeight="1" outlineLevel="2">
      <c r="A2101" s="791" t="s">
        <v>776</v>
      </c>
      <c r="B2101" s="791" t="s">
        <v>1029</v>
      </c>
      <c r="C2101" s="791" t="s">
        <v>1022</v>
      </c>
      <c r="D2101" s="792" t="s">
        <v>779</v>
      </c>
      <c r="E2101" s="793" t="s">
        <v>947</v>
      </c>
      <c r="F2101" s="793" t="s">
        <v>958</v>
      </c>
      <c r="G2101" s="793" t="s">
        <v>782</v>
      </c>
      <c r="H2101" s="793" t="s">
        <v>804</v>
      </c>
      <c r="I2101" s="794">
        <v>8.9999620803280743E-3</v>
      </c>
      <c r="J2101" s="794">
        <v>495.64569476596176</v>
      </c>
      <c r="K2101" s="771"/>
    </row>
    <row r="2102" spans="1:11" ht="18.75" customHeight="1" outlineLevel="2">
      <c r="A2102" s="791" t="s">
        <v>776</v>
      </c>
      <c r="B2102" s="791" t="s">
        <v>1029</v>
      </c>
      <c r="C2102" s="791" t="s">
        <v>1022</v>
      </c>
      <c r="D2102" s="792" t="s">
        <v>779</v>
      </c>
      <c r="E2102" s="793" t="s">
        <v>947</v>
      </c>
      <c r="F2102" s="793" t="s">
        <v>959</v>
      </c>
      <c r="G2102" s="793" t="s">
        <v>782</v>
      </c>
      <c r="H2102" s="793" t="s">
        <v>804</v>
      </c>
      <c r="I2102" s="794">
        <v>4.9341964256845172E-2</v>
      </c>
      <c r="J2102" s="794">
        <v>3805.8038875671605</v>
      </c>
      <c r="K2102" s="771"/>
    </row>
    <row r="2103" spans="1:11" ht="18.75" customHeight="1" outlineLevel="2">
      <c r="A2103" s="791" t="s">
        <v>776</v>
      </c>
      <c r="B2103" s="791" t="s">
        <v>1029</v>
      </c>
      <c r="C2103" s="791" t="s">
        <v>1022</v>
      </c>
      <c r="D2103" s="792" t="s">
        <v>779</v>
      </c>
      <c r="E2103" s="793" t="s">
        <v>947</v>
      </c>
      <c r="F2103" s="793" t="s">
        <v>960</v>
      </c>
      <c r="G2103" s="793" t="s">
        <v>782</v>
      </c>
      <c r="H2103" s="793" t="s">
        <v>804</v>
      </c>
      <c r="I2103" s="794">
        <v>1.0436197429372232E-3</v>
      </c>
      <c r="J2103" s="794">
        <v>31.645711457512206</v>
      </c>
      <c r="K2103" s="771"/>
    </row>
    <row r="2104" spans="1:11" ht="18.75" customHeight="1" outlineLevel="2">
      <c r="A2104" s="791" t="s">
        <v>776</v>
      </c>
      <c r="B2104" s="791" t="s">
        <v>1029</v>
      </c>
      <c r="C2104" s="791" t="s">
        <v>1022</v>
      </c>
      <c r="D2104" s="792" t="s">
        <v>779</v>
      </c>
      <c r="E2104" s="793" t="s">
        <v>947</v>
      </c>
      <c r="F2104" s="793" t="s">
        <v>961</v>
      </c>
      <c r="G2104" s="793" t="s">
        <v>782</v>
      </c>
      <c r="H2104" s="793" t="s">
        <v>804</v>
      </c>
      <c r="I2104" s="794">
        <v>4.1098886540277699E-4</v>
      </c>
      <c r="J2104" s="794">
        <v>19.376735499388609</v>
      </c>
      <c r="K2104" s="771"/>
    </row>
    <row r="2105" spans="1:11" ht="18.75" customHeight="1" outlineLevel="2">
      <c r="A2105" s="791" t="s">
        <v>776</v>
      </c>
      <c r="B2105" s="791" t="s">
        <v>1029</v>
      </c>
      <c r="C2105" s="791" t="s">
        <v>1022</v>
      </c>
      <c r="D2105" s="792" t="s">
        <v>779</v>
      </c>
      <c r="E2105" s="793" t="s">
        <v>947</v>
      </c>
      <c r="F2105" s="793" t="s">
        <v>962</v>
      </c>
      <c r="G2105" s="793" t="s">
        <v>782</v>
      </c>
      <c r="H2105" s="793" t="s">
        <v>804</v>
      </c>
      <c r="I2105" s="794">
        <v>1.4560049957631037E-2</v>
      </c>
      <c r="J2105" s="794">
        <v>869.90906588324526</v>
      </c>
      <c r="K2105" s="771"/>
    </row>
    <row r="2106" spans="1:11" ht="18.75" customHeight="1" outlineLevel="2">
      <c r="A2106" s="791" t="s">
        <v>776</v>
      </c>
      <c r="B2106" s="791" t="s">
        <v>1029</v>
      </c>
      <c r="C2106" s="791" t="s">
        <v>1022</v>
      </c>
      <c r="D2106" s="792" t="s">
        <v>779</v>
      </c>
      <c r="E2106" s="793" t="s">
        <v>947</v>
      </c>
      <c r="F2106" s="793" t="s">
        <v>963</v>
      </c>
      <c r="G2106" s="793" t="s">
        <v>782</v>
      </c>
      <c r="H2106" s="793" t="s">
        <v>804</v>
      </c>
      <c r="I2106" s="794">
        <v>1.2517478735469373E-2</v>
      </c>
      <c r="J2106" s="794">
        <v>946.90731690811515</v>
      </c>
      <c r="K2106" s="771"/>
    </row>
    <row r="2107" spans="1:11" ht="18.75" customHeight="1" outlineLevel="2">
      <c r="A2107" s="791" t="s">
        <v>776</v>
      </c>
      <c r="B2107" s="791" t="s">
        <v>1029</v>
      </c>
      <c r="C2107" s="791" t="s">
        <v>1022</v>
      </c>
      <c r="D2107" s="792" t="s">
        <v>779</v>
      </c>
      <c r="E2107" s="793" t="s">
        <v>947</v>
      </c>
      <c r="F2107" s="793" t="s">
        <v>964</v>
      </c>
      <c r="G2107" s="793" t="s">
        <v>782</v>
      </c>
      <c r="H2107" s="793" t="s">
        <v>804</v>
      </c>
      <c r="I2107" s="794">
        <v>4.5702499317932986E-2</v>
      </c>
      <c r="J2107" s="794">
        <v>3257.2269199708171</v>
      </c>
      <c r="K2107" s="771"/>
    </row>
    <row r="2108" spans="1:11" ht="18.75" customHeight="1" outlineLevel="2">
      <c r="A2108" s="791" t="s">
        <v>776</v>
      </c>
      <c r="B2108" s="791" t="s">
        <v>1029</v>
      </c>
      <c r="C2108" s="791" t="s">
        <v>1022</v>
      </c>
      <c r="D2108" s="792" t="s">
        <v>779</v>
      </c>
      <c r="E2108" s="793" t="s">
        <v>947</v>
      </c>
      <c r="F2108" s="793" t="s">
        <v>965</v>
      </c>
      <c r="G2108" s="793" t="s">
        <v>782</v>
      </c>
      <c r="H2108" s="793" t="s">
        <v>804</v>
      </c>
      <c r="I2108" s="794">
        <v>3.1459362223353253E-3</v>
      </c>
      <c r="J2108" s="794">
        <v>153.16054164741078</v>
      </c>
      <c r="K2108" s="771"/>
    </row>
    <row r="2109" spans="1:11" ht="18.75" customHeight="1" outlineLevel="2">
      <c r="A2109" s="791" t="s">
        <v>776</v>
      </c>
      <c r="B2109" s="791" t="s">
        <v>1029</v>
      </c>
      <c r="C2109" s="791" t="s">
        <v>1022</v>
      </c>
      <c r="D2109" s="792" t="s">
        <v>779</v>
      </c>
      <c r="E2109" s="793" t="s">
        <v>947</v>
      </c>
      <c r="F2109" s="793" t="s">
        <v>966</v>
      </c>
      <c r="G2109" s="793" t="s">
        <v>782</v>
      </c>
      <c r="H2109" s="793" t="s">
        <v>804</v>
      </c>
      <c r="I2109" s="794">
        <v>2.6453291460017556E-2</v>
      </c>
      <c r="J2109" s="794">
        <v>1218.309523017143</v>
      </c>
      <c r="K2109" s="771"/>
    </row>
    <row r="2110" spans="1:11" ht="18.75" customHeight="1" outlineLevel="2">
      <c r="A2110" s="791" t="s">
        <v>776</v>
      </c>
      <c r="B2110" s="791" t="s">
        <v>1029</v>
      </c>
      <c r="C2110" s="791" t="s">
        <v>1022</v>
      </c>
      <c r="D2110" s="792" t="s">
        <v>779</v>
      </c>
      <c r="E2110" s="793" t="s">
        <v>947</v>
      </c>
      <c r="F2110" s="793" t="s">
        <v>967</v>
      </c>
      <c r="G2110" s="793" t="s">
        <v>782</v>
      </c>
      <c r="H2110" s="793" t="s">
        <v>804</v>
      </c>
      <c r="I2110" s="794">
        <v>6.4633468492365495E-2</v>
      </c>
      <c r="J2110" s="794">
        <v>4142.0195892255897</v>
      </c>
      <c r="K2110" s="771"/>
    </row>
    <row r="2111" spans="1:11" ht="18.75" customHeight="1" outlineLevel="2">
      <c r="A2111" s="791" t="s">
        <v>776</v>
      </c>
      <c r="B2111" s="791" t="s">
        <v>1029</v>
      </c>
      <c r="C2111" s="791" t="s">
        <v>1022</v>
      </c>
      <c r="D2111" s="792" t="s">
        <v>779</v>
      </c>
      <c r="E2111" s="793" t="s">
        <v>947</v>
      </c>
      <c r="F2111" s="793" t="s">
        <v>968</v>
      </c>
      <c r="G2111" s="793" t="s">
        <v>782</v>
      </c>
      <c r="H2111" s="793" t="s">
        <v>804</v>
      </c>
      <c r="I2111" s="794">
        <v>0.14156328196697246</v>
      </c>
      <c r="J2111" s="794">
        <v>2778.7291745486418</v>
      </c>
      <c r="K2111" s="771"/>
    </row>
    <row r="2112" spans="1:11" ht="18.75" customHeight="1" outlineLevel="2">
      <c r="A2112" s="791" t="s">
        <v>776</v>
      </c>
      <c r="B2112" s="791" t="s">
        <v>1029</v>
      </c>
      <c r="C2112" s="791" t="s">
        <v>1022</v>
      </c>
      <c r="D2112" s="792" t="s">
        <v>779</v>
      </c>
      <c r="E2112" s="793" t="s">
        <v>947</v>
      </c>
      <c r="F2112" s="793" t="s">
        <v>969</v>
      </c>
      <c r="G2112" s="793" t="s">
        <v>782</v>
      </c>
      <c r="H2112" s="793" t="s">
        <v>804</v>
      </c>
      <c r="I2112" s="794">
        <v>5.2049447934412171E-2</v>
      </c>
      <c r="J2112" s="794">
        <v>3789.0721030678769</v>
      </c>
      <c r="K2112" s="771"/>
    </row>
    <row r="2113" spans="1:11" ht="18.75" customHeight="1" outlineLevel="2">
      <c r="A2113" s="791" t="s">
        <v>776</v>
      </c>
      <c r="B2113" s="791" t="s">
        <v>1029</v>
      </c>
      <c r="C2113" s="791" t="s">
        <v>1022</v>
      </c>
      <c r="D2113" s="792" t="s">
        <v>779</v>
      </c>
      <c r="E2113" s="793" t="s">
        <v>947</v>
      </c>
      <c r="F2113" s="793" t="s">
        <v>970</v>
      </c>
      <c r="G2113" s="793" t="s">
        <v>782</v>
      </c>
      <c r="H2113" s="793" t="s">
        <v>804</v>
      </c>
      <c r="I2113" s="794">
        <v>9.4771910971237258E-2</v>
      </c>
      <c r="J2113" s="794">
        <v>2181.1604474306482</v>
      </c>
      <c r="K2113" s="771"/>
    </row>
    <row r="2114" spans="1:11" ht="18.75" customHeight="1" outlineLevel="2">
      <c r="A2114" s="791" t="s">
        <v>776</v>
      </c>
      <c r="B2114" s="791" t="s">
        <v>1029</v>
      </c>
      <c r="C2114" s="791" t="s">
        <v>1022</v>
      </c>
      <c r="D2114" s="792" t="s">
        <v>779</v>
      </c>
      <c r="E2114" s="793" t="s">
        <v>947</v>
      </c>
      <c r="F2114" s="793" t="s">
        <v>971</v>
      </c>
      <c r="G2114" s="793" t="s">
        <v>782</v>
      </c>
      <c r="H2114" s="793" t="s">
        <v>804</v>
      </c>
      <c r="I2114" s="794">
        <v>5.5632952902922523E-3</v>
      </c>
      <c r="J2114" s="794">
        <v>406.57213861878739</v>
      </c>
      <c r="K2114" s="771"/>
    </row>
    <row r="2115" spans="1:11" ht="18.75" customHeight="1" outlineLevel="2">
      <c r="A2115" s="791" t="s">
        <v>776</v>
      </c>
      <c r="B2115" s="791" t="s">
        <v>1029</v>
      </c>
      <c r="C2115" s="791" t="s">
        <v>1022</v>
      </c>
      <c r="D2115" s="792" t="s">
        <v>779</v>
      </c>
      <c r="E2115" s="793" t="s">
        <v>947</v>
      </c>
      <c r="F2115" s="793" t="s">
        <v>972</v>
      </c>
      <c r="G2115" s="793" t="s">
        <v>782</v>
      </c>
      <c r="H2115" s="793" t="s">
        <v>804</v>
      </c>
      <c r="I2115" s="794">
        <v>2.8895291962426837E-4</v>
      </c>
      <c r="J2115" s="794">
        <v>6.6703533532275072</v>
      </c>
      <c r="K2115" s="771"/>
    </row>
    <row r="2116" spans="1:11" ht="18.75" customHeight="1" outlineLevel="2">
      <c r="A2116" s="791" t="s">
        <v>776</v>
      </c>
      <c r="B2116" s="791" t="s">
        <v>1029</v>
      </c>
      <c r="C2116" s="791" t="s">
        <v>1022</v>
      </c>
      <c r="D2116" s="792" t="s">
        <v>779</v>
      </c>
      <c r="E2116" s="793" t="s">
        <v>947</v>
      </c>
      <c r="F2116" s="793" t="s">
        <v>973</v>
      </c>
      <c r="G2116" s="793" t="s">
        <v>782</v>
      </c>
      <c r="H2116" s="793" t="s">
        <v>804</v>
      </c>
      <c r="I2116" s="794">
        <v>7.8886802422158293E-3</v>
      </c>
      <c r="J2116" s="794">
        <v>424.09463609230465</v>
      </c>
      <c r="K2116" s="771"/>
    </row>
    <row r="2117" spans="1:11" ht="18.75" customHeight="1" outlineLevel="2">
      <c r="A2117" s="791" t="s">
        <v>776</v>
      </c>
      <c r="B2117" s="791" t="s">
        <v>1029</v>
      </c>
      <c r="C2117" s="791" t="s">
        <v>1022</v>
      </c>
      <c r="D2117" s="792" t="s">
        <v>779</v>
      </c>
      <c r="E2117" s="793" t="s">
        <v>947</v>
      </c>
      <c r="F2117" s="793" t="s">
        <v>974</v>
      </c>
      <c r="G2117" s="793" t="s">
        <v>785</v>
      </c>
      <c r="H2117" s="793" t="s">
        <v>727</v>
      </c>
      <c r="I2117" s="794">
        <v>6.7255455125721014E-3</v>
      </c>
      <c r="J2117" s="794">
        <v>162.70887109026447</v>
      </c>
      <c r="K2117" s="771"/>
    </row>
    <row r="2118" spans="1:11" ht="18.75" customHeight="1" outlineLevel="2">
      <c r="A2118" s="791" t="s">
        <v>776</v>
      </c>
      <c r="B2118" s="791" t="s">
        <v>1029</v>
      </c>
      <c r="C2118" s="791" t="s">
        <v>1022</v>
      </c>
      <c r="D2118" s="792" t="s">
        <v>779</v>
      </c>
      <c r="E2118" s="793" t="s">
        <v>947</v>
      </c>
      <c r="F2118" s="793" t="s">
        <v>975</v>
      </c>
      <c r="G2118" s="793" t="s">
        <v>785</v>
      </c>
      <c r="H2118" s="793" t="s">
        <v>727</v>
      </c>
      <c r="I2118" s="794">
        <v>3.3470568666412834E-2</v>
      </c>
      <c r="J2118" s="794">
        <v>2360.5148632471705</v>
      </c>
      <c r="K2118" s="771"/>
    </row>
    <row r="2119" spans="1:11" ht="18.75" customHeight="1" outlineLevel="2">
      <c r="A2119" s="791" t="s">
        <v>776</v>
      </c>
      <c r="B2119" s="791" t="s">
        <v>1029</v>
      </c>
      <c r="C2119" s="791" t="s">
        <v>1022</v>
      </c>
      <c r="D2119" s="792" t="s">
        <v>779</v>
      </c>
      <c r="E2119" s="793" t="s">
        <v>947</v>
      </c>
      <c r="F2119" s="793" t="s">
        <v>976</v>
      </c>
      <c r="G2119" s="793" t="s">
        <v>785</v>
      </c>
      <c r="H2119" s="793" t="s">
        <v>727</v>
      </c>
      <c r="I2119" s="794">
        <v>1.9662197619494389E-2</v>
      </c>
      <c r="J2119" s="794">
        <v>1031.0243886870144</v>
      </c>
      <c r="K2119" s="771"/>
    </row>
    <row r="2120" spans="1:11" ht="18.75" customHeight="1" outlineLevel="2">
      <c r="A2120" s="791" t="s">
        <v>776</v>
      </c>
      <c r="B2120" s="791" t="s">
        <v>1029</v>
      </c>
      <c r="C2120" s="791" t="s">
        <v>1022</v>
      </c>
      <c r="D2120" s="792" t="s">
        <v>779</v>
      </c>
      <c r="E2120" s="793" t="s">
        <v>947</v>
      </c>
      <c r="F2120" s="793" t="s">
        <v>977</v>
      </c>
      <c r="G2120" s="793" t="s">
        <v>785</v>
      </c>
      <c r="H2120" s="793" t="s">
        <v>727</v>
      </c>
      <c r="I2120" s="794">
        <v>2.3273676878456984E-2</v>
      </c>
      <c r="J2120" s="794">
        <v>1045.4988985815694</v>
      </c>
      <c r="K2120" s="771"/>
    </row>
    <row r="2121" spans="1:11" ht="18.75" customHeight="1" outlineLevel="2">
      <c r="A2121" s="791" t="s">
        <v>776</v>
      </c>
      <c r="B2121" s="791" t="s">
        <v>1029</v>
      </c>
      <c r="C2121" s="791" t="s">
        <v>1022</v>
      </c>
      <c r="D2121" s="792" t="s">
        <v>779</v>
      </c>
      <c r="E2121" s="793" t="s">
        <v>947</v>
      </c>
      <c r="F2121" s="793" t="s">
        <v>978</v>
      </c>
      <c r="G2121" s="793" t="s">
        <v>785</v>
      </c>
      <c r="H2121" s="793" t="s">
        <v>727</v>
      </c>
      <c r="I2121" s="794">
        <v>1.4740483807157876E-3</v>
      </c>
      <c r="J2121" s="794">
        <v>40.320892947091977</v>
      </c>
      <c r="K2121" s="771"/>
    </row>
    <row r="2122" spans="1:11" ht="18.75" customHeight="1" outlineLevel="2">
      <c r="A2122" s="791" t="s">
        <v>776</v>
      </c>
      <c r="B2122" s="791" t="s">
        <v>1029</v>
      </c>
      <c r="C2122" s="791" t="s">
        <v>1022</v>
      </c>
      <c r="D2122" s="792" t="s">
        <v>779</v>
      </c>
      <c r="E2122" s="793" t="s">
        <v>947</v>
      </c>
      <c r="F2122" s="793" t="s">
        <v>979</v>
      </c>
      <c r="G2122" s="793" t="s">
        <v>785</v>
      </c>
      <c r="H2122" s="793" t="s">
        <v>727</v>
      </c>
      <c r="I2122" s="794">
        <v>0.11201435686441201</v>
      </c>
      <c r="J2122" s="794">
        <v>3681.5063582416178</v>
      </c>
      <c r="K2122" s="771"/>
    </row>
    <row r="2123" spans="1:11" ht="18.75" customHeight="1" outlineLevel="2">
      <c r="A2123" s="791" t="s">
        <v>776</v>
      </c>
      <c r="B2123" s="791" t="s">
        <v>1029</v>
      </c>
      <c r="C2123" s="791" t="s">
        <v>1022</v>
      </c>
      <c r="D2123" s="792" t="s">
        <v>779</v>
      </c>
      <c r="E2123" s="793" t="s">
        <v>947</v>
      </c>
      <c r="F2123" s="793" t="s">
        <v>980</v>
      </c>
      <c r="G2123" s="793" t="s">
        <v>785</v>
      </c>
      <c r="H2123" s="793" t="s">
        <v>727</v>
      </c>
      <c r="I2123" s="794">
        <v>1.835205397077121E-2</v>
      </c>
      <c r="J2123" s="794">
        <v>1487.7476229841902</v>
      </c>
      <c r="K2123" s="771"/>
    </row>
    <row r="2124" spans="1:11" ht="18.75" customHeight="1" outlineLevel="2">
      <c r="A2124" s="791" t="s">
        <v>776</v>
      </c>
      <c r="B2124" s="791" t="s">
        <v>1029</v>
      </c>
      <c r="C2124" s="791" t="s">
        <v>1022</v>
      </c>
      <c r="D2124" s="792" t="s">
        <v>779</v>
      </c>
      <c r="E2124" s="793" t="s">
        <v>947</v>
      </c>
      <c r="F2124" s="793" t="s">
        <v>981</v>
      </c>
      <c r="G2124" s="793" t="s">
        <v>813</v>
      </c>
      <c r="H2124" s="793" t="s">
        <v>814</v>
      </c>
      <c r="I2124" s="794">
        <v>1.1335779150718249E-5</v>
      </c>
      <c r="J2124" s="794">
        <v>0.28411860666718114</v>
      </c>
      <c r="K2124" s="771"/>
    </row>
    <row r="2125" spans="1:11" ht="18.75" customHeight="1" outlineLevel="2">
      <c r="A2125" s="791" t="s">
        <v>776</v>
      </c>
      <c r="B2125" s="791" t="s">
        <v>1029</v>
      </c>
      <c r="C2125" s="791" t="s">
        <v>1022</v>
      </c>
      <c r="D2125" s="792" t="s">
        <v>779</v>
      </c>
      <c r="E2125" s="793" t="s">
        <v>947</v>
      </c>
      <c r="F2125" s="793" t="s">
        <v>982</v>
      </c>
      <c r="G2125" s="793" t="s">
        <v>813</v>
      </c>
      <c r="H2125" s="793" t="s">
        <v>814</v>
      </c>
      <c r="I2125" s="794">
        <v>1.3322904536300652E-3</v>
      </c>
      <c r="J2125" s="794">
        <v>74.629456436880872</v>
      </c>
      <c r="K2125" s="771"/>
    </row>
    <row r="2126" spans="1:11" ht="18.75" customHeight="1" outlineLevel="2">
      <c r="A2126" s="791" t="s">
        <v>776</v>
      </c>
      <c r="B2126" s="791" t="s">
        <v>1029</v>
      </c>
      <c r="C2126" s="791" t="s">
        <v>1022</v>
      </c>
      <c r="D2126" s="792" t="s">
        <v>779</v>
      </c>
      <c r="E2126" s="793" t="s">
        <v>947</v>
      </c>
      <c r="F2126" s="793" t="s">
        <v>983</v>
      </c>
      <c r="G2126" s="793" t="s">
        <v>813</v>
      </c>
      <c r="H2126" s="793" t="s">
        <v>814</v>
      </c>
      <c r="I2126" s="794">
        <v>8.9650631993321725E-2</v>
      </c>
      <c r="J2126" s="794">
        <v>1991.6011873980231</v>
      </c>
      <c r="K2126" s="771"/>
    </row>
    <row r="2127" spans="1:11" ht="18.75" customHeight="1" outlineLevel="2">
      <c r="A2127" s="791" t="s">
        <v>776</v>
      </c>
      <c r="B2127" s="791" t="s">
        <v>1029</v>
      </c>
      <c r="C2127" s="791" t="s">
        <v>1022</v>
      </c>
      <c r="D2127" s="792" t="s">
        <v>779</v>
      </c>
      <c r="E2127" s="793" t="s">
        <v>947</v>
      </c>
      <c r="F2127" s="793" t="s">
        <v>984</v>
      </c>
      <c r="G2127" s="793" t="s">
        <v>813</v>
      </c>
      <c r="H2127" s="793" t="s">
        <v>814</v>
      </c>
      <c r="I2127" s="794">
        <v>2.3576512936511411E-2</v>
      </c>
      <c r="J2127" s="794">
        <v>411.12987100890246</v>
      </c>
      <c r="K2127" s="771"/>
    </row>
    <row r="2128" spans="1:11" ht="18.75" customHeight="1" outlineLevel="2">
      <c r="A2128" s="791" t="s">
        <v>776</v>
      </c>
      <c r="B2128" s="791" t="s">
        <v>1029</v>
      </c>
      <c r="C2128" s="791" t="s">
        <v>1022</v>
      </c>
      <c r="D2128" s="792" t="s">
        <v>779</v>
      </c>
      <c r="E2128" s="793" t="s">
        <v>947</v>
      </c>
      <c r="F2128" s="793" t="s">
        <v>985</v>
      </c>
      <c r="G2128" s="793" t="s">
        <v>813</v>
      </c>
      <c r="H2128" s="793" t="s">
        <v>814</v>
      </c>
      <c r="I2128" s="794">
        <v>5.5725646441646223E-2</v>
      </c>
      <c r="J2128" s="794">
        <v>2714.9491589259533</v>
      </c>
      <c r="K2128" s="771"/>
    </row>
    <row r="2129" spans="1:11" ht="18.75" customHeight="1" outlineLevel="2">
      <c r="A2129" s="791" t="s">
        <v>776</v>
      </c>
      <c r="B2129" s="791" t="s">
        <v>1029</v>
      </c>
      <c r="C2129" s="791" t="s">
        <v>1022</v>
      </c>
      <c r="D2129" s="792" t="s">
        <v>779</v>
      </c>
      <c r="E2129" s="793" t="s">
        <v>947</v>
      </c>
      <c r="F2129" s="793" t="s">
        <v>986</v>
      </c>
      <c r="G2129" s="793" t="s">
        <v>813</v>
      </c>
      <c r="H2129" s="793" t="s">
        <v>814</v>
      </c>
      <c r="I2129" s="794">
        <v>9.5567085273444517E-3</v>
      </c>
      <c r="J2129" s="794">
        <v>319.88938716766637</v>
      </c>
      <c r="K2129" s="771"/>
    </row>
    <row r="2130" spans="1:11" ht="18.75" customHeight="1" outlineLevel="2">
      <c r="A2130" s="791" t="s">
        <v>776</v>
      </c>
      <c r="B2130" s="791" t="s">
        <v>1029</v>
      </c>
      <c r="C2130" s="791" t="s">
        <v>1022</v>
      </c>
      <c r="D2130" s="792" t="s">
        <v>779</v>
      </c>
      <c r="E2130" s="793" t="s">
        <v>947</v>
      </c>
      <c r="F2130" s="793" t="s">
        <v>987</v>
      </c>
      <c r="G2130" s="793" t="s">
        <v>813</v>
      </c>
      <c r="H2130" s="793" t="s">
        <v>814</v>
      </c>
      <c r="I2130" s="794">
        <v>2.6868561493664561E-4</v>
      </c>
      <c r="J2130" s="794">
        <v>8.1226936437214352</v>
      </c>
      <c r="K2130" s="771"/>
    </row>
    <row r="2131" spans="1:11" ht="18.75" customHeight="1" outlineLevel="2">
      <c r="A2131" s="791" t="s">
        <v>776</v>
      </c>
      <c r="B2131" s="791" t="s">
        <v>1029</v>
      </c>
      <c r="C2131" s="791" t="s">
        <v>1022</v>
      </c>
      <c r="D2131" s="792" t="s">
        <v>779</v>
      </c>
      <c r="E2131" s="793" t="s">
        <v>947</v>
      </c>
      <c r="F2131" s="793" t="s">
        <v>988</v>
      </c>
      <c r="G2131" s="793" t="s">
        <v>791</v>
      </c>
      <c r="H2131" s="793" t="s">
        <v>826</v>
      </c>
      <c r="I2131" s="794">
        <v>1.9113463785685046E-5</v>
      </c>
      <c r="J2131" s="794">
        <v>0.16337041127568908</v>
      </c>
      <c r="K2131" s="771"/>
    </row>
    <row r="2132" spans="1:11" ht="18.75" customHeight="1" outlineLevel="2">
      <c r="A2132" s="791" t="s">
        <v>776</v>
      </c>
      <c r="B2132" s="791" t="s">
        <v>1029</v>
      </c>
      <c r="C2132" s="791" t="s">
        <v>1022</v>
      </c>
      <c r="D2132" s="792" t="s">
        <v>779</v>
      </c>
      <c r="E2132" s="793" t="s">
        <v>947</v>
      </c>
      <c r="F2132" s="793" t="s">
        <v>989</v>
      </c>
      <c r="G2132" s="793" t="s">
        <v>791</v>
      </c>
      <c r="H2132" s="793" t="s">
        <v>826</v>
      </c>
      <c r="I2132" s="794">
        <v>0.11561779683802705</v>
      </c>
      <c r="J2132" s="794">
        <v>6783.4959730385262</v>
      </c>
      <c r="K2132" s="771"/>
    </row>
    <row r="2133" spans="1:11" ht="18.75" customHeight="1" outlineLevel="2">
      <c r="A2133" s="791" t="s">
        <v>776</v>
      </c>
      <c r="B2133" s="791" t="s">
        <v>1029</v>
      </c>
      <c r="C2133" s="791" t="s">
        <v>1022</v>
      </c>
      <c r="D2133" s="792" t="s">
        <v>779</v>
      </c>
      <c r="E2133" s="793" t="s">
        <v>947</v>
      </c>
      <c r="F2133" s="793" t="s">
        <v>990</v>
      </c>
      <c r="G2133" s="793" t="s">
        <v>791</v>
      </c>
      <c r="H2133" s="793" t="s">
        <v>826</v>
      </c>
      <c r="I2133" s="794">
        <v>5.5183226577290292E-3</v>
      </c>
      <c r="J2133" s="794">
        <v>608.19837153172216</v>
      </c>
      <c r="K2133" s="771"/>
    </row>
    <row r="2134" spans="1:11" ht="18.75" customHeight="1" outlineLevel="2">
      <c r="A2134" s="791" t="s">
        <v>776</v>
      </c>
      <c r="B2134" s="791" t="s">
        <v>1029</v>
      </c>
      <c r="C2134" s="791" t="s">
        <v>1022</v>
      </c>
      <c r="D2134" s="792" t="s">
        <v>779</v>
      </c>
      <c r="E2134" s="793" t="s">
        <v>947</v>
      </c>
      <c r="F2134" s="793" t="s">
        <v>991</v>
      </c>
      <c r="G2134" s="793" t="s">
        <v>791</v>
      </c>
      <c r="H2134" s="793" t="s">
        <v>826</v>
      </c>
      <c r="I2134" s="794">
        <v>4.3832428936478523E-5</v>
      </c>
      <c r="J2134" s="794">
        <v>3.3664208556520858</v>
      </c>
      <c r="K2134" s="771"/>
    </row>
    <row r="2135" spans="1:11" ht="18.75" customHeight="1" outlineLevel="2">
      <c r="A2135" s="791" t="s">
        <v>776</v>
      </c>
      <c r="B2135" s="791" t="s">
        <v>1029</v>
      </c>
      <c r="C2135" s="791" t="s">
        <v>1022</v>
      </c>
      <c r="D2135" s="792" t="s">
        <v>779</v>
      </c>
      <c r="E2135" s="793" t="s">
        <v>947</v>
      </c>
      <c r="F2135" s="793" t="s">
        <v>992</v>
      </c>
      <c r="G2135" s="793" t="s">
        <v>791</v>
      </c>
      <c r="H2135" s="793" t="s">
        <v>826</v>
      </c>
      <c r="I2135" s="794">
        <v>8.5445059769205772E-6</v>
      </c>
      <c r="J2135" s="794">
        <v>0.70718215534886908</v>
      </c>
      <c r="K2135" s="771"/>
    </row>
    <row r="2136" spans="1:11" ht="18.75" customHeight="1" outlineLevel="2">
      <c r="A2136" s="791" t="s">
        <v>776</v>
      </c>
      <c r="B2136" s="791" t="s">
        <v>1029</v>
      </c>
      <c r="C2136" s="791" t="s">
        <v>1022</v>
      </c>
      <c r="D2136" s="792" t="s">
        <v>779</v>
      </c>
      <c r="E2136" s="793" t="s">
        <v>947</v>
      </c>
      <c r="F2136" s="793" t="s">
        <v>993</v>
      </c>
      <c r="G2136" s="793" t="s">
        <v>791</v>
      </c>
      <c r="H2136" s="793" t="s">
        <v>826</v>
      </c>
      <c r="I2136" s="794">
        <v>5.609457851629225E-4</v>
      </c>
      <c r="J2136" s="794">
        <v>51.577870676952109</v>
      </c>
      <c r="K2136" s="771"/>
    </row>
    <row r="2137" spans="1:11" ht="18.75" customHeight="1" outlineLevel="2">
      <c r="A2137" s="791" t="s">
        <v>776</v>
      </c>
      <c r="B2137" s="791" t="s">
        <v>1029</v>
      </c>
      <c r="C2137" s="791" t="s">
        <v>1022</v>
      </c>
      <c r="D2137" s="792" t="s">
        <v>779</v>
      </c>
      <c r="E2137" s="793" t="s">
        <v>947</v>
      </c>
      <c r="F2137" s="793" t="s">
        <v>994</v>
      </c>
      <c r="G2137" s="793" t="s">
        <v>791</v>
      </c>
      <c r="H2137" s="793" t="s">
        <v>826</v>
      </c>
      <c r="I2137" s="794">
        <v>1.1859832651414688E-6</v>
      </c>
      <c r="J2137" s="794">
        <v>0.14270011316069353</v>
      </c>
      <c r="K2137" s="771"/>
    </row>
    <row r="2138" spans="1:11" ht="18.75" customHeight="1" outlineLevel="2">
      <c r="A2138" s="791" t="s">
        <v>776</v>
      </c>
      <c r="B2138" s="791" t="s">
        <v>1029</v>
      </c>
      <c r="C2138" s="791" t="s">
        <v>1022</v>
      </c>
      <c r="D2138" s="792" t="s">
        <v>779</v>
      </c>
      <c r="E2138" s="793" t="s">
        <v>947</v>
      </c>
      <c r="F2138" s="793" t="s">
        <v>995</v>
      </c>
      <c r="G2138" s="793" t="s">
        <v>791</v>
      </c>
      <c r="H2138" s="793" t="s">
        <v>826</v>
      </c>
      <c r="I2138" s="794">
        <v>5.0488639779618755E-4</v>
      </c>
      <c r="J2138" s="794">
        <v>47.690566871105077</v>
      </c>
      <c r="K2138" s="771"/>
    </row>
    <row r="2139" spans="1:11" ht="18.75" customHeight="1" outlineLevel="2">
      <c r="A2139" s="791" t="s">
        <v>776</v>
      </c>
      <c r="B2139" s="791" t="s">
        <v>1029</v>
      </c>
      <c r="C2139" s="791" t="s">
        <v>1022</v>
      </c>
      <c r="D2139" s="792" t="s">
        <v>779</v>
      </c>
      <c r="E2139" s="793" t="s">
        <v>947</v>
      </c>
      <c r="F2139" s="793" t="s">
        <v>996</v>
      </c>
      <c r="G2139" s="793" t="s">
        <v>791</v>
      </c>
      <c r="H2139" s="793" t="s">
        <v>826</v>
      </c>
      <c r="I2139" s="794">
        <v>1.4927864942010757E-3</v>
      </c>
      <c r="J2139" s="794">
        <v>132.71498896035931</v>
      </c>
      <c r="K2139" s="771"/>
    </row>
    <row r="2140" spans="1:11" ht="18.75" customHeight="1" outlineLevel="2">
      <c r="A2140" s="791" t="s">
        <v>776</v>
      </c>
      <c r="B2140" s="791" t="s">
        <v>1029</v>
      </c>
      <c r="C2140" s="791" t="s">
        <v>1022</v>
      </c>
      <c r="D2140" s="792" t="s">
        <v>779</v>
      </c>
      <c r="E2140" s="793" t="s">
        <v>947</v>
      </c>
      <c r="F2140" s="793" t="s">
        <v>997</v>
      </c>
      <c r="G2140" s="793" t="s">
        <v>791</v>
      </c>
      <c r="H2140" s="793" t="s">
        <v>826</v>
      </c>
      <c r="I2140" s="794">
        <v>2.2639873050069917E-3</v>
      </c>
      <c r="J2140" s="794">
        <v>97.86027200598997</v>
      </c>
      <c r="K2140" s="771"/>
    </row>
    <row r="2141" spans="1:11" ht="18.75" customHeight="1" outlineLevel="2">
      <c r="A2141" s="791" t="s">
        <v>776</v>
      </c>
      <c r="B2141" s="791" t="s">
        <v>1029</v>
      </c>
      <c r="C2141" s="791" t="s">
        <v>1022</v>
      </c>
      <c r="D2141" s="792" t="s">
        <v>779</v>
      </c>
      <c r="E2141" s="793" t="s">
        <v>947</v>
      </c>
      <c r="F2141" s="793" t="s">
        <v>998</v>
      </c>
      <c r="G2141" s="793" t="s">
        <v>794</v>
      </c>
      <c r="H2141" s="793" t="s">
        <v>828</v>
      </c>
      <c r="I2141" s="794">
        <v>4.2062087471727426E-2</v>
      </c>
      <c r="J2141" s="794">
        <v>1538.0832410243634</v>
      </c>
      <c r="K2141" s="771"/>
    </row>
    <row r="2142" spans="1:11" ht="18.75" customHeight="1" outlineLevel="2">
      <c r="A2142" s="791" t="s">
        <v>776</v>
      </c>
      <c r="B2142" s="791" t="s">
        <v>1029</v>
      </c>
      <c r="C2142" s="791" t="s">
        <v>1022</v>
      </c>
      <c r="D2142" s="792" t="s">
        <v>779</v>
      </c>
      <c r="E2142" s="793" t="s">
        <v>947</v>
      </c>
      <c r="F2142" s="793" t="s">
        <v>999</v>
      </c>
      <c r="G2142" s="793" t="s">
        <v>794</v>
      </c>
      <c r="H2142" s="793" t="s">
        <v>828</v>
      </c>
      <c r="I2142" s="794">
        <v>9.9195342163431819E-3</v>
      </c>
      <c r="J2142" s="794">
        <v>363.01567349713685</v>
      </c>
      <c r="K2142" s="771"/>
    </row>
    <row r="2143" spans="1:11" ht="18.75" customHeight="1" outlineLevel="2">
      <c r="A2143" s="791" t="s">
        <v>776</v>
      </c>
      <c r="B2143" s="791" t="s">
        <v>1029</v>
      </c>
      <c r="C2143" s="791" t="s">
        <v>1022</v>
      </c>
      <c r="D2143" s="792" t="s">
        <v>779</v>
      </c>
      <c r="E2143" s="793" t="s">
        <v>947</v>
      </c>
      <c r="F2143" s="793" t="s">
        <v>1000</v>
      </c>
      <c r="G2143" s="793" t="s">
        <v>794</v>
      </c>
      <c r="H2143" s="793" t="s">
        <v>828</v>
      </c>
      <c r="I2143" s="794">
        <v>2.7839959368937225E-2</v>
      </c>
      <c r="J2143" s="794">
        <v>1007.1429117562939</v>
      </c>
      <c r="K2143" s="771"/>
    </row>
    <row r="2144" spans="1:11" ht="18.75" customHeight="1" outlineLevel="2">
      <c r="A2144" s="791" t="s">
        <v>776</v>
      </c>
      <c r="B2144" s="791" t="s">
        <v>1029</v>
      </c>
      <c r="C2144" s="791" t="s">
        <v>1022</v>
      </c>
      <c r="D2144" s="792" t="s">
        <v>779</v>
      </c>
      <c r="E2144" s="793" t="s">
        <v>947</v>
      </c>
      <c r="F2144" s="793" t="s">
        <v>1001</v>
      </c>
      <c r="G2144" s="793" t="s">
        <v>794</v>
      </c>
      <c r="H2144" s="793" t="s">
        <v>828</v>
      </c>
      <c r="I2144" s="794">
        <v>2.3508528698824867E-2</v>
      </c>
      <c r="J2144" s="794">
        <v>511.3571708280956</v>
      </c>
      <c r="K2144" s="771"/>
    </row>
    <row r="2145" spans="1:11" ht="18.75" customHeight="1" outlineLevel="2">
      <c r="A2145" s="791" t="s">
        <v>776</v>
      </c>
      <c r="B2145" s="791" t="s">
        <v>1029</v>
      </c>
      <c r="C2145" s="791" t="s">
        <v>1022</v>
      </c>
      <c r="D2145" s="792" t="s">
        <v>779</v>
      </c>
      <c r="E2145" s="793" t="s">
        <v>947</v>
      </c>
      <c r="F2145" s="793" t="s">
        <v>1002</v>
      </c>
      <c r="G2145" s="793" t="s">
        <v>794</v>
      </c>
      <c r="H2145" s="793" t="s">
        <v>828</v>
      </c>
      <c r="I2145" s="794">
        <v>1.1694173770992408E-3</v>
      </c>
      <c r="J2145" s="794">
        <v>49.179731991508277</v>
      </c>
      <c r="K2145" s="771"/>
    </row>
    <row r="2146" spans="1:11" ht="18.75" customHeight="1" outlineLevel="2">
      <c r="A2146" s="791" t="s">
        <v>776</v>
      </c>
      <c r="B2146" s="791" t="s">
        <v>1029</v>
      </c>
      <c r="C2146" s="791" t="s">
        <v>1022</v>
      </c>
      <c r="D2146" s="792" t="s">
        <v>779</v>
      </c>
      <c r="E2146" s="793" t="s">
        <v>947</v>
      </c>
      <c r="F2146" s="793" t="s">
        <v>1003</v>
      </c>
      <c r="G2146" s="793" t="s">
        <v>794</v>
      </c>
      <c r="H2146" s="793" t="s">
        <v>828</v>
      </c>
      <c r="I2146" s="794">
        <v>1.3528826148350842E-3</v>
      </c>
      <c r="J2146" s="794">
        <v>43.528003079329615</v>
      </c>
      <c r="K2146" s="771"/>
    </row>
    <row r="2147" spans="1:11" ht="18.75" customHeight="1" outlineLevel="2">
      <c r="A2147" s="791" t="s">
        <v>776</v>
      </c>
      <c r="B2147" s="791" t="s">
        <v>1029</v>
      </c>
      <c r="C2147" s="791" t="s">
        <v>1022</v>
      </c>
      <c r="D2147" s="792" t="s">
        <v>779</v>
      </c>
      <c r="E2147" s="793" t="s">
        <v>947</v>
      </c>
      <c r="F2147" s="793" t="s">
        <v>1004</v>
      </c>
      <c r="G2147" s="793" t="s">
        <v>833</v>
      </c>
      <c r="H2147" s="793" t="s">
        <v>834</v>
      </c>
      <c r="I2147" s="794">
        <v>1.8596038744509416E-3</v>
      </c>
      <c r="J2147" s="794">
        <v>121.87447609517548</v>
      </c>
      <c r="K2147" s="771"/>
    </row>
    <row r="2148" spans="1:11" ht="18.75" customHeight="1" outlineLevel="2">
      <c r="A2148" s="791" t="s">
        <v>776</v>
      </c>
      <c r="B2148" s="791" t="s">
        <v>1029</v>
      </c>
      <c r="C2148" s="791" t="s">
        <v>1022</v>
      </c>
      <c r="D2148" s="792" t="s">
        <v>779</v>
      </c>
      <c r="E2148" s="793" t="s">
        <v>947</v>
      </c>
      <c r="F2148" s="793" t="s">
        <v>1007</v>
      </c>
      <c r="G2148" s="793" t="s">
        <v>244</v>
      </c>
      <c r="H2148" s="793" t="s">
        <v>911</v>
      </c>
      <c r="I2148" s="794">
        <v>1.321062764306101E-2</v>
      </c>
      <c r="J2148" s="794">
        <v>294.52010088520097</v>
      </c>
      <c r="K2148" s="771"/>
    </row>
    <row r="2149" spans="1:11" ht="18.75" customHeight="1" outlineLevel="2">
      <c r="A2149" s="791" t="s">
        <v>776</v>
      </c>
      <c r="B2149" s="791" t="s">
        <v>1029</v>
      </c>
      <c r="C2149" s="791" t="s">
        <v>1022</v>
      </c>
      <c r="D2149" s="792" t="s">
        <v>1010</v>
      </c>
      <c r="E2149" s="793" t="s">
        <v>662</v>
      </c>
      <c r="F2149" s="793" t="s">
        <v>1011</v>
      </c>
      <c r="G2149" s="793" t="s">
        <v>1012</v>
      </c>
      <c r="H2149" s="793" t="s">
        <v>1013</v>
      </c>
      <c r="I2149" s="794">
        <v>3.102410644180486E-5</v>
      </c>
      <c r="J2149" s="794">
        <v>0.10447793173385374</v>
      </c>
      <c r="K2149" s="771"/>
    </row>
    <row r="2150" spans="1:11" ht="18.75" customHeight="1" outlineLevel="2">
      <c r="A2150" s="791" t="s">
        <v>776</v>
      </c>
      <c r="B2150" s="791" t="s">
        <v>1029</v>
      </c>
      <c r="C2150" s="791" t="s">
        <v>1022</v>
      </c>
      <c r="D2150" s="792" t="s">
        <v>1010</v>
      </c>
      <c r="E2150" s="793" t="s">
        <v>763</v>
      </c>
      <c r="F2150" s="793" t="s">
        <v>1014</v>
      </c>
      <c r="G2150" s="793" t="s">
        <v>1012</v>
      </c>
      <c r="H2150" s="793" t="s">
        <v>913</v>
      </c>
      <c r="I2150" s="794">
        <v>3.4781417422900044E-6</v>
      </c>
      <c r="J2150" s="794">
        <v>5.8295152425343298E-2</v>
      </c>
      <c r="K2150" s="771"/>
    </row>
    <row r="2151" spans="1:11" ht="18.75" customHeight="1" outlineLevel="2">
      <c r="A2151" s="791" t="s">
        <v>776</v>
      </c>
      <c r="B2151" s="791" t="s">
        <v>1029</v>
      </c>
      <c r="C2151" s="791" t="s">
        <v>1022</v>
      </c>
      <c r="D2151" s="792" t="s">
        <v>1010</v>
      </c>
      <c r="E2151" s="793" t="s">
        <v>947</v>
      </c>
      <c r="F2151" s="793" t="s">
        <v>1015</v>
      </c>
      <c r="G2151" s="793" t="s">
        <v>1012</v>
      </c>
      <c r="H2151" s="793" t="s">
        <v>1013</v>
      </c>
      <c r="I2151" s="794">
        <v>6.0545885165141465E-5</v>
      </c>
      <c r="J2151" s="794">
        <v>3.2244281045791614</v>
      </c>
      <c r="K2151" s="771"/>
    </row>
    <row r="2152" spans="1:11" ht="18.75" customHeight="1" outlineLevel="2">
      <c r="A2152" s="791" t="s">
        <v>776</v>
      </c>
      <c r="B2152" s="791" t="s">
        <v>1030</v>
      </c>
      <c r="C2152" s="791" t="s">
        <v>778</v>
      </c>
      <c r="D2152" s="792" t="s">
        <v>779</v>
      </c>
      <c r="E2152" s="793" t="s">
        <v>780</v>
      </c>
      <c r="F2152" s="793" t="s">
        <v>781</v>
      </c>
      <c r="G2152" s="793" t="s">
        <v>782</v>
      </c>
      <c r="H2152" s="793" t="s">
        <v>783</v>
      </c>
      <c r="I2152" s="794">
        <v>2.9572983140980533E-3</v>
      </c>
      <c r="J2152" s="794">
        <v>4.3502543745051588E-2</v>
      </c>
      <c r="K2152" s="771"/>
    </row>
    <row r="2153" spans="1:11" ht="18.75" customHeight="1" outlineLevel="2">
      <c r="A2153" s="791" t="s">
        <v>776</v>
      </c>
      <c r="B2153" s="791" t="s">
        <v>1030</v>
      </c>
      <c r="C2153" s="791" t="s">
        <v>778</v>
      </c>
      <c r="D2153" s="792" t="s">
        <v>779</v>
      </c>
      <c r="E2153" s="793" t="s">
        <v>780</v>
      </c>
      <c r="F2153" s="793" t="s">
        <v>784</v>
      </c>
      <c r="G2153" s="793" t="s">
        <v>785</v>
      </c>
      <c r="H2153" s="793" t="s">
        <v>783</v>
      </c>
      <c r="I2153" s="794">
        <v>0.36762267093599305</v>
      </c>
      <c r="J2153" s="794">
        <v>59.699744540582806</v>
      </c>
      <c r="K2153" s="771"/>
    </row>
    <row r="2154" spans="1:11" ht="18.75" customHeight="1" outlineLevel="2">
      <c r="A2154" s="791" t="s">
        <v>776</v>
      </c>
      <c r="B2154" s="791" t="s">
        <v>1030</v>
      </c>
      <c r="C2154" s="791" t="s">
        <v>778</v>
      </c>
      <c r="D2154" s="792" t="s">
        <v>779</v>
      </c>
      <c r="E2154" s="793" t="s">
        <v>780</v>
      </c>
      <c r="F2154" s="793" t="s">
        <v>786</v>
      </c>
      <c r="G2154" s="793" t="s">
        <v>785</v>
      </c>
      <c r="H2154" s="793" t="s">
        <v>783</v>
      </c>
      <c r="I2154" s="794">
        <v>2.9854616841672101E-4</v>
      </c>
      <c r="J2154" s="794">
        <v>5.0576253641425865E-2</v>
      </c>
      <c r="K2154" s="771"/>
    </row>
    <row r="2155" spans="1:11" ht="18.75" customHeight="1" outlineLevel="2">
      <c r="A2155" s="791" t="s">
        <v>776</v>
      </c>
      <c r="B2155" s="791" t="s">
        <v>1030</v>
      </c>
      <c r="C2155" s="791" t="s">
        <v>778</v>
      </c>
      <c r="D2155" s="792" t="s">
        <v>779</v>
      </c>
      <c r="E2155" s="793" t="s">
        <v>780</v>
      </c>
      <c r="F2155" s="793" t="s">
        <v>787</v>
      </c>
      <c r="G2155" s="793" t="s">
        <v>785</v>
      </c>
      <c r="H2155" s="793" t="s">
        <v>783</v>
      </c>
      <c r="I2155" s="794">
        <v>1.5002734260410126E-4</v>
      </c>
      <c r="J2155" s="794">
        <v>2.7560623147622098E-2</v>
      </c>
      <c r="K2155" s="771"/>
    </row>
    <row r="2156" spans="1:11" ht="18.75" customHeight="1" outlineLevel="2">
      <c r="A2156" s="791" t="s">
        <v>776</v>
      </c>
      <c r="B2156" s="791" t="s">
        <v>1030</v>
      </c>
      <c r="C2156" s="791" t="s">
        <v>778</v>
      </c>
      <c r="D2156" s="792" t="s">
        <v>779</v>
      </c>
      <c r="E2156" s="793" t="s">
        <v>780</v>
      </c>
      <c r="F2156" s="793" t="s">
        <v>788</v>
      </c>
      <c r="G2156" s="793" t="s">
        <v>785</v>
      </c>
      <c r="H2156" s="793" t="s">
        <v>783</v>
      </c>
      <c r="I2156" s="794">
        <v>1.2667312933186564E-3</v>
      </c>
      <c r="J2156" s="794">
        <v>0.20177905298440946</v>
      </c>
      <c r="K2156" s="771"/>
    </row>
    <row r="2157" spans="1:11" ht="18.75" customHeight="1" outlineLevel="2">
      <c r="A2157" s="791" t="s">
        <v>776</v>
      </c>
      <c r="B2157" s="791" t="s">
        <v>1030</v>
      </c>
      <c r="C2157" s="791" t="s">
        <v>778</v>
      </c>
      <c r="D2157" s="792" t="s">
        <v>779</v>
      </c>
      <c r="E2157" s="793" t="s">
        <v>780</v>
      </c>
      <c r="F2157" s="793" t="s">
        <v>789</v>
      </c>
      <c r="G2157" s="793" t="s">
        <v>785</v>
      </c>
      <c r="H2157" s="793" t="s">
        <v>783</v>
      </c>
      <c r="I2157" s="794">
        <v>1.3732362642595451E-3</v>
      </c>
      <c r="J2157" s="794">
        <v>0.33780446218475335</v>
      </c>
      <c r="K2157" s="771"/>
    </row>
    <row r="2158" spans="1:11" ht="18.75" customHeight="1" outlineLevel="2">
      <c r="A2158" s="791" t="s">
        <v>776</v>
      </c>
      <c r="B2158" s="791" t="s">
        <v>1030</v>
      </c>
      <c r="C2158" s="791" t="s">
        <v>778</v>
      </c>
      <c r="D2158" s="792" t="s">
        <v>779</v>
      </c>
      <c r="E2158" s="793" t="s">
        <v>780</v>
      </c>
      <c r="F2158" s="793" t="s">
        <v>790</v>
      </c>
      <c r="G2158" s="793" t="s">
        <v>791</v>
      </c>
      <c r="H2158" s="793" t="s">
        <v>783</v>
      </c>
      <c r="I2158" s="794">
        <v>3.512897686420627E-3</v>
      </c>
      <c r="J2158" s="794">
        <v>4.6661501648097403E-2</v>
      </c>
      <c r="K2158" s="771"/>
    </row>
    <row r="2159" spans="1:11" ht="18.75" customHeight="1" outlineLevel="2">
      <c r="A2159" s="791" t="s">
        <v>776</v>
      </c>
      <c r="B2159" s="791" t="s">
        <v>1030</v>
      </c>
      <c r="C2159" s="791" t="s">
        <v>778</v>
      </c>
      <c r="D2159" s="792" t="s">
        <v>779</v>
      </c>
      <c r="E2159" s="793" t="s">
        <v>780</v>
      </c>
      <c r="F2159" s="793" t="s">
        <v>792</v>
      </c>
      <c r="G2159" s="793" t="s">
        <v>791</v>
      </c>
      <c r="H2159" s="793" t="s">
        <v>783</v>
      </c>
      <c r="I2159" s="794">
        <v>2.6075680310960459E-2</v>
      </c>
      <c r="J2159" s="794">
        <v>5.0641482931888993</v>
      </c>
      <c r="K2159" s="771"/>
    </row>
    <row r="2160" spans="1:11" ht="18.75" customHeight="1" outlineLevel="2">
      <c r="A2160" s="791" t="s">
        <v>776</v>
      </c>
      <c r="B2160" s="791" t="s">
        <v>1030</v>
      </c>
      <c r="C2160" s="791" t="s">
        <v>778</v>
      </c>
      <c r="D2160" s="792" t="s">
        <v>779</v>
      </c>
      <c r="E2160" s="793" t="s">
        <v>780</v>
      </c>
      <c r="F2160" s="793" t="s">
        <v>793</v>
      </c>
      <c r="G2160" s="793" t="s">
        <v>794</v>
      </c>
      <c r="H2160" s="793" t="s">
        <v>783</v>
      </c>
      <c r="I2160" s="794">
        <v>0.35064885607235052</v>
      </c>
      <c r="J2160" s="794">
        <v>9.1002706883166606</v>
      </c>
      <c r="K2160" s="771"/>
    </row>
    <row r="2161" spans="1:11" ht="18.75" customHeight="1" outlineLevel="2">
      <c r="A2161" s="791" t="s">
        <v>776</v>
      </c>
      <c r="B2161" s="791" t="s">
        <v>1030</v>
      </c>
      <c r="C2161" s="791" t="s">
        <v>778</v>
      </c>
      <c r="D2161" s="792" t="s">
        <v>779</v>
      </c>
      <c r="E2161" s="793" t="s">
        <v>780</v>
      </c>
      <c r="F2161" s="793" t="s">
        <v>795</v>
      </c>
      <c r="G2161" s="793" t="s">
        <v>794</v>
      </c>
      <c r="H2161" s="793" t="s">
        <v>783</v>
      </c>
      <c r="I2161" s="794">
        <v>1.0603570031467953E-2</v>
      </c>
      <c r="J2161" s="794">
        <v>0.43446245829803715</v>
      </c>
      <c r="K2161" s="771"/>
    </row>
    <row r="2162" spans="1:11" ht="18.75" customHeight="1" outlineLevel="2">
      <c r="A2162" s="791" t="s">
        <v>776</v>
      </c>
      <c r="B2162" s="791" t="s">
        <v>1030</v>
      </c>
      <c r="C2162" s="791" t="s">
        <v>778</v>
      </c>
      <c r="D2162" s="792" t="s">
        <v>779</v>
      </c>
      <c r="E2162" s="793" t="s">
        <v>780</v>
      </c>
      <c r="F2162" s="793" t="s">
        <v>796</v>
      </c>
      <c r="G2162" s="793" t="s">
        <v>794</v>
      </c>
      <c r="H2162" s="793" t="s">
        <v>783</v>
      </c>
      <c r="I2162" s="794">
        <v>5.5114764986874936E-3</v>
      </c>
      <c r="J2162" s="794">
        <v>0.6351347930453406</v>
      </c>
      <c r="K2162" s="771"/>
    </row>
    <row r="2163" spans="1:11" ht="18.75" customHeight="1" outlineLevel="2">
      <c r="A2163" s="791" t="s">
        <v>776</v>
      </c>
      <c r="B2163" s="791" t="s">
        <v>1030</v>
      </c>
      <c r="C2163" s="791" t="s">
        <v>778</v>
      </c>
      <c r="D2163" s="792" t="s">
        <v>779</v>
      </c>
      <c r="E2163" s="793" t="s">
        <v>780</v>
      </c>
      <c r="F2163" s="793" t="s">
        <v>797</v>
      </c>
      <c r="G2163" s="793" t="s">
        <v>794</v>
      </c>
      <c r="H2163" s="793" t="s">
        <v>783</v>
      </c>
      <c r="I2163" s="794">
        <v>0.10777970540823516</v>
      </c>
      <c r="J2163" s="794">
        <v>22.554573198066656</v>
      </c>
      <c r="K2163" s="771"/>
    </row>
    <row r="2164" spans="1:11" ht="18.75" customHeight="1" outlineLevel="2">
      <c r="A2164" s="791" t="s">
        <v>776</v>
      </c>
      <c r="B2164" s="791" t="s">
        <v>1030</v>
      </c>
      <c r="C2164" s="791" t="s">
        <v>778</v>
      </c>
      <c r="D2164" s="792" t="s">
        <v>779</v>
      </c>
      <c r="E2164" s="793" t="s">
        <v>662</v>
      </c>
      <c r="F2164" s="793" t="s">
        <v>798</v>
      </c>
      <c r="G2164" s="793" t="s">
        <v>799</v>
      </c>
      <c r="H2164" s="793" t="s">
        <v>800</v>
      </c>
      <c r="I2164" s="794">
        <v>0.62709222247279717</v>
      </c>
      <c r="J2164" s="794">
        <v>180.18387379956295</v>
      </c>
      <c r="K2164" s="771"/>
    </row>
    <row r="2165" spans="1:11" ht="18.75" customHeight="1" outlineLevel="2">
      <c r="A2165" s="791" t="s">
        <v>776</v>
      </c>
      <c r="B2165" s="791" t="s">
        <v>1030</v>
      </c>
      <c r="C2165" s="791" t="s">
        <v>778</v>
      </c>
      <c r="D2165" s="792" t="s">
        <v>779</v>
      </c>
      <c r="E2165" s="793" t="s">
        <v>662</v>
      </c>
      <c r="F2165" s="793" t="s">
        <v>1031</v>
      </c>
      <c r="G2165" s="793" t="s">
        <v>799</v>
      </c>
      <c r="H2165" s="793" t="s">
        <v>800</v>
      </c>
      <c r="I2165" s="794">
        <v>0.42499322922334926</v>
      </c>
      <c r="J2165" s="794">
        <v>587.5818795762458</v>
      </c>
      <c r="K2165" s="771"/>
    </row>
    <row r="2166" spans="1:11" ht="18.75" customHeight="1" outlineLevel="2">
      <c r="A2166" s="791" t="s">
        <v>776</v>
      </c>
      <c r="B2166" s="791" t="s">
        <v>1030</v>
      </c>
      <c r="C2166" s="791" t="s">
        <v>778</v>
      </c>
      <c r="D2166" s="792" t="s">
        <v>779</v>
      </c>
      <c r="E2166" s="793" t="s">
        <v>662</v>
      </c>
      <c r="F2166" s="793" t="s">
        <v>801</v>
      </c>
      <c r="G2166" s="793" t="s">
        <v>799</v>
      </c>
      <c r="H2166" s="793" t="s">
        <v>800</v>
      </c>
      <c r="I2166" s="794">
        <v>0.19155200138827846</v>
      </c>
      <c r="J2166" s="794">
        <v>77.381798849913594</v>
      </c>
      <c r="K2166" s="771"/>
    </row>
    <row r="2167" spans="1:11" ht="18.75" customHeight="1" outlineLevel="2">
      <c r="A2167" s="791" t="s">
        <v>776</v>
      </c>
      <c r="B2167" s="791" t="s">
        <v>1030</v>
      </c>
      <c r="C2167" s="791" t="s">
        <v>778</v>
      </c>
      <c r="D2167" s="792" t="s">
        <v>779</v>
      </c>
      <c r="E2167" s="793" t="s">
        <v>662</v>
      </c>
      <c r="F2167" s="793" t="s">
        <v>802</v>
      </c>
      <c r="G2167" s="793" t="s">
        <v>799</v>
      </c>
      <c r="H2167" s="793" t="s">
        <v>800</v>
      </c>
      <c r="I2167" s="794">
        <v>8.7185679491838947E-2</v>
      </c>
      <c r="J2167" s="794">
        <v>112.12724707176625</v>
      </c>
      <c r="K2167" s="771"/>
    </row>
    <row r="2168" spans="1:11" ht="18.75" customHeight="1" outlineLevel="2">
      <c r="A2168" s="791" t="s">
        <v>776</v>
      </c>
      <c r="B2168" s="791" t="s">
        <v>1030</v>
      </c>
      <c r="C2168" s="791" t="s">
        <v>778</v>
      </c>
      <c r="D2168" s="792" t="s">
        <v>779</v>
      </c>
      <c r="E2168" s="793" t="s">
        <v>662</v>
      </c>
      <c r="F2168" s="793" t="s">
        <v>803</v>
      </c>
      <c r="G2168" s="793" t="s">
        <v>782</v>
      </c>
      <c r="H2168" s="793" t="s">
        <v>804</v>
      </c>
      <c r="I2168" s="794">
        <v>9.1411662050743508E-3</v>
      </c>
      <c r="J2168" s="794">
        <v>5.6719104693598945</v>
      </c>
      <c r="K2168" s="771"/>
    </row>
    <row r="2169" spans="1:11" ht="18.75" customHeight="1" outlineLevel="2">
      <c r="A2169" s="791" t="s">
        <v>776</v>
      </c>
      <c r="B2169" s="791" t="s">
        <v>1030</v>
      </c>
      <c r="C2169" s="791" t="s">
        <v>778</v>
      </c>
      <c r="D2169" s="792" t="s">
        <v>779</v>
      </c>
      <c r="E2169" s="793" t="s">
        <v>662</v>
      </c>
      <c r="F2169" s="793" t="s">
        <v>805</v>
      </c>
      <c r="G2169" s="793" t="s">
        <v>782</v>
      </c>
      <c r="H2169" s="793" t="s">
        <v>804</v>
      </c>
      <c r="I2169" s="794">
        <v>7.5862036367686683E-4</v>
      </c>
      <c r="J2169" s="794">
        <v>0.36740468369419482</v>
      </c>
      <c r="K2169" s="771"/>
    </row>
    <row r="2170" spans="1:11" ht="18.75" customHeight="1" outlineLevel="2">
      <c r="A2170" s="791" t="s">
        <v>776</v>
      </c>
      <c r="B2170" s="791" t="s">
        <v>1030</v>
      </c>
      <c r="C2170" s="791" t="s">
        <v>778</v>
      </c>
      <c r="D2170" s="792" t="s">
        <v>779</v>
      </c>
      <c r="E2170" s="793" t="s">
        <v>662</v>
      </c>
      <c r="F2170" s="793" t="s">
        <v>806</v>
      </c>
      <c r="G2170" s="793" t="s">
        <v>782</v>
      </c>
      <c r="H2170" s="793" t="s">
        <v>804</v>
      </c>
      <c r="I2170" s="794">
        <v>9.1934845087985391E-4</v>
      </c>
      <c r="J2170" s="794">
        <v>0.43915280524778222</v>
      </c>
      <c r="K2170" s="771"/>
    </row>
    <row r="2171" spans="1:11" ht="18.75" customHeight="1" outlineLevel="2">
      <c r="A2171" s="791" t="s">
        <v>776</v>
      </c>
      <c r="B2171" s="791" t="s">
        <v>1030</v>
      </c>
      <c r="C2171" s="791" t="s">
        <v>778</v>
      </c>
      <c r="D2171" s="792" t="s">
        <v>779</v>
      </c>
      <c r="E2171" s="793" t="s">
        <v>662</v>
      </c>
      <c r="F2171" s="793" t="s">
        <v>807</v>
      </c>
      <c r="G2171" s="793" t="s">
        <v>782</v>
      </c>
      <c r="H2171" s="793" t="s">
        <v>804</v>
      </c>
      <c r="I2171" s="794">
        <v>6.7989776421481152E-6</v>
      </c>
      <c r="J2171" s="794">
        <v>3.0428572265139794E-3</v>
      </c>
      <c r="K2171" s="771"/>
    </row>
    <row r="2172" spans="1:11" ht="18.75" customHeight="1" outlineLevel="2">
      <c r="A2172" s="791" t="s">
        <v>776</v>
      </c>
      <c r="B2172" s="791" t="s">
        <v>1030</v>
      </c>
      <c r="C2172" s="791" t="s">
        <v>778</v>
      </c>
      <c r="D2172" s="792" t="s">
        <v>779</v>
      </c>
      <c r="E2172" s="793" t="s">
        <v>662</v>
      </c>
      <c r="F2172" s="793" t="s">
        <v>808</v>
      </c>
      <c r="G2172" s="793" t="s">
        <v>782</v>
      </c>
      <c r="H2172" s="793" t="s">
        <v>804</v>
      </c>
      <c r="I2172" s="794">
        <v>2.6206759130817388E-2</v>
      </c>
      <c r="J2172" s="794">
        <v>14.63343670923661</v>
      </c>
      <c r="K2172" s="771"/>
    </row>
    <row r="2173" spans="1:11" ht="18.75" customHeight="1" outlineLevel="2">
      <c r="A2173" s="791" t="s">
        <v>776</v>
      </c>
      <c r="B2173" s="791" t="s">
        <v>1030</v>
      </c>
      <c r="C2173" s="791" t="s">
        <v>778</v>
      </c>
      <c r="D2173" s="792" t="s">
        <v>779</v>
      </c>
      <c r="E2173" s="793" t="s">
        <v>662</v>
      </c>
      <c r="F2173" s="793" t="s">
        <v>809</v>
      </c>
      <c r="G2173" s="793" t="s">
        <v>782</v>
      </c>
      <c r="H2173" s="793" t="s">
        <v>804</v>
      </c>
      <c r="I2173" s="794">
        <v>1.9161538676765009E-4</v>
      </c>
      <c r="J2173" s="794">
        <v>8.5756791485468831E-2</v>
      </c>
      <c r="K2173" s="771"/>
    </row>
    <row r="2174" spans="1:11" ht="18.75" customHeight="1" outlineLevel="2">
      <c r="A2174" s="791" t="s">
        <v>776</v>
      </c>
      <c r="B2174" s="791" t="s">
        <v>1030</v>
      </c>
      <c r="C2174" s="791" t="s">
        <v>778</v>
      </c>
      <c r="D2174" s="792" t="s">
        <v>779</v>
      </c>
      <c r="E2174" s="793" t="s">
        <v>662</v>
      </c>
      <c r="F2174" s="793" t="s">
        <v>810</v>
      </c>
      <c r="G2174" s="793" t="s">
        <v>785</v>
      </c>
      <c r="H2174" s="793" t="s">
        <v>727</v>
      </c>
      <c r="I2174" s="794">
        <v>3.6409379338523914E-4</v>
      </c>
      <c r="J2174" s="794">
        <v>0.16294875617386501</v>
      </c>
      <c r="K2174" s="771"/>
    </row>
    <row r="2175" spans="1:11" ht="18.75" customHeight="1" outlineLevel="2">
      <c r="A2175" s="791" t="s">
        <v>776</v>
      </c>
      <c r="B2175" s="791" t="s">
        <v>1030</v>
      </c>
      <c r="C2175" s="791" t="s">
        <v>778</v>
      </c>
      <c r="D2175" s="792" t="s">
        <v>779</v>
      </c>
      <c r="E2175" s="793" t="s">
        <v>662</v>
      </c>
      <c r="F2175" s="793" t="s">
        <v>811</v>
      </c>
      <c r="G2175" s="793" t="s">
        <v>785</v>
      </c>
      <c r="H2175" s="793" t="s">
        <v>727</v>
      </c>
      <c r="I2175" s="794">
        <v>2.7860960700697652E-5</v>
      </c>
      <c r="J2175" s="794">
        <v>1.2469064306973587E-2</v>
      </c>
      <c r="K2175" s="771"/>
    </row>
    <row r="2176" spans="1:11" ht="18.75" customHeight="1" outlineLevel="2">
      <c r="A2176" s="791" t="s">
        <v>776</v>
      </c>
      <c r="B2176" s="791" t="s">
        <v>1030</v>
      </c>
      <c r="C2176" s="791" t="s">
        <v>778</v>
      </c>
      <c r="D2176" s="792" t="s">
        <v>779</v>
      </c>
      <c r="E2176" s="793" t="s">
        <v>662</v>
      </c>
      <c r="F2176" s="793" t="s">
        <v>812</v>
      </c>
      <c r="G2176" s="793" t="s">
        <v>813</v>
      </c>
      <c r="H2176" s="793" t="s">
        <v>814</v>
      </c>
      <c r="I2176" s="794">
        <v>2.7166129676951746E-3</v>
      </c>
      <c r="J2176" s="794">
        <v>1.4877963921039519</v>
      </c>
      <c r="K2176" s="771"/>
    </row>
    <row r="2177" spans="1:11" ht="18.75" customHeight="1" outlineLevel="2">
      <c r="A2177" s="791" t="s">
        <v>776</v>
      </c>
      <c r="B2177" s="791" t="s">
        <v>1030</v>
      </c>
      <c r="C2177" s="791" t="s">
        <v>778</v>
      </c>
      <c r="D2177" s="792" t="s">
        <v>779</v>
      </c>
      <c r="E2177" s="793" t="s">
        <v>662</v>
      </c>
      <c r="F2177" s="793" t="s">
        <v>815</v>
      </c>
      <c r="G2177" s="793" t="s">
        <v>813</v>
      </c>
      <c r="H2177" s="793" t="s">
        <v>814</v>
      </c>
      <c r="I2177" s="794">
        <v>4.1125672328866034E-2</v>
      </c>
      <c r="J2177" s="794">
        <v>22.102796209254414</v>
      </c>
      <c r="K2177" s="771"/>
    </row>
    <row r="2178" spans="1:11" ht="18.75" customHeight="1" outlineLevel="2">
      <c r="A2178" s="791" t="s">
        <v>776</v>
      </c>
      <c r="B2178" s="791" t="s">
        <v>1030</v>
      </c>
      <c r="C2178" s="791" t="s">
        <v>778</v>
      </c>
      <c r="D2178" s="792" t="s">
        <v>779</v>
      </c>
      <c r="E2178" s="793" t="s">
        <v>662</v>
      </c>
      <c r="F2178" s="793" t="s">
        <v>816</v>
      </c>
      <c r="G2178" s="793" t="s">
        <v>813</v>
      </c>
      <c r="H2178" s="793" t="s">
        <v>814</v>
      </c>
      <c r="I2178" s="794">
        <v>3.8235017577682356E-2</v>
      </c>
      <c r="J2178" s="794">
        <v>19.864889707475299</v>
      </c>
      <c r="K2178" s="771"/>
    </row>
    <row r="2179" spans="1:11" ht="18.75" customHeight="1" outlineLevel="2">
      <c r="A2179" s="791" t="s">
        <v>776</v>
      </c>
      <c r="B2179" s="791" t="s">
        <v>1030</v>
      </c>
      <c r="C2179" s="791" t="s">
        <v>778</v>
      </c>
      <c r="D2179" s="792" t="s">
        <v>779</v>
      </c>
      <c r="E2179" s="793" t="s">
        <v>662</v>
      </c>
      <c r="F2179" s="793" t="s">
        <v>817</v>
      </c>
      <c r="G2179" s="793" t="s">
        <v>813</v>
      </c>
      <c r="H2179" s="793" t="s">
        <v>814</v>
      </c>
      <c r="I2179" s="794">
        <v>0.38886673869856342</v>
      </c>
      <c r="J2179" s="794">
        <v>212.86701463876321</v>
      </c>
      <c r="K2179" s="771"/>
    </row>
    <row r="2180" spans="1:11" ht="18.75" customHeight="1" outlineLevel="2">
      <c r="A2180" s="791" t="s">
        <v>776</v>
      </c>
      <c r="B2180" s="791" t="s">
        <v>1030</v>
      </c>
      <c r="C2180" s="791" t="s">
        <v>778</v>
      </c>
      <c r="D2180" s="792" t="s">
        <v>779</v>
      </c>
      <c r="E2180" s="793" t="s">
        <v>662</v>
      </c>
      <c r="F2180" s="793" t="s">
        <v>818</v>
      </c>
      <c r="G2180" s="793" t="s">
        <v>813</v>
      </c>
      <c r="H2180" s="793" t="s">
        <v>814</v>
      </c>
      <c r="I2180" s="794">
        <v>4.6969558832118646E-2</v>
      </c>
      <c r="J2180" s="794">
        <v>27.588030708081551</v>
      </c>
      <c r="K2180" s="771"/>
    </row>
    <row r="2181" spans="1:11" ht="18.75" customHeight="1" outlineLevel="2">
      <c r="A2181" s="791" t="s">
        <v>776</v>
      </c>
      <c r="B2181" s="791" t="s">
        <v>1030</v>
      </c>
      <c r="C2181" s="791" t="s">
        <v>778</v>
      </c>
      <c r="D2181" s="792" t="s">
        <v>779</v>
      </c>
      <c r="E2181" s="793" t="s">
        <v>662</v>
      </c>
      <c r="F2181" s="793" t="s">
        <v>819</v>
      </c>
      <c r="G2181" s="793" t="s">
        <v>813</v>
      </c>
      <c r="H2181" s="793" t="s">
        <v>814</v>
      </c>
      <c r="I2181" s="794">
        <v>0.36795960152992119</v>
      </c>
      <c r="J2181" s="794">
        <v>186.01732541867591</v>
      </c>
      <c r="K2181" s="771"/>
    </row>
    <row r="2182" spans="1:11" ht="18.75" customHeight="1" outlineLevel="2">
      <c r="A2182" s="791" t="s">
        <v>776</v>
      </c>
      <c r="B2182" s="791" t="s">
        <v>1030</v>
      </c>
      <c r="C2182" s="791" t="s">
        <v>778</v>
      </c>
      <c r="D2182" s="792" t="s">
        <v>779</v>
      </c>
      <c r="E2182" s="793" t="s">
        <v>662</v>
      </c>
      <c r="F2182" s="793" t="s">
        <v>820</v>
      </c>
      <c r="G2182" s="793" t="s">
        <v>813</v>
      </c>
      <c r="H2182" s="793" t="s">
        <v>814</v>
      </c>
      <c r="I2182" s="794">
        <v>3.3106297018680737E-2</v>
      </c>
      <c r="J2182" s="794">
        <v>17.755594758105424</v>
      </c>
      <c r="K2182" s="771"/>
    </row>
    <row r="2183" spans="1:11" ht="18.75" customHeight="1" outlineLevel="2">
      <c r="A2183" s="791" t="s">
        <v>776</v>
      </c>
      <c r="B2183" s="791" t="s">
        <v>1030</v>
      </c>
      <c r="C2183" s="791" t="s">
        <v>778</v>
      </c>
      <c r="D2183" s="792" t="s">
        <v>779</v>
      </c>
      <c r="E2183" s="793" t="s">
        <v>662</v>
      </c>
      <c r="F2183" s="793" t="s">
        <v>821</v>
      </c>
      <c r="G2183" s="793" t="s">
        <v>813</v>
      </c>
      <c r="H2183" s="793" t="s">
        <v>814</v>
      </c>
      <c r="I2183" s="794">
        <v>0.3247586981408358</v>
      </c>
      <c r="J2183" s="794">
        <v>173.695665414735</v>
      </c>
      <c r="K2183" s="771"/>
    </row>
    <row r="2184" spans="1:11" ht="18.75" customHeight="1" outlineLevel="2">
      <c r="A2184" s="791" t="s">
        <v>776</v>
      </c>
      <c r="B2184" s="791" t="s">
        <v>1030</v>
      </c>
      <c r="C2184" s="791" t="s">
        <v>778</v>
      </c>
      <c r="D2184" s="792" t="s">
        <v>779</v>
      </c>
      <c r="E2184" s="793" t="s">
        <v>662</v>
      </c>
      <c r="F2184" s="793" t="s">
        <v>822</v>
      </c>
      <c r="G2184" s="793" t="s">
        <v>813</v>
      </c>
      <c r="H2184" s="793" t="s">
        <v>814</v>
      </c>
      <c r="I2184" s="794">
        <v>6.0001717682454471E-2</v>
      </c>
      <c r="J2184" s="794">
        <v>8.7850412183223661</v>
      </c>
      <c r="K2184" s="771"/>
    </row>
    <row r="2185" spans="1:11" ht="18.75" customHeight="1" outlineLevel="2">
      <c r="A2185" s="791" t="s">
        <v>776</v>
      </c>
      <c r="B2185" s="791" t="s">
        <v>1030</v>
      </c>
      <c r="C2185" s="791" t="s">
        <v>778</v>
      </c>
      <c r="D2185" s="792" t="s">
        <v>779</v>
      </c>
      <c r="E2185" s="793" t="s">
        <v>662</v>
      </c>
      <c r="F2185" s="793" t="s">
        <v>823</v>
      </c>
      <c r="G2185" s="793" t="s">
        <v>813</v>
      </c>
      <c r="H2185" s="793" t="s">
        <v>814</v>
      </c>
      <c r="I2185" s="794">
        <v>0.32733125989052458</v>
      </c>
      <c r="J2185" s="794">
        <v>47.924258229895472</v>
      </c>
      <c r="K2185" s="771"/>
    </row>
    <row r="2186" spans="1:11" ht="18.75" customHeight="1" outlineLevel="2">
      <c r="A2186" s="791" t="s">
        <v>776</v>
      </c>
      <c r="B2186" s="791" t="s">
        <v>1030</v>
      </c>
      <c r="C2186" s="791" t="s">
        <v>778</v>
      </c>
      <c r="D2186" s="792" t="s">
        <v>779</v>
      </c>
      <c r="E2186" s="793" t="s">
        <v>662</v>
      </c>
      <c r="F2186" s="793" t="s">
        <v>824</v>
      </c>
      <c r="G2186" s="793" t="s">
        <v>813</v>
      </c>
      <c r="H2186" s="793" t="s">
        <v>814</v>
      </c>
      <c r="I2186" s="794">
        <v>1.8574938062820438E-4</v>
      </c>
      <c r="J2186" s="794">
        <v>9.2685354243726592E-2</v>
      </c>
      <c r="K2186" s="771"/>
    </row>
    <row r="2187" spans="1:11" ht="18.75" customHeight="1" outlineLevel="2">
      <c r="A2187" s="791" t="s">
        <v>776</v>
      </c>
      <c r="B2187" s="791" t="s">
        <v>1030</v>
      </c>
      <c r="C2187" s="791" t="s">
        <v>778</v>
      </c>
      <c r="D2187" s="792" t="s">
        <v>779</v>
      </c>
      <c r="E2187" s="793" t="s">
        <v>662</v>
      </c>
      <c r="F2187" s="793" t="s">
        <v>825</v>
      </c>
      <c r="G2187" s="793" t="s">
        <v>791</v>
      </c>
      <c r="H2187" s="793" t="s">
        <v>826</v>
      </c>
      <c r="I2187" s="794">
        <v>4.3625482129978715E-4</v>
      </c>
      <c r="J2187" s="794">
        <v>0.26529667148612884</v>
      </c>
      <c r="K2187" s="771"/>
    </row>
    <row r="2188" spans="1:11" ht="18.75" customHeight="1" outlineLevel="2">
      <c r="A2188" s="791" t="s">
        <v>776</v>
      </c>
      <c r="B2188" s="791" t="s">
        <v>1030</v>
      </c>
      <c r="C2188" s="791" t="s">
        <v>778</v>
      </c>
      <c r="D2188" s="792" t="s">
        <v>779</v>
      </c>
      <c r="E2188" s="793" t="s">
        <v>662</v>
      </c>
      <c r="F2188" s="793" t="s">
        <v>827</v>
      </c>
      <c r="G2188" s="793" t="s">
        <v>794</v>
      </c>
      <c r="H2188" s="793" t="s">
        <v>828</v>
      </c>
      <c r="I2188" s="794">
        <v>3.0901810020726758E-3</v>
      </c>
      <c r="J2188" s="794">
        <v>1.5299762408857578</v>
      </c>
      <c r="K2188" s="771"/>
    </row>
    <row r="2189" spans="1:11" ht="18.75" customHeight="1" outlineLevel="2">
      <c r="A2189" s="791" t="s">
        <v>776</v>
      </c>
      <c r="B2189" s="791" t="s">
        <v>1030</v>
      </c>
      <c r="C2189" s="791" t="s">
        <v>778</v>
      </c>
      <c r="D2189" s="792" t="s">
        <v>779</v>
      </c>
      <c r="E2189" s="793" t="s">
        <v>662</v>
      </c>
      <c r="F2189" s="793" t="s">
        <v>829</v>
      </c>
      <c r="G2189" s="793" t="s">
        <v>794</v>
      </c>
      <c r="H2189" s="793" t="s">
        <v>828</v>
      </c>
      <c r="I2189" s="794">
        <v>1.9720273811117517E-2</v>
      </c>
      <c r="J2189" s="794">
        <v>10.206660744563559</v>
      </c>
      <c r="K2189" s="771"/>
    </row>
    <row r="2190" spans="1:11" ht="18.75" customHeight="1" outlineLevel="2">
      <c r="A2190" s="791" t="s">
        <v>776</v>
      </c>
      <c r="B2190" s="791" t="s">
        <v>1030</v>
      </c>
      <c r="C2190" s="791" t="s">
        <v>778</v>
      </c>
      <c r="D2190" s="792" t="s">
        <v>779</v>
      </c>
      <c r="E2190" s="793" t="s">
        <v>662</v>
      </c>
      <c r="F2190" s="793" t="s">
        <v>830</v>
      </c>
      <c r="G2190" s="793" t="s">
        <v>794</v>
      </c>
      <c r="H2190" s="793" t="s">
        <v>828</v>
      </c>
      <c r="I2190" s="794">
        <v>7.9097604647994778E-6</v>
      </c>
      <c r="J2190" s="794">
        <v>3.5399886623254644E-3</v>
      </c>
      <c r="K2190" s="771"/>
    </row>
    <row r="2191" spans="1:11" ht="18.75" customHeight="1" outlineLevel="2">
      <c r="A2191" s="791" t="s">
        <v>776</v>
      </c>
      <c r="B2191" s="791" t="s">
        <v>1030</v>
      </c>
      <c r="C2191" s="791" t="s">
        <v>778</v>
      </c>
      <c r="D2191" s="792" t="s">
        <v>779</v>
      </c>
      <c r="E2191" s="793" t="s">
        <v>662</v>
      </c>
      <c r="F2191" s="793" t="s">
        <v>831</v>
      </c>
      <c r="G2191" s="793" t="s">
        <v>794</v>
      </c>
      <c r="H2191" s="793" t="s">
        <v>828</v>
      </c>
      <c r="I2191" s="794">
        <v>1.3797137366195104E-4</v>
      </c>
      <c r="J2191" s="794">
        <v>6.1748618818266342E-2</v>
      </c>
      <c r="K2191" s="771"/>
    </row>
    <row r="2192" spans="1:11" ht="18.75" customHeight="1" outlineLevel="2">
      <c r="A2192" s="791" t="s">
        <v>776</v>
      </c>
      <c r="B2192" s="791" t="s">
        <v>1030</v>
      </c>
      <c r="C2192" s="791" t="s">
        <v>778</v>
      </c>
      <c r="D2192" s="792" t="s">
        <v>779</v>
      </c>
      <c r="E2192" s="793" t="s">
        <v>662</v>
      </c>
      <c r="F2192" s="793" t="s">
        <v>832</v>
      </c>
      <c r="G2192" s="793" t="s">
        <v>833</v>
      </c>
      <c r="H2192" s="793" t="s">
        <v>834</v>
      </c>
      <c r="I2192" s="794">
        <v>3.9005318102378686E-2</v>
      </c>
      <c r="J2192" s="794">
        <v>22.518880817618577</v>
      </c>
      <c r="K2192" s="771"/>
    </row>
    <row r="2193" spans="1:11" ht="18.75" customHeight="1" outlineLevel="2">
      <c r="A2193" s="791" t="s">
        <v>776</v>
      </c>
      <c r="B2193" s="791" t="s">
        <v>1030</v>
      </c>
      <c r="C2193" s="791" t="s">
        <v>778</v>
      </c>
      <c r="D2193" s="792" t="s">
        <v>779</v>
      </c>
      <c r="E2193" s="793" t="s">
        <v>662</v>
      </c>
      <c r="F2193" s="793" t="s">
        <v>835</v>
      </c>
      <c r="G2193" s="793" t="s">
        <v>799</v>
      </c>
      <c r="H2193" s="793" t="s">
        <v>800</v>
      </c>
      <c r="I2193" s="794">
        <v>0.12002170030419727</v>
      </c>
      <c r="J2193" s="794">
        <v>84.034096854422884</v>
      </c>
      <c r="K2193" s="771"/>
    </row>
    <row r="2194" spans="1:11" ht="18.75" customHeight="1" outlineLevel="2">
      <c r="A2194" s="791" t="s">
        <v>776</v>
      </c>
      <c r="B2194" s="791" t="s">
        <v>1030</v>
      </c>
      <c r="C2194" s="791" t="s">
        <v>778</v>
      </c>
      <c r="D2194" s="792" t="s">
        <v>779</v>
      </c>
      <c r="E2194" s="793" t="s">
        <v>662</v>
      </c>
      <c r="F2194" s="793" t="s">
        <v>836</v>
      </c>
      <c r="G2194" s="793" t="s">
        <v>799</v>
      </c>
      <c r="H2194" s="793" t="s">
        <v>800</v>
      </c>
      <c r="I2194" s="794">
        <v>0.884365112732721</v>
      </c>
      <c r="J2194" s="794">
        <v>798.8940866960279</v>
      </c>
      <c r="K2194" s="771"/>
    </row>
    <row r="2195" spans="1:11" ht="18.75" customHeight="1" outlineLevel="2">
      <c r="A2195" s="791" t="s">
        <v>776</v>
      </c>
      <c r="B2195" s="791" t="s">
        <v>1030</v>
      </c>
      <c r="C2195" s="791" t="s">
        <v>778</v>
      </c>
      <c r="D2195" s="792" t="s">
        <v>779</v>
      </c>
      <c r="E2195" s="793" t="s">
        <v>662</v>
      </c>
      <c r="F2195" s="793" t="s">
        <v>837</v>
      </c>
      <c r="G2195" s="793" t="s">
        <v>799</v>
      </c>
      <c r="H2195" s="793" t="s">
        <v>800</v>
      </c>
      <c r="I2195" s="794">
        <v>6.9241981941696479E-2</v>
      </c>
      <c r="J2195" s="794">
        <v>91.092781009707579</v>
      </c>
      <c r="K2195" s="771"/>
    </row>
    <row r="2196" spans="1:11" ht="18.75" customHeight="1" outlineLevel="2">
      <c r="A2196" s="791" t="s">
        <v>776</v>
      </c>
      <c r="B2196" s="791" t="s">
        <v>1030</v>
      </c>
      <c r="C2196" s="791" t="s">
        <v>778</v>
      </c>
      <c r="D2196" s="792" t="s">
        <v>779</v>
      </c>
      <c r="E2196" s="793" t="s">
        <v>662</v>
      </c>
      <c r="F2196" s="793" t="s">
        <v>838</v>
      </c>
      <c r="G2196" s="793" t="s">
        <v>799</v>
      </c>
      <c r="H2196" s="793" t="s">
        <v>800</v>
      </c>
      <c r="I2196" s="794">
        <v>0.11876511709870335</v>
      </c>
      <c r="J2196" s="794">
        <v>107.15204737313533</v>
      </c>
      <c r="K2196" s="771"/>
    </row>
    <row r="2197" spans="1:11" ht="18.75" customHeight="1" outlineLevel="2">
      <c r="A2197" s="791" t="s">
        <v>776</v>
      </c>
      <c r="B2197" s="791" t="s">
        <v>1030</v>
      </c>
      <c r="C2197" s="791" t="s">
        <v>778</v>
      </c>
      <c r="D2197" s="792" t="s">
        <v>779</v>
      </c>
      <c r="E2197" s="793" t="s">
        <v>662</v>
      </c>
      <c r="F2197" s="793" t="s">
        <v>839</v>
      </c>
      <c r="G2197" s="793" t="s">
        <v>782</v>
      </c>
      <c r="H2197" s="793" t="s">
        <v>804</v>
      </c>
      <c r="I2197" s="794">
        <v>3.121432618433981E-3</v>
      </c>
      <c r="J2197" s="794">
        <v>5.027891565029317</v>
      </c>
      <c r="K2197" s="771"/>
    </row>
    <row r="2198" spans="1:11" ht="18.75" customHeight="1" outlineLevel="2">
      <c r="A2198" s="791" t="s">
        <v>776</v>
      </c>
      <c r="B2198" s="791" t="s">
        <v>1030</v>
      </c>
      <c r="C2198" s="791" t="s">
        <v>778</v>
      </c>
      <c r="D2198" s="792" t="s">
        <v>779</v>
      </c>
      <c r="E2198" s="793" t="s">
        <v>662</v>
      </c>
      <c r="F2198" s="793" t="s">
        <v>840</v>
      </c>
      <c r="G2198" s="793" t="s">
        <v>782</v>
      </c>
      <c r="H2198" s="793" t="s">
        <v>804</v>
      </c>
      <c r="I2198" s="794">
        <v>2.4947216579864544E-5</v>
      </c>
      <c r="J2198" s="794">
        <v>3.7528824938193726E-2</v>
      </c>
      <c r="K2198" s="771"/>
    </row>
    <row r="2199" spans="1:11" ht="18.75" customHeight="1" outlineLevel="2">
      <c r="A2199" s="791" t="s">
        <v>776</v>
      </c>
      <c r="B2199" s="791" t="s">
        <v>1030</v>
      </c>
      <c r="C2199" s="791" t="s">
        <v>778</v>
      </c>
      <c r="D2199" s="792" t="s">
        <v>779</v>
      </c>
      <c r="E2199" s="793" t="s">
        <v>662</v>
      </c>
      <c r="F2199" s="793" t="s">
        <v>841</v>
      </c>
      <c r="G2199" s="793" t="s">
        <v>782</v>
      </c>
      <c r="H2199" s="793" t="s">
        <v>804</v>
      </c>
      <c r="I2199" s="794">
        <v>6.7453433871667657E-3</v>
      </c>
      <c r="J2199" s="794">
        <v>9.4455086531057155</v>
      </c>
      <c r="K2199" s="771"/>
    </row>
    <row r="2200" spans="1:11" ht="18.75" customHeight="1" outlineLevel="2">
      <c r="A2200" s="791" t="s">
        <v>776</v>
      </c>
      <c r="B2200" s="791" t="s">
        <v>1030</v>
      </c>
      <c r="C2200" s="791" t="s">
        <v>778</v>
      </c>
      <c r="D2200" s="792" t="s">
        <v>779</v>
      </c>
      <c r="E2200" s="793" t="s">
        <v>662</v>
      </c>
      <c r="F2200" s="793" t="s">
        <v>842</v>
      </c>
      <c r="G2200" s="793" t="s">
        <v>782</v>
      </c>
      <c r="H2200" s="793" t="s">
        <v>804</v>
      </c>
      <c r="I2200" s="794">
        <v>5.5043698198703177E-3</v>
      </c>
      <c r="J2200" s="794">
        <v>8.8927864849154297</v>
      </c>
      <c r="K2200" s="771"/>
    </row>
    <row r="2201" spans="1:11" ht="18.75" customHeight="1" outlineLevel="2">
      <c r="A2201" s="791" t="s">
        <v>776</v>
      </c>
      <c r="B2201" s="791" t="s">
        <v>1030</v>
      </c>
      <c r="C2201" s="791" t="s">
        <v>778</v>
      </c>
      <c r="D2201" s="792" t="s">
        <v>779</v>
      </c>
      <c r="E2201" s="793" t="s">
        <v>662</v>
      </c>
      <c r="F2201" s="793" t="s">
        <v>843</v>
      </c>
      <c r="G2201" s="793" t="s">
        <v>782</v>
      </c>
      <c r="H2201" s="793" t="s">
        <v>804</v>
      </c>
      <c r="I2201" s="794">
        <v>1.2309136172090687E-2</v>
      </c>
      <c r="J2201" s="794">
        <v>17.747266224093845</v>
      </c>
      <c r="K2201" s="771"/>
    </row>
    <row r="2202" spans="1:11" ht="18.75" customHeight="1" outlineLevel="2">
      <c r="A2202" s="791" t="s">
        <v>776</v>
      </c>
      <c r="B2202" s="791" t="s">
        <v>1030</v>
      </c>
      <c r="C2202" s="791" t="s">
        <v>778</v>
      </c>
      <c r="D2202" s="792" t="s">
        <v>779</v>
      </c>
      <c r="E2202" s="793" t="s">
        <v>662</v>
      </c>
      <c r="F2202" s="793" t="s">
        <v>844</v>
      </c>
      <c r="G2202" s="793" t="s">
        <v>782</v>
      </c>
      <c r="H2202" s="793" t="s">
        <v>804</v>
      </c>
      <c r="I2202" s="794">
        <v>5.3401659815231891E-3</v>
      </c>
      <c r="J2202" s="794">
        <v>7.4729114961186411</v>
      </c>
      <c r="K2202" s="771"/>
    </row>
    <row r="2203" spans="1:11" ht="18.75" customHeight="1" outlineLevel="2">
      <c r="A2203" s="791" t="s">
        <v>776</v>
      </c>
      <c r="B2203" s="791" t="s">
        <v>1030</v>
      </c>
      <c r="C2203" s="791" t="s">
        <v>778</v>
      </c>
      <c r="D2203" s="792" t="s">
        <v>779</v>
      </c>
      <c r="E2203" s="793" t="s">
        <v>662</v>
      </c>
      <c r="F2203" s="793" t="s">
        <v>845</v>
      </c>
      <c r="G2203" s="793" t="s">
        <v>782</v>
      </c>
      <c r="H2203" s="793" t="s">
        <v>804</v>
      </c>
      <c r="I2203" s="794">
        <v>2.9083832641021312E-4</v>
      </c>
      <c r="J2203" s="794">
        <v>0.38947444527764341</v>
      </c>
      <c r="K2203" s="771"/>
    </row>
    <row r="2204" spans="1:11" ht="18.75" customHeight="1" outlineLevel="2">
      <c r="A2204" s="791" t="s">
        <v>776</v>
      </c>
      <c r="B2204" s="791" t="s">
        <v>1030</v>
      </c>
      <c r="C2204" s="791" t="s">
        <v>778</v>
      </c>
      <c r="D2204" s="792" t="s">
        <v>779</v>
      </c>
      <c r="E2204" s="793" t="s">
        <v>662</v>
      </c>
      <c r="F2204" s="793" t="s">
        <v>846</v>
      </c>
      <c r="G2204" s="793" t="s">
        <v>782</v>
      </c>
      <c r="H2204" s="793" t="s">
        <v>804</v>
      </c>
      <c r="I2204" s="794">
        <v>1.0119328018774252E-2</v>
      </c>
      <c r="J2204" s="794">
        <v>15.63850903081279</v>
      </c>
      <c r="K2204" s="771"/>
    </row>
    <row r="2205" spans="1:11" ht="18.75" customHeight="1" outlineLevel="2">
      <c r="A2205" s="791" t="s">
        <v>776</v>
      </c>
      <c r="B2205" s="791" t="s">
        <v>1030</v>
      </c>
      <c r="C2205" s="791" t="s">
        <v>778</v>
      </c>
      <c r="D2205" s="792" t="s">
        <v>779</v>
      </c>
      <c r="E2205" s="793" t="s">
        <v>662</v>
      </c>
      <c r="F2205" s="793" t="s">
        <v>847</v>
      </c>
      <c r="G2205" s="793" t="s">
        <v>782</v>
      </c>
      <c r="H2205" s="793" t="s">
        <v>804</v>
      </c>
      <c r="I2205" s="794">
        <v>4.8191052574456054E-3</v>
      </c>
      <c r="J2205" s="794">
        <v>5.8000422535241389</v>
      </c>
      <c r="K2205" s="771"/>
    </row>
    <row r="2206" spans="1:11" ht="18.75" customHeight="1" outlineLevel="2">
      <c r="A2206" s="791" t="s">
        <v>776</v>
      </c>
      <c r="B2206" s="791" t="s">
        <v>1030</v>
      </c>
      <c r="C2206" s="791" t="s">
        <v>778</v>
      </c>
      <c r="D2206" s="792" t="s">
        <v>779</v>
      </c>
      <c r="E2206" s="793" t="s">
        <v>662</v>
      </c>
      <c r="F2206" s="793" t="s">
        <v>848</v>
      </c>
      <c r="G2206" s="793" t="s">
        <v>782</v>
      </c>
      <c r="H2206" s="793" t="s">
        <v>804</v>
      </c>
      <c r="I2206" s="794">
        <v>2.2800984713537493E-2</v>
      </c>
      <c r="J2206" s="794">
        <v>32.587238821859671</v>
      </c>
      <c r="K2206" s="771"/>
    </row>
    <row r="2207" spans="1:11" ht="18.75" customHeight="1" outlineLevel="2">
      <c r="A2207" s="791" t="s">
        <v>776</v>
      </c>
      <c r="B2207" s="791" t="s">
        <v>1030</v>
      </c>
      <c r="C2207" s="791" t="s">
        <v>778</v>
      </c>
      <c r="D2207" s="792" t="s">
        <v>779</v>
      </c>
      <c r="E2207" s="793" t="s">
        <v>662</v>
      </c>
      <c r="F2207" s="793" t="s">
        <v>849</v>
      </c>
      <c r="G2207" s="793" t="s">
        <v>782</v>
      </c>
      <c r="H2207" s="793" t="s">
        <v>804</v>
      </c>
      <c r="I2207" s="794">
        <v>1.1557838314936911E-2</v>
      </c>
      <c r="J2207" s="794">
        <v>15.649287115480048</v>
      </c>
      <c r="K2207" s="771"/>
    </row>
    <row r="2208" spans="1:11" ht="18.75" customHeight="1" outlineLevel="2">
      <c r="A2208" s="791" t="s">
        <v>776</v>
      </c>
      <c r="B2208" s="791" t="s">
        <v>1030</v>
      </c>
      <c r="C2208" s="791" t="s">
        <v>778</v>
      </c>
      <c r="D2208" s="792" t="s">
        <v>779</v>
      </c>
      <c r="E2208" s="793" t="s">
        <v>662</v>
      </c>
      <c r="F2208" s="793" t="s">
        <v>850</v>
      </c>
      <c r="G2208" s="793" t="s">
        <v>782</v>
      </c>
      <c r="H2208" s="793" t="s">
        <v>804</v>
      </c>
      <c r="I2208" s="794">
        <v>9.1139687594688238E-4</v>
      </c>
      <c r="J2208" s="794">
        <v>1.2605299794155209</v>
      </c>
      <c r="K2208" s="771"/>
    </row>
    <row r="2209" spans="1:11" ht="18.75" customHeight="1" outlineLevel="2">
      <c r="A2209" s="791" t="s">
        <v>776</v>
      </c>
      <c r="B2209" s="791" t="s">
        <v>1030</v>
      </c>
      <c r="C2209" s="791" t="s">
        <v>778</v>
      </c>
      <c r="D2209" s="792" t="s">
        <v>779</v>
      </c>
      <c r="E2209" s="793" t="s">
        <v>662</v>
      </c>
      <c r="F2209" s="793" t="s">
        <v>851</v>
      </c>
      <c r="G2209" s="793" t="s">
        <v>782</v>
      </c>
      <c r="H2209" s="793" t="s">
        <v>804</v>
      </c>
      <c r="I2209" s="794">
        <v>1.4998741891711514E-3</v>
      </c>
      <c r="J2209" s="794">
        <v>2.1167454844412048</v>
      </c>
      <c r="K2209" s="771"/>
    </row>
    <row r="2210" spans="1:11" ht="18.75" customHeight="1" outlineLevel="2">
      <c r="A2210" s="791" t="s">
        <v>776</v>
      </c>
      <c r="B2210" s="791" t="s">
        <v>1030</v>
      </c>
      <c r="C2210" s="791" t="s">
        <v>778</v>
      </c>
      <c r="D2210" s="792" t="s">
        <v>779</v>
      </c>
      <c r="E2210" s="793" t="s">
        <v>662</v>
      </c>
      <c r="F2210" s="793" t="s">
        <v>852</v>
      </c>
      <c r="G2210" s="793" t="s">
        <v>782</v>
      </c>
      <c r="H2210" s="793" t="s">
        <v>804</v>
      </c>
      <c r="I2210" s="794">
        <v>6.5530239124684132E-4</v>
      </c>
      <c r="J2210" s="794">
        <v>1.8914858375743742</v>
      </c>
      <c r="K2210" s="771"/>
    </row>
    <row r="2211" spans="1:11" ht="18.75" customHeight="1" outlineLevel="2">
      <c r="A2211" s="791" t="s">
        <v>776</v>
      </c>
      <c r="B2211" s="791" t="s">
        <v>1030</v>
      </c>
      <c r="C2211" s="791" t="s">
        <v>778</v>
      </c>
      <c r="D2211" s="792" t="s">
        <v>779</v>
      </c>
      <c r="E2211" s="793" t="s">
        <v>662</v>
      </c>
      <c r="F2211" s="793" t="s">
        <v>853</v>
      </c>
      <c r="G2211" s="793" t="s">
        <v>782</v>
      </c>
      <c r="H2211" s="793" t="s">
        <v>804</v>
      </c>
      <c r="I2211" s="794">
        <v>5.2813679671289673E-4</v>
      </c>
      <c r="J2211" s="794">
        <v>4.4862771273883713</v>
      </c>
      <c r="K2211" s="771"/>
    </row>
    <row r="2212" spans="1:11" ht="18.75" customHeight="1" outlineLevel="2">
      <c r="A2212" s="791" t="s">
        <v>776</v>
      </c>
      <c r="B2212" s="791" t="s">
        <v>1030</v>
      </c>
      <c r="C2212" s="791" t="s">
        <v>778</v>
      </c>
      <c r="D2212" s="792" t="s">
        <v>779</v>
      </c>
      <c r="E2212" s="793" t="s">
        <v>662</v>
      </c>
      <c r="F2212" s="793" t="s">
        <v>854</v>
      </c>
      <c r="G2212" s="793" t="s">
        <v>782</v>
      </c>
      <c r="H2212" s="793" t="s">
        <v>804</v>
      </c>
      <c r="I2212" s="794">
        <v>7.1937877081045785E-3</v>
      </c>
      <c r="J2212" s="794">
        <v>10.6972006020998</v>
      </c>
      <c r="K2212" s="771"/>
    </row>
    <row r="2213" spans="1:11" ht="18.75" customHeight="1" outlineLevel="2">
      <c r="A2213" s="791" t="s">
        <v>776</v>
      </c>
      <c r="B2213" s="791" t="s">
        <v>1030</v>
      </c>
      <c r="C2213" s="791" t="s">
        <v>778</v>
      </c>
      <c r="D2213" s="792" t="s">
        <v>779</v>
      </c>
      <c r="E2213" s="793" t="s">
        <v>662</v>
      </c>
      <c r="F2213" s="793" t="s">
        <v>855</v>
      </c>
      <c r="G2213" s="793" t="s">
        <v>782</v>
      </c>
      <c r="H2213" s="793" t="s">
        <v>804</v>
      </c>
      <c r="I2213" s="794">
        <v>5.1272026815636354E-3</v>
      </c>
      <c r="J2213" s="794">
        <v>7.4555262235783726</v>
      </c>
      <c r="K2213" s="771"/>
    </row>
    <row r="2214" spans="1:11" ht="18.75" customHeight="1" outlineLevel="2">
      <c r="A2214" s="791" t="s">
        <v>776</v>
      </c>
      <c r="B2214" s="791" t="s">
        <v>1030</v>
      </c>
      <c r="C2214" s="791" t="s">
        <v>778</v>
      </c>
      <c r="D2214" s="792" t="s">
        <v>779</v>
      </c>
      <c r="E2214" s="793" t="s">
        <v>662</v>
      </c>
      <c r="F2214" s="793" t="s">
        <v>856</v>
      </c>
      <c r="G2214" s="793" t="s">
        <v>782</v>
      </c>
      <c r="H2214" s="793" t="s">
        <v>804</v>
      </c>
      <c r="I2214" s="794">
        <v>2.0166160539989218E-3</v>
      </c>
      <c r="J2214" s="794">
        <v>2.4429101298547558</v>
      </c>
      <c r="K2214" s="771"/>
    </row>
    <row r="2215" spans="1:11" ht="18.75" customHeight="1" outlineLevel="2">
      <c r="A2215" s="791" t="s">
        <v>776</v>
      </c>
      <c r="B2215" s="791" t="s">
        <v>1030</v>
      </c>
      <c r="C2215" s="791" t="s">
        <v>778</v>
      </c>
      <c r="D2215" s="792" t="s">
        <v>779</v>
      </c>
      <c r="E2215" s="793" t="s">
        <v>662</v>
      </c>
      <c r="F2215" s="793" t="s">
        <v>857</v>
      </c>
      <c r="G2215" s="793" t="s">
        <v>782</v>
      </c>
      <c r="H2215" s="793" t="s">
        <v>804</v>
      </c>
      <c r="I2215" s="794">
        <v>1.6736738499409385E-3</v>
      </c>
      <c r="J2215" s="794">
        <v>1.7850396803238504</v>
      </c>
      <c r="K2215" s="771"/>
    </row>
    <row r="2216" spans="1:11" ht="18.75" customHeight="1" outlineLevel="2">
      <c r="A2216" s="791" t="s">
        <v>776</v>
      </c>
      <c r="B2216" s="791" t="s">
        <v>1030</v>
      </c>
      <c r="C2216" s="791" t="s">
        <v>778</v>
      </c>
      <c r="D2216" s="792" t="s">
        <v>779</v>
      </c>
      <c r="E2216" s="793" t="s">
        <v>662</v>
      </c>
      <c r="F2216" s="793" t="s">
        <v>858</v>
      </c>
      <c r="G2216" s="793" t="s">
        <v>785</v>
      </c>
      <c r="H2216" s="793" t="s">
        <v>727</v>
      </c>
      <c r="I2216" s="794">
        <v>9.1156454885711405E-3</v>
      </c>
      <c r="J2216" s="794">
        <v>18.062050148733757</v>
      </c>
      <c r="K2216" s="771"/>
    </row>
    <row r="2217" spans="1:11" ht="18.75" customHeight="1" outlineLevel="2">
      <c r="A2217" s="791" t="s">
        <v>776</v>
      </c>
      <c r="B2217" s="791" t="s">
        <v>1030</v>
      </c>
      <c r="C2217" s="791" t="s">
        <v>778</v>
      </c>
      <c r="D2217" s="792" t="s">
        <v>779</v>
      </c>
      <c r="E2217" s="793" t="s">
        <v>662</v>
      </c>
      <c r="F2217" s="793" t="s">
        <v>859</v>
      </c>
      <c r="G2217" s="793" t="s">
        <v>785</v>
      </c>
      <c r="H2217" s="793" t="s">
        <v>727</v>
      </c>
      <c r="I2217" s="794">
        <v>6.5559756106264421E-3</v>
      </c>
      <c r="J2217" s="794">
        <v>68.355811162026868</v>
      </c>
      <c r="K2217" s="771"/>
    </row>
    <row r="2218" spans="1:11" ht="18.75" customHeight="1" outlineLevel="2">
      <c r="A2218" s="791" t="s">
        <v>776</v>
      </c>
      <c r="B2218" s="791" t="s">
        <v>1030</v>
      </c>
      <c r="C2218" s="791" t="s">
        <v>778</v>
      </c>
      <c r="D2218" s="792" t="s">
        <v>779</v>
      </c>
      <c r="E2218" s="793" t="s">
        <v>662</v>
      </c>
      <c r="F2218" s="793" t="s">
        <v>860</v>
      </c>
      <c r="G2218" s="793" t="s">
        <v>785</v>
      </c>
      <c r="H2218" s="793" t="s">
        <v>727</v>
      </c>
      <c r="I2218" s="794">
        <v>5.4436320937466479E-3</v>
      </c>
      <c r="J2218" s="794">
        <v>14.688433964373237</v>
      </c>
      <c r="K2218" s="771"/>
    </row>
    <row r="2219" spans="1:11" ht="18.75" customHeight="1" outlineLevel="2">
      <c r="A2219" s="791" t="s">
        <v>776</v>
      </c>
      <c r="B2219" s="791" t="s">
        <v>1030</v>
      </c>
      <c r="C2219" s="791" t="s">
        <v>778</v>
      </c>
      <c r="D2219" s="792" t="s">
        <v>779</v>
      </c>
      <c r="E2219" s="793" t="s">
        <v>662</v>
      </c>
      <c r="F2219" s="793" t="s">
        <v>861</v>
      </c>
      <c r="G2219" s="793" t="s">
        <v>785</v>
      </c>
      <c r="H2219" s="793" t="s">
        <v>727</v>
      </c>
      <c r="I2219" s="794">
        <v>2.0940060984932899E-2</v>
      </c>
      <c r="J2219" s="794">
        <v>27.588914260999854</v>
      </c>
      <c r="K2219" s="771"/>
    </row>
    <row r="2220" spans="1:11" ht="18.75" customHeight="1" outlineLevel="2">
      <c r="A2220" s="791" t="s">
        <v>776</v>
      </c>
      <c r="B2220" s="791" t="s">
        <v>1030</v>
      </c>
      <c r="C2220" s="791" t="s">
        <v>778</v>
      </c>
      <c r="D2220" s="792" t="s">
        <v>779</v>
      </c>
      <c r="E2220" s="793" t="s">
        <v>662</v>
      </c>
      <c r="F2220" s="793" t="s">
        <v>862</v>
      </c>
      <c r="G2220" s="793" t="s">
        <v>785</v>
      </c>
      <c r="H2220" s="793" t="s">
        <v>727</v>
      </c>
      <c r="I2220" s="794">
        <v>5.9010797877270815E-4</v>
      </c>
      <c r="J2220" s="794">
        <v>1.2658967973799</v>
      </c>
      <c r="K2220" s="771"/>
    </row>
    <row r="2221" spans="1:11" ht="18.75" customHeight="1" outlineLevel="2">
      <c r="A2221" s="791" t="s">
        <v>776</v>
      </c>
      <c r="B2221" s="791" t="s">
        <v>1030</v>
      </c>
      <c r="C2221" s="791" t="s">
        <v>778</v>
      </c>
      <c r="D2221" s="792" t="s">
        <v>779</v>
      </c>
      <c r="E2221" s="793" t="s">
        <v>662</v>
      </c>
      <c r="F2221" s="793" t="s">
        <v>863</v>
      </c>
      <c r="G2221" s="793" t="s">
        <v>785</v>
      </c>
      <c r="H2221" s="793" t="s">
        <v>727</v>
      </c>
      <c r="I2221" s="794">
        <v>6.6914784690698089E-4</v>
      </c>
      <c r="J2221" s="794">
        <v>0.98044525405244676</v>
      </c>
      <c r="K2221" s="771"/>
    </row>
    <row r="2222" spans="1:11" ht="18.75" customHeight="1" outlineLevel="2">
      <c r="A2222" s="791" t="s">
        <v>776</v>
      </c>
      <c r="B2222" s="791" t="s">
        <v>1030</v>
      </c>
      <c r="C2222" s="791" t="s">
        <v>778</v>
      </c>
      <c r="D2222" s="792" t="s">
        <v>779</v>
      </c>
      <c r="E2222" s="793" t="s">
        <v>662</v>
      </c>
      <c r="F2222" s="793" t="s">
        <v>864</v>
      </c>
      <c r="G2222" s="793" t="s">
        <v>785</v>
      </c>
      <c r="H2222" s="793" t="s">
        <v>727</v>
      </c>
      <c r="I2222" s="794">
        <v>4.3011645222350563E-4</v>
      </c>
      <c r="J2222" s="794">
        <v>6.0368803012112169</v>
      </c>
      <c r="K2222" s="771"/>
    </row>
    <row r="2223" spans="1:11" ht="18.75" customHeight="1" outlineLevel="2">
      <c r="A2223" s="791" t="s">
        <v>776</v>
      </c>
      <c r="B2223" s="791" t="s">
        <v>1030</v>
      </c>
      <c r="C2223" s="791" t="s">
        <v>778</v>
      </c>
      <c r="D2223" s="792" t="s">
        <v>779</v>
      </c>
      <c r="E2223" s="793" t="s">
        <v>662</v>
      </c>
      <c r="F2223" s="793" t="s">
        <v>865</v>
      </c>
      <c r="G2223" s="793" t="s">
        <v>813</v>
      </c>
      <c r="H2223" s="793" t="s">
        <v>814</v>
      </c>
      <c r="I2223" s="794">
        <v>0.23727392018710394</v>
      </c>
      <c r="J2223" s="794">
        <v>250.95224024161175</v>
      </c>
      <c r="K2223" s="771"/>
    </row>
    <row r="2224" spans="1:11" ht="18.75" customHeight="1" outlineLevel="2">
      <c r="A2224" s="791" t="s">
        <v>776</v>
      </c>
      <c r="B2224" s="791" t="s">
        <v>1030</v>
      </c>
      <c r="C2224" s="791" t="s">
        <v>778</v>
      </c>
      <c r="D2224" s="792" t="s">
        <v>779</v>
      </c>
      <c r="E2224" s="793" t="s">
        <v>662</v>
      </c>
      <c r="F2224" s="793" t="s">
        <v>866</v>
      </c>
      <c r="G2224" s="793" t="s">
        <v>813</v>
      </c>
      <c r="H2224" s="793" t="s">
        <v>814</v>
      </c>
      <c r="I2224" s="794">
        <v>0.40524341073277215</v>
      </c>
      <c r="J2224" s="794">
        <v>543.74837618532672</v>
      </c>
      <c r="K2224" s="771"/>
    </row>
    <row r="2225" spans="1:11" ht="18.75" customHeight="1" outlineLevel="2">
      <c r="A2225" s="791" t="s">
        <v>776</v>
      </c>
      <c r="B2225" s="791" t="s">
        <v>1030</v>
      </c>
      <c r="C2225" s="791" t="s">
        <v>778</v>
      </c>
      <c r="D2225" s="792" t="s">
        <v>779</v>
      </c>
      <c r="E2225" s="793" t="s">
        <v>662</v>
      </c>
      <c r="F2225" s="793" t="s">
        <v>867</v>
      </c>
      <c r="G2225" s="793" t="s">
        <v>813</v>
      </c>
      <c r="H2225" s="793" t="s">
        <v>814</v>
      </c>
      <c r="I2225" s="794">
        <v>2.0425648623040239E-2</v>
      </c>
      <c r="J2225" s="794">
        <v>21.594872719977559</v>
      </c>
      <c r="K2225" s="771"/>
    </row>
    <row r="2226" spans="1:11" ht="18.75" customHeight="1" outlineLevel="2">
      <c r="A2226" s="791" t="s">
        <v>776</v>
      </c>
      <c r="B2226" s="791" t="s">
        <v>1030</v>
      </c>
      <c r="C2226" s="791" t="s">
        <v>778</v>
      </c>
      <c r="D2226" s="792" t="s">
        <v>779</v>
      </c>
      <c r="E2226" s="793" t="s">
        <v>662</v>
      </c>
      <c r="F2226" s="793" t="s">
        <v>868</v>
      </c>
      <c r="G2226" s="793" t="s">
        <v>813</v>
      </c>
      <c r="H2226" s="793" t="s">
        <v>814</v>
      </c>
      <c r="I2226" s="794">
        <v>0.25825003361879617</v>
      </c>
      <c r="J2226" s="794">
        <v>322.5317975102966</v>
      </c>
      <c r="K2226" s="771"/>
    </row>
    <row r="2227" spans="1:11" ht="18.75" customHeight="1" outlineLevel="2">
      <c r="A2227" s="791" t="s">
        <v>776</v>
      </c>
      <c r="B2227" s="791" t="s">
        <v>1030</v>
      </c>
      <c r="C2227" s="791" t="s">
        <v>778</v>
      </c>
      <c r="D2227" s="792" t="s">
        <v>779</v>
      </c>
      <c r="E2227" s="793" t="s">
        <v>662</v>
      </c>
      <c r="F2227" s="793" t="s">
        <v>869</v>
      </c>
      <c r="G2227" s="793" t="s">
        <v>813</v>
      </c>
      <c r="H2227" s="793" t="s">
        <v>814</v>
      </c>
      <c r="I2227" s="794">
        <v>1.1126998193188434E-3</v>
      </c>
      <c r="J2227" s="794">
        <v>1.3949729571976879</v>
      </c>
      <c r="K2227" s="771"/>
    </row>
    <row r="2228" spans="1:11" ht="18.75" customHeight="1" outlineLevel="2">
      <c r="A2228" s="791" t="s">
        <v>776</v>
      </c>
      <c r="B2228" s="791" t="s">
        <v>1030</v>
      </c>
      <c r="C2228" s="791" t="s">
        <v>778</v>
      </c>
      <c r="D2228" s="792" t="s">
        <v>779</v>
      </c>
      <c r="E2228" s="793" t="s">
        <v>662</v>
      </c>
      <c r="F2228" s="793" t="s">
        <v>870</v>
      </c>
      <c r="G2228" s="793" t="s">
        <v>813</v>
      </c>
      <c r="H2228" s="793" t="s">
        <v>814</v>
      </c>
      <c r="I2228" s="794">
        <v>8.9969255631672223E-3</v>
      </c>
      <c r="J2228" s="794">
        <v>12.594576781871877</v>
      </c>
      <c r="K2228" s="771"/>
    </row>
    <row r="2229" spans="1:11" ht="18.75" customHeight="1" outlineLevel="2">
      <c r="A2229" s="791" t="s">
        <v>776</v>
      </c>
      <c r="B2229" s="791" t="s">
        <v>1030</v>
      </c>
      <c r="C2229" s="791" t="s">
        <v>778</v>
      </c>
      <c r="D2229" s="792" t="s">
        <v>779</v>
      </c>
      <c r="E2229" s="793" t="s">
        <v>662</v>
      </c>
      <c r="F2229" s="793" t="s">
        <v>871</v>
      </c>
      <c r="G2229" s="793" t="s">
        <v>813</v>
      </c>
      <c r="H2229" s="793" t="s">
        <v>814</v>
      </c>
      <c r="I2229" s="794">
        <v>2.1191683345225263E-3</v>
      </c>
      <c r="J2229" s="794">
        <v>2.6612926276360063</v>
      </c>
      <c r="K2229" s="771"/>
    </row>
    <row r="2230" spans="1:11" ht="18.75" customHeight="1" outlineLevel="2">
      <c r="A2230" s="791" t="s">
        <v>776</v>
      </c>
      <c r="B2230" s="791" t="s">
        <v>1030</v>
      </c>
      <c r="C2230" s="791" t="s">
        <v>778</v>
      </c>
      <c r="D2230" s="792" t="s">
        <v>779</v>
      </c>
      <c r="E2230" s="793" t="s">
        <v>662</v>
      </c>
      <c r="F2230" s="793" t="s">
        <v>872</v>
      </c>
      <c r="G2230" s="793" t="s">
        <v>813</v>
      </c>
      <c r="H2230" s="793" t="s">
        <v>814</v>
      </c>
      <c r="I2230" s="794">
        <v>0.30744665771756746</v>
      </c>
      <c r="J2230" s="794">
        <v>516.81370489133587</v>
      </c>
      <c r="K2230" s="771"/>
    </row>
    <row r="2231" spans="1:11" ht="18.75" customHeight="1" outlineLevel="2">
      <c r="A2231" s="791" t="s">
        <v>776</v>
      </c>
      <c r="B2231" s="791" t="s">
        <v>1030</v>
      </c>
      <c r="C2231" s="791" t="s">
        <v>778</v>
      </c>
      <c r="D2231" s="792" t="s">
        <v>779</v>
      </c>
      <c r="E2231" s="793" t="s">
        <v>662</v>
      </c>
      <c r="F2231" s="793" t="s">
        <v>873</v>
      </c>
      <c r="G2231" s="793" t="s">
        <v>813</v>
      </c>
      <c r="H2231" s="793" t="s">
        <v>814</v>
      </c>
      <c r="I2231" s="794">
        <v>5.4234280217224304E-2</v>
      </c>
      <c r="J2231" s="794">
        <v>28.401495053410411</v>
      </c>
      <c r="K2231" s="771"/>
    </row>
    <row r="2232" spans="1:11" ht="18.75" customHeight="1" outlineLevel="2">
      <c r="A2232" s="791" t="s">
        <v>776</v>
      </c>
      <c r="B2232" s="791" t="s">
        <v>1030</v>
      </c>
      <c r="C2232" s="791" t="s">
        <v>778</v>
      </c>
      <c r="D2232" s="792" t="s">
        <v>779</v>
      </c>
      <c r="E2232" s="793" t="s">
        <v>662</v>
      </c>
      <c r="F2232" s="793" t="s">
        <v>874</v>
      </c>
      <c r="G2232" s="793" t="s">
        <v>813</v>
      </c>
      <c r="H2232" s="793" t="s">
        <v>814</v>
      </c>
      <c r="I2232" s="794">
        <v>0.29589085888360445</v>
      </c>
      <c r="J2232" s="794">
        <v>154.93451750707152</v>
      </c>
      <c r="K2232" s="771"/>
    </row>
    <row r="2233" spans="1:11" ht="18.75" customHeight="1" outlineLevel="2">
      <c r="A2233" s="791" t="s">
        <v>776</v>
      </c>
      <c r="B2233" s="791" t="s">
        <v>1030</v>
      </c>
      <c r="C2233" s="791" t="s">
        <v>778</v>
      </c>
      <c r="D2233" s="792" t="s">
        <v>779</v>
      </c>
      <c r="E2233" s="793" t="s">
        <v>662</v>
      </c>
      <c r="F2233" s="793" t="s">
        <v>875</v>
      </c>
      <c r="G2233" s="793" t="s">
        <v>813</v>
      </c>
      <c r="H2233" s="793" t="s">
        <v>814</v>
      </c>
      <c r="I2233" s="794">
        <v>3.5354034193178209E-2</v>
      </c>
      <c r="J2233" s="794">
        <v>50.969175567680594</v>
      </c>
      <c r="K2233" s="771"/>
    </row>
    <row r="2234" spans="1:11" ht="18.75" customHeight="1" outlineLevel="2">
      <c r="A2234" s="791" t="s">
        <v>776</v>
      </c>
      <c r="B2234" s="791" t="s">
        <v>1030</v>
      </c>
      <c r="C2234" s="791" t="s">
        <v>778</v>
      </c>
      <c r="D2234" s="792" t="s">
        <v>779</v>
      </c>
      <c r="E2234" s="793" t="s">
        <v>662</v>
      </c>
      <c r="F2234" s="793" t="s">
        <v>876</v>
      </c>
      <c r="G2234" s="793" t="s">
        <v>813</v>
      </c>
      <c r="H2234" s="793" t="s">
        <v>814</v>
      </c>
      <c r="I2234" s="794">
        <v>4.6278896915882967E-2</v>
      </c>
      <c r="J2234" s="794">
        <v>69.082998090102336</v>
      </c>
      <c r="K2234" s="771"/>
    </row>
    <row r="2235" spans="1:11" ht="18.75" customHeight="1" outlineLevel="2">
      <c r="A2235" s="791" t="s">
        <v>776</v>
      </c>
      <c r="B2235" s="791" t="s">
        <v>1030</v>
      </c>
      <c r="C2235" s="791" t="s">
        <v>778</v>
      </c>
      <c r="D2235" s="792" t="s">
        <v>779</v>
      </c>
      <c r="E2235" s="793" t="s">
        <v>662</v>
      </c>
      <c r="F2235" s="793" t="s">
        <v>877</v>
      </c>
      <c r="G2235" s="793" t="s">
        <v>813</v>
      </c>
      <c r="H2235" s="793" t="s">
        <v>814</v>
      </c>
      <c r="I2235" s="794">
        <v>6.1056043908255378E-2</v>
      </c>
      <c r="J2235" s="794">
        <v>78.195130337521888</v>
      </c>
      <c r="K2235" s="771"/>
    </row>
    <row r="2236" spans="1:11" ht="18.75" customHeight="1" outlineLevel="2">
      <c r="A2236" s="791" t="s">
        <v>776</v>
      </c>
      <c r="B2236" s="791" t="s">
        <v>1030</v>
      </c>
      <c r="C2236" s="791" t="s">
        <v>778</v>
      </c>
      <c r="D2236" s="792" t="s">
        <v>779</v>
      </c>
      <c r="E2236" s="793" t="s">
        <v>662</v>
      </c>
      <c r="F2236" s="793" t="s">
        <v>878</v>
      </c>
      <c r="G2236" s="793" t="s">
        <v>813</v>
      </c>
      <c r="H2236" s="793" t="s">
        <v>814</v>
      </c>
      <c r="I2236" s="794">
        <v>3.1155606599378053E-2</v>
      </c>
      <c r="J2236" s="794">
        <v>37.126585200847636</v>
      </c>
      <c r="K2236" s="771"/>
    </row>
    <row r="2237" spans="1:11" ht="18.75" customHeight="1" outlineLevel="2">
      <c r="A2237" s="791" t="s">
        <v>776</v>
      </c>
      <c r="B2237" s="791" t="s">
        <v>1030</v>
      </c>
      <c r="C2237" s="791" t="s">
        <v>778</v>
      </c>
      <c r="D2237" s="792" t="s">
        <v>779</v>
      </c>
      <c r="E2237" s="793" t="s">
        <v>662</v>
      </c>
      <c r="F2237" s="793" t="s">
        <v>879</v>
      </c>
      <c r="G2237" s="793" t="s">
        <v>813</v>
      </c>
      <c r="H2237" s="793" t="s">
        <v>814</v>
      </c>
      <c r="I2237" s="794">
        <v>0.4728163009111056</v>
      </c>
      <c r="J2237" s="794">
        <v>683.20061972478118</v>
      </c>
      <c r="K2237" s="771"/>
    </row>
    <row r="2238" spans="1:11" ht="18.75" customHeight="1" outlineLevel="2">
      <c r="A2238" s="791" t="s">
        <v>776</v>
      </c>
      <c r="B2238" s="791" t="s">
        <v>1030</v>
      </c>
      <c r="C2238" s="791" t="s">
        <v>778</v>
      </c>
      <c r="D2238" s="792" t="s">
        <v>779</v>
      </c>
      <c r="E2238" s="793" t="s">
        <v>662</v>
      </c>
      <c r="F2238" s="793" t="s">
        <v>880</v>
      </c>
      <c r="G2238" s="793" t="s">
        <v>813</v>
      </c>
      <c r="H2238" s="793" t="s">
        <v>814</v>
      </c>
      <c r="I2238" s="794">
        <v>0.62879040224426264</v>
      </c>
      <c r="J2238" s="794">
        <v>938.84068961870298</v>
      </c>
      <c r="K2238" s="771"/>
    </row>
    <row r="2239" spans="1:11" ht="18.75" customHeight="1" outlineLevel="2">
      <c r="A2239" s="791" t="s">
        <v>776</v>
      </c>
      <c r="B2239" s="791" t="s">
        <v>1030</v>
      </c>
      <c r="C2239" s="791" t="s">
        <v>778</v>
      </c>
      <c r="D2239" s="792" t="s">
        <v>779</v>
      </c>
      <c r="E2239" s="793" t="s">
        <v>662</v>
      </c>
      <c r="F2239" s="793" t="s">
        <v>881</v>
      </c>
      <c r="G2239" s="793" t="s">
        <v>813</v>
      </c>
      <c r="H2239" s="793" t="s">
        <v>814</v>
      </c>
      <c r="I2239" s="794">
        <v>7.0358218531867606E-2</v>
      </c>
      <c r="J2239" s="794">
        <v>156.76182224011632</v>
      </c>
      <c r="K2239" s="771"/>
    </row>
    <row r="2240" spans="1:11" ht="18.75" customHeight="1" outlineLevel="2">
      <c r="A2240" s="791" t="s">
        <v>776</v>
      </c>
      <c r="B2240" s="791" t="s">
        <v>1030</v>
      </c>
      <c r="C2240" s="791" t="s">
        <v>778</v>
      </c>
      <c r="D2240" s="792" t="s">
        <v>779</v>
      </c>
      <c r="E2240" s="793" t="s">
        <v>662</v>
      </c>
      <c r="F2240" s="793" t="s">
        <v>882</v>
      </c>
      <c r="G2240" s="793" t="s">
        <v>813</v>
      </c>
      <c r="H2240" s="793" t="s">
        <v>814</v>
      </c>
      <c r="I2240" s="794">
        <v>1.9367048553110733</v>
      </c>
      <c r="J2240" s="794">
        <v>3030.6391508893594</v>
      </c>
      <c r="K2240" s="771"/>
    </row>
    <row r="2241" spans="1:11" ht="18.75" customHeight="1" outlineLevel="2">
      <c r="A2241" s="791" t="s">
        <v>776</v>
      </c>
      <c r="B2241" s="791" t="s">
        <v>1030</v>
      </c>
      <c r="C2241" s="791" t="s">
        <v>778</v>
      </c>
      <c r="D2241" s="792" t="s">
        <v>779</v>
      </c>
      <c r="E2241" s="793" t="s">
        <v>662</v>
      </c>
      <c r="F2241" s="793" t="s">
        <v>883</v>
      </c>
      <c r="G2241" s="793" t="s">
        <v>813</v>
      </c>
      <c r="H2241" s="793" t="s">
        <v>814</v>
      </c>
      <c r="I2241" s="794">
        <v>2.1525196836945076E-2</v>
      </c>
      <c r="J2241" s="794">
        <v>24.285332816718956</v>
      </c>
      <c r="K2241" s="771"/>
    </row>
    <row r="2242" spans="1:11" ht="18.75" customHeight="1" outlineLevel="2">
      <c r="A2242" s="791" t="s">
        <v>776</v>
      </c>
      <c r="B2242" s="791" t="s">
        <v>1030</v>
      </c>
      <c r="C2242" s="791" t="s">
        <v>778</v>
      </c>
      <c r="D2242" s="792" t="s">
        <v>779</v>
      </c>
      <c r="E2242" s="793" t="s">
        <v>662</v>
      </c>
      <c r="F2242" s="793" t="s">
        <v>884</v>
      </c>
      <c r="G2242" s="793" t="s">
        <v>813</v>
      </c>
      <c r="H2242" s="793" t="s">
        <v>814</v>
      </c>
      <c r="I2242" s="794">
        <v>8.1271230484229989E-2</v>
      </c>
      <c r="J2242" s="794">
        <v>93.126452227804364</v>
      </c>
      <c r="K2242" s="771"/>
    </row>
    <row r="2243" spans="1:11" ht="18.75" customHeight="1" outlineLevel="2">
      <c r="A2243" s="791" t="s">
        <v>776</v>
      </c>
      <c r="B2243" s="791" t="s">
        <v>1030</v>
      </c>
      <c r="C2243" s="791" t="s">
        <v>778</v>
      </c>
      <c r="D2243" s="792" t="s">
        <v>779</v>
      </c>
      <c r="E2243" s="793" t="s">
        <v>662</v>
      </c>
      <c r="F2243" s="793" t="s">
        <v>885</v>
      </c>
      <c r="G2243" s="793" t="s">
        <v>791</v>
      </c>
      <c r="H2243" s="793" t="s">
        <v>826</v>
      </c>
      <c r="I2243" s="794">
        <v>4.4254890154425626E-4</v>
      </c>
      <c r="J2243" s="794">
        <v>0.64535511835900117</v>
      </c>
      <c r="K2243" s="771"/>
    </row>
    <row r="2244" spans="1:11" ht="18.75" customHeight="1" outlineLevel="2">
      <c r="A2244" s="791" t="s">
        <v>776</v>
      </c>
      <c r="B2244" s="791" t="s">
        <v>1030</v>
      </c>
      <c r="C2244" s="791" t="s">
        <v>778</v>
      </c>
      <c r="D2244" s="792" t="s">
        <v>779</v>
      </c>
      <c r="E2244" s="793" t="s">
        <v>662</v>
      </c>
      <c r="F2244" s="793" t="s">
        <v>886</v>
      </c>
      <c r="G2244" s="793" t="s">
        <v>791</v>
      </c>
      <c r="H2244" s="793" t="s">
        <v>826</v>
      </c>
      <c r="I2244" s="794">
        <v>5.7894417269598367E-4</v>
      </c>
      <c r="J2244" s="794">
        <v>2.4972931150184836</v>
      </c>
      <c r="K2244" s="771"/>
    </row>
    <row r="2245" spans="1:11" ht="18.75" customHeight="1" outlineLevel="2">
      <c r="A2245" s="791" t="s">
        <v>776</v>
      </c>
      <c r="B2245" s="791" t="s">
        <v>1030</v>
      </c>
      <c r="C2245" s="791" t="s">
        <v>778</v>
      </c>
      <c r="D2245" s="792" t="s">
        <v>779</v>
      </c>
      <c r="E2245" s="793" t="s">
        <v>662</v>
      </c>
      <c r="F2245" s="793" t="s">
        <v>887</v>
      </c>
      <c r="G2245" s="793" t="s">
        <v>791</v>
      </c>
      <c r="H2245" s="793" t="s">
        <v>826</v>
      </c>
      <c r="I2245" s="794">
        <v>2.1532264975665412E-5</v>
      </c>
      <c r="J2245" s="794">
        <v>2.00326163778499E-2</v>
      </c>
      <c r="K2245" s="771"/>
    </row>
    <row r="2246" spans="1:11" ht="18.75" customHeight="1" outlineLevel="2">
      <c r="A2246" s="791" t="s">
        <v>776</v>
      </c>
      <c r="B2246" s="791" t="s">
        <v>1030</v>
      </c>
      <c r="C2246" s="791" t="s">
        <v>778</v>
      </c>
      <c r="D2246" s="792" t="s">
        <v>779</v>
      </c>
      <c r="E2246" s="793" t="s">
        <v>662</v>
      </c>
      <c r="F2246" s="793" t="s">
        <v>888</v>
      </c>
      <c r="G2246" s="793" t="s">
        <v>791</v>
      </c>
      <c r="H2246" s="793" t="s">
        <v>826</v>
      </c>
      <c r="I2246" s="794">
        <v>1.9314089935184365E-3</v>
      </c>
      <c r="J2246" s="794">
        <v>1.7933145923033273</v>
      </c>
      <c r="K2246" s="771"/>
    </row>
    <row r="2247" spans="1:11" ht="18.75" customHeight="1" outlineLevel="2">
      <c r="A2247" s="791" t="s">
        <v>776</v>
      </c>
      <c r="B2247" s="791" t="s">
        <v>1030</v>
      </c>
      <c r="C2247" s="791" t="s">
        <v>778</v>
      </c>
      <c r="D2247" s="792" t="s">
        <v>779</v>
      </c>
      <c r="E2247" s="793" t="s">
        <v>662</v>
      </c>
      <c r="F2247" s="793" t="s">
        <v>889</v>
      </c>
      <c r="G2247" s="793" t="s">
        <v>791</v>
      </c>
      <c r="H2247" s="793" t="s">
        <v>826</v>
      </c>
      <c r="I2247" s="794">
        <v>3.7233358160365247E-4</v>
      </c>
      <c r="J2247" s="794">
        <v>0.5305800516157454</v>
      </c>
      <c r="K2247" s="771"/>
    </row>
    <row r="2248" spans="1:11" ht="18.75" customHeight="1" outlineLevel="2">
      <c r="A2248" s="791" t="s">
        <v>776</v>
      </c>
      <c r="B2248" s="791" t="s">
        <v>1030</v>
      </c>
      <c r="C2248" s="791" t="s">
        <v>778</v>
      </c>
      <c r="D2248" s="792" t="s">
        <v>779</v>
      </c>
      <c r="E2248" s="793" t="s">
        <v>662</v>
      </c>
      <c r="F2248" s="793" t="s">
        <v>890</v>
      </c>
      <c r="G2248" s="793" t="s">
        <v>791</v>
      </c>
      <c r="H2248" s="793" t="s">
        <v>826</v>
      </c>
      <c r="I2248" s="794">
        <v>5.3143834380153286E-3</v>
      </c>
      <c r="J2248" s="794">
        <v>5.8787977690125572</v>
      </c>
      <c r="K2248" s="771"/>
    </row>
    <row r="2249" spans="1:11" ht="18.75" customHeight="1" outlineLevel="2">
      <c r="A2249" s="791" t="s">
        <v>776</v>
      </c>
      <c r="B2249" s="791" t="s">
        <v>1030</v>
      </c>
      <c r="C2249" s="791" t="s">
        <v>778</v>
      </c>
      <c r="D2249" s="792" t="s">
        <v>779</v>
      </c>
      <c r="E2249" s="793" t="s">
        <v>662</v>
      </c>
      <c r="F2249" s="793" t="s">
        <v>891</v>
      </c>
      <c r="G2249" s="793" t="s">
        <v>791</v>
      </c>
      <c r="H2249" s="793" t="s">
        <v>826</v>
      </c>
      <c r="I2249" s="794">
        <v>2.7177706475239916E-2</v>
      </c>
      <c r="J2249" s="794">
        <v>13.179661443497992</v>
      </c>
      <c r="K2249" s="771"/>
    </row>
    <row r="2250" spans="1:11" ht="18.75" customHeight="1" outlineLevel="2">
      <c r="A2250" s="791" t="s">
        <v>776</v>
      </c>
      <c r="B2250" s="791" t="s">
        <v>1030</v>
      </c>
      <c r="C2250" s="791" t="s">
        <v>778</v>
      </c>
      <c r="D2250" s="792" t="s">
        <v>779</v>
      </c>
      <c r="E2250" s="793" t="s">
        <v>662</v>
      </c>
      <c r="F2250" s="793" t="s">
        <v>892</v>
      </c>
      <c r="G2250" s="793" t="s">
        <v>791</v>
      </c>
      <c r="H2250" s="793" t="s">
        <v>826</v>
      </c>
      <c r="I2250" s="794">
        <v>3.0587580817949783E-3</v>
      </c>
      <c r="J2250" s="794">
        <v>2.8400589217652072</v>
      </c>
      <c r="K2250" s="771"/>
    </row>
    <row r="2251" spans="1:11" ht="18.75" customHeight="1" outlineLevel="2">
      <c r="A2251" s="791" t="s">
        <v>776</v>
      </c>
      <c r="B2251" s="791" t="s">
        <v>1030</v>
      </c>
      <c r="C2251" s="791" t="s">
        <v>778</v>
      </c>
      <c r="D2251" s="792" t="s">
        <v>779</v>
      </c>
      <c r="E2251" s="793" t="s">
        <v>662</v>
      </c>
      <c r="F2251" s="793" t="s">
        <v>893</v>
      </c>
      <c r="G2251" s="793" t="s">
        <v>791</v>
      </c>
      <c r="H2251" s="793" t="s">
        <v>826</v>
      </c>
      <c r="I2251" s="794">
        <v>4.0178526000133252E-3</v>
      </c>
      <c r="J2251" s="794">
        <v>4.0528663009396766</v>
      </c>
      <c r="K2251" s="771"/>
    </row>
    <row r="2252" spans="1:11" ht="18.75" customHeight="1" outlineLevel="2">
      <c r="A2252" s="791" t="s">
        <v>776</v>
      </c>
      <c r="B2252" s="791" t="s">
        <v>1030</v>
      </c>
      <c r="C2252" s="791" t="s">
        <v>778</v>
      </c>
      <c r="D2252" s="792" t="s">
        <v>779</v>
      </c>
      <c r="E2252" s="793" t="s">
        <v>662</v>
      </c>
      <c r="F2252" s="793" t="s">
        <v>894</v>
      </c>
      <c r="G2252" s="793" t="s">
        <v>791</v>
      </c>
      <c r="H2252" s="793" t="s">
        <v>826</v>
      </c>
      <c r="I2252" s="794">
        <v>4.8256242534553708E-4</v>
      </c>
      <c r="J2252" s="794">
        <v>4.331322013401504</v>
      </c>
      <c r="K2252" s="771"/>
    </row>
    <row r="2253" spans="1:11" ht="18.75" customHeight="1" outlineLevel="2">
      <c r="A2253" s="791" t="s">
        <v>776</v>
      </c>
      <c r="B2253" s="791" t="s">
        <v>1030</v>
      </c>
      <c r="C2253" s="791" t="s">
        <v>778</v>
      </c>
      <c r="D2253" s="792" t="s">
        <v>779</v>
      </c>
      <c r="E2253" s="793" t="s">
        <v>662</v>
      </c>
      <c r="F2253" s="793" t="s">
        <v>895</v>
      </c>
      <c r="G2253" s="793" t="s">
        <v>794</v>
      </c>
      <c r="H2253" s="793" t="s">
        <v>828</v>
      </c>
      <c r="I2253" s="794">
        <v>0.23013143252970072</v>
      </c>
      <c r="J2253" s="794">
        <v>314.8113870829751</v>
      </c>
      <c r="K2253" s="771"/>
    </row>
    <row r="2254" spans="1:11" ht="18.75" customHeight="1" outlineLevel="2">
      <c r="A2254" s="791" t="s">
        <v>776</v>
      </c>
      <c r="B2254" s="791" t="s">
        <v>1030</v>
      </c>
      <c r="C2254" s="791" t="s">
        <v>778</v>
      </c>
      <c r="D2254" s="792" t="s">
        <v>779</v>
      </c>
      <c r="E2254" s="793" t="s">
        <v>662</v>
      </c>
      <c r="F2254" s="793" t="s">
        <v>896</v>
      </c>
      <c r="G2254" s="793" t="s">
        <v>794</v>
      </c>
      <c r="H2254" s="793" t="s">
        <v>828</v>
      </c>
      <c r="I2254" s="794">
        <v>5.4046757207135428E-2</v>
      </c>
      <c r="J2254" s="794">
        <v>78.762969669800754</v>
      </c>
      <c r="K2254" s="771"/>
    </row>
    <row r="2255" spans="1:11" ht="18.75" customHeight="1" outlineLevel="2">
      <c r="A2255" s="791" t="s">
        <v>776</v>
      </c>
      <c r="B2255" s="791" t="s">
        <v>1030</v>
      </c>
      <c r="C2255" s="791" t="s">
        <v>778</v>
      </c>
      <c r="D2255" s="792" t="s">
        <v>779</v>
      </c>
      <c r="E2255" s="793" t="s">
        <v>662</v>
      </c>
      <c r="F2255" s="793" t="s">
        <v>897</v>
      </c>
      <c r="G2255" s="793" t="s">
        <v>794</v>
      </c>
      <c r="H2255" s="793" t="s">
        <v>828</v>
      </c>
      <c r="I2255" s="794">
        <v>2.4934089960488626E-2</v>
      </c>
      <c r="J2255" s="794">
        <v>41.647264415891918</v>
      </c>
      <c r="K2255" s="771"/>
    </row>
    <row r="2256" spans="1:11" ht="18.75" customHeight="1" outlineLevel="2">
      <c r="A2256" s="791" t="s">
        <v>776</v>
      </c>
      <c r="B2256" s="791" t="s">
        <v>1030</v>
      </c>
      <c r="C2256" s="791" t="s">
        <v>778</v>
      </c>
      <c r="D2256" s="792" t="s">
        <v>779</v>
      </c>
      <c r="E2256" s="793" t="s">
        <v>662</v>
      </c>
      <c r="F2256" s="793" t="s">
        <v>898</v>
      </c>
      <c r="G2256" s="793" t="s">
        <v>794</v>
      </c>
      <c r="H2256" s="793" t="s">
        <v>828</v>
      </c>
      <c r="I2256" s="794">
        <v>5.7455925132774706E-2</v>
      </c>
      <c r="J2256" s="794">
        <v>89.53038337649572</v>
      </c>
      <c r="K2256" s="771"/>
    </row>
    <row r="2257" spans="1:11" ht="18.75" customHeight="1" outlineLevel="2">
      <c r="A2257" s="791" t="s">
        <v>776</v>
      </c>
      <c r="B2257" s="791" t="s">
        <v>1030</v>
      </c>
      <c r="C2257" s="791" t="s">
        <v>778</v>
      </c>
      <c r="D2257" s="792" t="s">
        <v>779</v>
      </c>
      <c r="E2257" s="793" t="s">
        <v>662</v>
      </c>
      <c r="F2257" s="793" t="s">
        <v>899</v>
      </c>
      <c r="G2257" s="793" t="s">
        <v>794</v>
      </c>
      <c r="H2257" s="793" t="s">
        <v>828</v>
      </c>
      <c r="I2257" s="794">
        <v>0.10122339517287948</v>
      </c>
      <c r="J2257" s="794">
        <v>141.45563461505554</v>
      </c>
      <c r="K2257" s="771"/>
    </row>
    <row r="2258" spans="1:11" ht="18.75" customHeight="1" outlineLevel="2">
      <c r="A2258" s="791" t="s">
        <v>776</v>
      </c>
      <c r="B2258" s="791" t="s">
        <v>1030</v>
      </c>
      <c r="C2258" s="791" t="s">
        <v>778</v>
      </c>
      <c r="D2258" s="792" t="s">
        <v>779</v>
      </c>
      <c r="E2258" s="793" t="s">
        <v>662</v>
      </c>
      <c r="F2258" s="793" t="s">
        <v>900</v>
      </c>
      <c r="G2258" s="793" t="s">
        <v>794</v>
      </c>
      <c r="H2258" s="793" t="s">
        <v>828</v>
      </c>
      <c r="I2258" s="794">
        <v>4.6893928619202267E-3</v>
      </c>
      <c r="J2258" s="794">
        <v>6.6368659458839243</v>
      </c>
      <c r="K2258" s="771"/>
    </row>
    <row r="2259" spans="1:11" ht="18.75" customHeight="1" outlineLevel="2">
      <c r="A2259" s="791" t="s">
        <v>776</v>
      </c>
      <c r="B2259" s="791" t="s">
        <v>1030</v>
      </c>
      <c r="C2259" s="791" t="s">
        <v>778</v>
      </c>
      <c r="D2259" s="792" t="s">
        <v>779</v>
      </c>
      <c r="E2259" s="793" t="s">
        <v>662</v>
      </c>
      <c r="F2259" s="793" t="s">
        <v>901</v>
      </c>
      <c r="G2259" s="793" t="s">
        <v>833</v>
      </c>
      <c r="H2259" s="793" t="s">
        <v>834</v>
      </c>
      <c r="I2259" s="794">
        <v>5.2698027662627621E-2</v>
      </c>
      <c r="J2259" s="794">
        <v>54.267037428088109</v>
      </c>
      <c r="K2259" s="771"/>
    </row>
    <row r="2260" spans="1:11" ht="18.75" customHeight="1" outlineLevel="2">
      <c r="A2260" s="791" t="s">
        <v>776</v>
      </c>
      <c r="B2260" s="791" t="s">
        <v>1030</v>
      </c>
      <c r="C2260" s="791" t="s">
        <v>778</v>
      </c>
      <c r="D2260" s="792" t="s">
        <v>779</v>
      </c>
      <c r="E2260" s="793" t="s">
        <v>662</v>
      </c>
      <c r="F2260" s="793" t="s">
        <v>902</v>
      </c>
      <c r="G2260" s="793" t="s">
        <v>833</v>
      </c>
      <c r="H2260" s="793" t="s">
        <v>834</v>
      </c>
      <c r="I2260" s="794">
        <v>4.5874333700099803E-4</v>
      </c>
      <c r="J2260" s="794">
        <v>0.57835837197026163</v>
      </c>
      <c r="K2260" s="771"/>
    </row>
    <row r="2261" spans="1:11" ht="18.75" customHeight="1" outlineLevel="2">
      <c r="A2261" s="791" t="s">
        <v>776</v>
      </c>
      <c r="B2261" s="791" t="s">
        <v>1030</v>
      </c>
      <c r="C2261" s="791" t="s">
        <v>778</v>
      </c>
      <c r="D2261" s="792" t="s">
        <v>779</v>
      </c>
      <c r="E2261" s="793" t="s">
        <v>662</v>
      </c>
      <c r="F2261" s="793" t="s">
        <v>903</v>
      </c>
      <c r="G2261" s="793" t="s">
        <v>904</v>
      </c>
      <c r="H2261" s="793" t="s">
        <v>905</v>
      </c>
      <c r="I2261" s="794">
        <v>1.1552619112804563</v>
      </c>
      <c r="J2261" s="794">
        <v>982.91837151314121</v>
      </c>
      <c r="K2261" s="771"/>
    </row>
    <row r="2262" spans="1:11" ht="18.75" customHeight="1" outlineLevel="2">
      <c r="A2262" s="791" t="s">
        <v>776</v>
      </c>
      <c r="B2262" s="791" t="s">
        <v>1030</v>
      </c>
      <c r="C2262" s="791" t="s">
        <v>778</v>
      </c>
      <c r="D2262" s="792" t="s">
        <v>779</v>
      </c>
      <c r="E2262" s="793" t="s">
        <v>662</v>
      </c>
      <c r="F2262" s="793" t="s">
        <v>906</v>
      </c>
      <c r="G2262" s="793" t="s">
        <v>904</v>
      </c>
      <c r="H2262" s="793" t="s">
        <v>905</v>
      </c>
      <c r="I2262" s="794">
        <v>0.48626428029062763</v>
      </c>
      <c r="J2262" s="794">
        <v>414.83716051810751</v>
      </c>
      <c r="K2262" s="771"/>
    </row>
    <row r="2263" spans="1:11" ht="18.75" customHeight="1" outlineLevel="2">
      <c r="A2263" s="791" t="s">
        <v>776</v>
      </c>
      <c r="B2263" s="791" t="s">
        <v>1030</v>
      </c>
      <c r="C2263" s="791" t="s">
        <v>778</v>
      </c>
      <c r="D2263" s="792" t="s">
        <v>779</v>
      </c>
      <c r="E2263" s="793" t="s">
        <v>662</v>
      </c>
      <c r="F2263" s="793" t="s">
        <v>907</v>
      </c>
      <c r="G2263" s="793" t="s">
        <v>908</v>
      </c>
      <c r="H2263" s="793" t="s">
        <v>905</v>
      </c>
      <c r="I2263" s="794">
        <v>0.18391763434490233</v>
      </c>
      <c r="J2263" s="794">
        <v>306.43270588003884</v>
      </c>
      <c r="K2263" s="771"/>
    </row>
    <row r="2264" spans="1:11" ht="18.75" customHeight="1" outlineLevel="2">
      <c r="A2264" s="791" t="s">
        <v>776</v>
      </c>
      <c r="B2264" s="791" t="s">
        <v>1030</v>
      </c>
      <c r="C2264" s="791" t="s">
        <v>778</v>
      </c>
      <c r="D2264" s="792" t="s">
        <v>779</v>
      </c>
      <c r="E2264" s="793" t="s">
        <v>662</v>
      </c>
      <c r="F2264" s="793" t="s">
        <v>909</v>
      </c>
      <c r="G2264" s="793" t="s">
        <v>910</v>
      </c>
      <c r="H2264" s="793" t="s">
        <v>911</v>
      </c>
      <c r="I2264" s="794">
        <v>6.3807367347694453E-4</v>
      </c>
      <c r="J2264" s="794">
        <v>0.93849880763333204</v>
      </c>
      <c r="K2264" s="771"/>
    </row>
    <row r="2265" spans="1:11" ht="18.75" customHeight="1" outlineLevel="2">
      <c r="A2265" s="791" t="s">
        <v>776</v>
      </c>
      <c r="B2265" s="791" t="s">
        <v>1030</v>
      </c>
      <c r="C2265" s="791" t="s">
        <v>778</v>
      </c>
      <c r="D2265" s="792" t="s">
        <v>779</v>
      </c>
      <c r="E2265" s="793" t="s">
        <v>763</v>
      </c>
      <c r="F2265" s="793" t="s">
        <v>912</v>
      </c>
      <c r="G2265" s="793" t="s">
        <v>799</v>
      </c>
      <c r="H2265" s="793" t="s">
        <v>913</v>
      </c>
      <c r="I2265" s="794">
        <v>3.845308853103403E-3</v>
      </c>
      <c r="J2265" s="794">
        <v>7.3639532715053111</v>
      </c>
      <c r="K2265" s="771"/>
    </row>
    <row r="2266" spans="1:11" ht="18.75" customHeight="1" outlineLevel="2">
      <c r="A2266" s="791" t="s">
        <v>776</v>
      </c>
      <c r="B2266" s="791" t="s">
        <v>1030</v>
      </c>
      <c r="C2266" s="791" t="s">
        <v>778</v>
      </c>
      <c r="D2266" s="792" t="s">
        <v>779</v>
      </c>
      <c r="E2266" s="793" t="s">
        <v>763</v>
      </c>
      <c r="F2266" s="793" t="s">
        <v>914</v>
      </c>
      <c r="G2266" s="793" t="s">
        <v>782</v>
      </c>
      <c r="H2266" s="793" t="s">
        <v>913</v>
      </c>
      <c r="I2266" s="794">
        <v>1.58410655976141E-4</v>
      </c>
      <c r="J2266" s="794">
        <v>0.73740100681728349</v>
      </c>
      <c r="K2266" s="771"/>
    </row>
    <row r="2267" spans="1:11" ht="18.75" customHeight="1" outlineLevel="2">
      <c r="A2267" s="791" t="s">
        <v>776</v>
      </c>
      <c r="B2267" s="791" t="s">
        <v>1030</v>
      </c>
      <c r="C2267" s="791" t="s">
        <v>778</v>
      </c>
      <c r="D2267" s="792" t="s">
        <v>779</v>
      </c>
      <c r="E2267" s="793" t="s">
        <v>763</v>
      </c>
      <c r="F2267" s="793" t="s">
        <v>915</v>
      </c>
      <c r="G2267" s="793" t="s">
        <v>782</v>
      </c>
      <c r="H2267" s="793" t="s">
        <v>913</v>
      </c>
      <c r="I2267" s="794">
        <v>8.4960707264348649E-5</v>
      </c>
      <c r="J2267" s="794">
        <v>1.2331931923577804</v>
      </c>
      <c r="K2267" s="771"/>
    </row>
    <row r="2268" spans="1:11" ht="18.75" customHeight="1" outlineLevel="2">
      <c r="A2268" s="791" t="s">
        <v>776</v>
      </c>
      <c r="B2268" s="791" t="s">
        <v>1030</v>
      </c>
      <c r="C2268" s="791" t="s">
        <v>778</v>
      </c>
      <c r="D2268" s="792" t="s">
        <v>779</v>
      </c>
      <c r="E2268" s="793" t="s">
        <v>763</v>
      </c>
      <c r="F2268" s="793" t="s">
        <v>916</v>
      </c>
      <c r="G2268" s="793" t="s">
        <v>782</v>
      </c>
      <c r="H2268" s="793" t="s">
        <v>913</v>
      </c>
      <c r="I2268" s="794">
        <v>1.2596751696144205E-4</v>
      </c>
      <c r="J2268" s="794">
        <v>0.2177807522779861</v>
      </c>
      <c r="K2268" s="771"/>
    </row>
    <row r="2269" spans="1:11" ht="18.75" customHeight="1" outlineLevel="2">
      <c r="A2269" s="791" t="s">
        <v>776</v>
      </c>
      <c r="B2269" s="791" t="s">
        <v>1030</v>
      </c>
      <c r="C2269" s="791" t="s">
        <v>778</v>
      </c>
      <c r="D2269" s="792" t="s">
        <v>779</v>
      </c>
      <c r="E2269" s="793" t="s">
        <v>763</v>
      </c>
      <c r="F2269" s="793" t="s">
        <v>917</v>
      </c>
      <c r="G2269" s="793" t="s">
        <v>782</v>
      </c>
      <c r="H2269" s="793" t="s">
        <v>913</v>
      </c>
      <c r="I2269" s="794">
        <v>2.3062028498787518E-5</v>
      </c>
      <c r="J2269" s="794">
        <v>0.12625744154766819</v>
      </c>
      <c r="K2269" s="771"/>
    </row>
    <row r="2270" spans="1:11" ht="18.75" customHeight="1" outlineLevel="2">
      <c r="A2270" s="791" t="s">
        <v>776</v>
      </c>
      <c r="B2270" s="791" t="s">
        <v>1030</v>
      </c>
      <c r="C2270" s="791" t="s">
        <v>778</v>
      </c>
      <c r="D2270" s="792" t="s">
        <v>779</v>
      </c>
      <c r="E2270" s="793" t="s">
        <v>763</v>
      </c>
      <c r="F2270" s="793" t="s">
        <v>918</v>
      </c>
      <c r="G2270" s="793" t="s">
        <v>782</v>
      </c>
      <c r="H2270" s="793" t="s">
        <v>913</v>
      </c>
      <c r="I2270" s="794">
        <v>5.1044249338555133E-4</v>
      </c>
      <c r="J2270" s="794">
        <v>2.2804965947112406</v>
      </c>
      <c r="K2270" s="771"/>
    </row>
    <row r="2271" spans="1:11" ht="18.75" customHeight="1" outlineLevel="2">
      <c r="A2271" s="791" t="s">
        <v>776</v>
      </c>
      <c r="B2271" s="791" t="s">
        <v>1030</v>
      </c>
      <c r="C2271" s="791" t="s">
        <v>778</v>
      </c>
      <c r="D2271" s="792" t="s">
        <v>779</v>
      </c>
      <c r="E2271" s="793" t="s">
        <v>763</v>
      </c>
      <c r="F2271" s="793" t="s">
        <v>919</v>
      </c>
      <c r="G2271" s="793" t="s">
        <v>782</v>
      </c>
      <c r="H2271" s="793" t="s">
        <v>913</v>
      </c>
      <c r="I2271" s="794">
        <v>9.7638521942392865E-4</v>
      </c>
      <c r="J2271" s="794">
        <v>1.1454450293185121</v>
      </c>
      <c r="K2271" s="771"/>
    </row>
    <row r="2272" spans="1:11" ht="18.75" customHeight="1" outlineLevel="2">
      <c r="A2272" s="791" t="s">
        <v>776</v>
      </c>
      <c r="B2272" s="791" t="s">
        <v>1030</v>
      </c>
      <c r="C2272" s="791" t="s">
        <v>778</v>
      </c>
      <c r="D2272" s="792" t="s">
        <v>779</v>
      </c>
      <c r="E2272" s="793" t="s">
        <v>763</v>
      </c>
      <c r="F2272" s="793" t="s">
        <v>920</v>
      </c>
      <c r="G2272" s="793" t="s">
        <v>782</v>
      </c>
      <c r="H2272" s="793" t="s">
        <v>913</v>
      </c>
      <c r="I2272" s="794">
        <v>1.0604823667240731E-4</v>
      </c>
      <c r="J2272" s="794">
        <v>2.1098795048942907</v>
      </c>
      <c r="K2272" s="771"/>
    </row>
    <row r="2273" spans="1:11" ht="18.75" customHeight="1" outlineLevel="2">
      <c r="A2273" s="791" t="s">
        <v>776</v>
      </c>
      <c r="B2273" s="791" t="s">
        <v>1030</v>
      </c>
      <c r="C2273" s="791" t="s">
        <v>778</v>
      </c>
      <c r="D2273" s="792" t="s">
        <v>779</v>
      </c>
      <c r="E2273" s="793" t="s">
        <v>763</v>
      </c>
      <c r="F2273" s="793" t="s">
        <v>921</v>
      </c>
      <c r="G2273" s="793" t="s">
        <v>782</v>
      </c>
      <c r="H2273" s="793" t="s">
        <v>913</v>
      </c>
      <c r="I2273" s="794">
        <v>4.9219715535944329E-4</v>
      </c>
      <c r="J2273" s="794">
        <v>0.85970690926366289</v>
      </c>
      <c r="K2273" s="771"/>
    </row>
    <row r="2274" spans="1:11" ht="18.75" customHeight="1" outlineLevel="2">
      <c r="A2274" s="791" t="s">
        <v>776</v>
      </c>
      <c r="B2274" s="791" t="s">
        <v>1030</v>
      </c>
      <c r="C2274" s="791" t="s">
        <v>778</v>
      </c>
      <c r="D2274" s="792" t="s">
        <v>779</v>
      </c>
      <c r="E2274" s="793" t="s">
        <v>763</v>
      </c>
      <c r="F2274" s="793" t="s">
        <v>922</v>
      </c>
      <c r="G2274" s="793" t="s">
        <v>782</v>
      </c>
      <c r="H2274" s="793" t="s">
        <v>913</v>
      </c>
      <c r="I2274" s="794">
        <v>7.3577798148704156E-5</v>
      </c>
      <c r="J2274" s="794">
        <v>0.14090600031075198</v>
      </c>
      <c r="K2274" s="771"/>
    </row>
    <row r="2275" spans="1:11" ht="18.75" customHeight="1" outlineLevel="2">
      <c r="A2275" s="791" t="s">
        <v>776</v>
      </c>
      <c r="B2275" s="791" t="s">
        <v>1030</v>
      </c>
      <c r="C2275" s="791" t="s">
        <v>778</v>
      </c>
      <c r="D2275" s="792" t="s">
        <v>779</v>
      </c>
      <c r="E2275" s="793" t="s">
        <v>763</v>
      </c>
      <c r="F2275" s="793" t="s">
        <v>923</v>
      </c>
      <c r="G2275" s="793" t="s">
        <v>782</v>
      </c>
      <c r="H2275" s="793" t="s">
        <v>913</v>
      </c>
      <c r="I2275" s="794">
        <v>4.032438553810787E-4</v>
      </c>
      <c r="J2275" s="794">
        <v>1.4651766321511743</v>
      </c>
      <c r="K2275" s="771"/>
    </row>
    <row r="2276" spans="1:11" ht="18.75" customHeight="1" outlineLevel="2">
      <c r="A2276" s="791" t="s">
        <v>776</v>
      </c>
      <c r="B2276" s="791" t="s">
        <v>1030</v>
      </c>
      <c r="C2276" s="791" t="s">
        <v>778</v>
      </c>
      <c r="D2276" s="792" t="s">
        <v>779</v>
      </c>
      <c r="E2276" s="793" t="s">
        <v>763</v>
      </c>
      <c r="F2276" s="793" t="s">
        <v>924</v>
      </c>
      <c r="G2276" s="793" t="s">
        <v>782</v>
      </c>
      <c r="H2276" s="793" t="s">
        <v>913</v>
      </c>
      <c r="I2276" s="794">
        <v>3.32207206424887E-4</v>
      </c>
      <c r="J2276" s="794">
        <v>3.5380803920954991</v>
      </c>
      <c r="K2276" s="771"/>
    </row>
    <row r="2277" spans="1:11" ht="18.75" customHeight="1" outlineLevel="2">
      <c r="A2277" s="791" t="s">
        <v>776</v>
      </c>
      <c r="B2277" s="791" t="s">
        <v>1030</v>
      </c>
      <c r="C2277" s="791" t="s">
        <v>778</v>
      </c>
      <c r="D2277" s="792" t="s">
        <v>779</v>
      </c>
      <c r="E2277" s="793" t="s">
        <v>763</v>
      </c>
      <c r="F2277" s="793" t="s">
        <v>925</v>
      </c>
      <c r="G2277" s="793" t="s">
        <v>782</v>
      </c>
      <c r="H2277" s="793" t="s">
        <v>913</v>
      </c>
      <c r="I2277" s="794">
        <v>2.337559785665646E-5</v>
      </c>
      <c r="J2277" s="794">
        <v>0.37225224717182298</v>
      </c>
      <c r="K2277" s="771"/>
    </row>
    <row r="2278" spans="1:11" ht="18.75" customHeight="1" outlineLevel="2">
      <c r="A2278" s="791" t="s">
        <v>776</v>
      </c>
      <c r="B2278" s="791" t="s">
        <v>1030</v>
      </c>
      <c r="C2278" s="791" t="s">
        <v>778</v>
      </c>
      <c r="D2278" s="792" t="s">
        <v>779</v>
      </c>
      <c r="E2278" s="793" t="s">
        <v>763</v>
      </c>
      <c r="F2278" s="793" t="s">
        <v>926</v>
      </c>
      <c r="G2278" s="793" t="s">
        <v>782</v>
      </c>
      <c r="H2278" s="793" t="s">
        <v>913</v>
      </c>
      <c r="I2278" s="794">
        <v>1.733527687049908E-3</v>
      </c>
      <c r="J2278" s="794">
        <v>3.1869237993380404</v>
      </c>
      <c r="K2278" s="771"/>
    </row>
    <row r="2279" spans="1:11" ht="18.75" customHeight="1" outlineLevel="2">
      <c r="A2279" s="791" t="s">
        <v>776</v>
      </c>
      <c r="B2279" s="791" t="s">
        <v>1030</v>
      </c>
      <c r="C2279" s="791" t="s">
        <v>778</v>
      </c>
      <c r="D2279" s="792" t="s">
        <v>779</v>
      </c>
      <c r="E2279" s="793" t="s">
        <v>763</v>
      </c>
      <c r="F2279" s="793" t="s">
        <v>927</v>
      </c>
      <c r="G2279" s="793" t="s">
        <v>782</v>
      </c>
      <c r="H2279" s="793" t="s">
        <v>913</v>
      </c>
      <c r="I2279" s="794">
        <v>9.6626660095220545E-4</v>
      </c>
      <c r="J2279" s="794">
        <v>1.3374631468544855</v>
      </c>
      <c r="K2279" s="771"/>
    </row>
    <row r="2280" spans="1:11" ht="18.75" customHeight="1" outlineLevel="2">
      <c r="A2280" s="791" t="s">
        <v>776</v>
      </c>
      <c r="B2280" s="791" t="s">
        <v>1030</v>
      </c>
      <c r="C2280" s="791" t="s">
        <v>778</v>
      </c>
      <c r="D2280" s="792" t="s">
        <v>779</v>
      </c>
      <c r="E2280" s="793" t="s">
        <v>763</v>
      </c>
      <c r="F2280" s="793" t="s">
        <v>928</v>
      </c>
      <c r="G2280" s="793" t="s">
        <v>785</v>
      </c>
      <c r="H2280" s="793" t="s">
        <v>913</v>
      </c>
      <c r="I2280" s="794">
        <v>3.1766688267482702E-3</v>
      </c>
      <c r="J2280" s="794">
        <v>9.7790239985447265</v>
      </c>
      <c r="K2280" s="771"/>
    </row>
    <row r="2281" spans="1:11" ht="18.75" customHeight="1" outlineLevel="2">
      <c r="A2281" s="791" t="s">
        <v>776</v>
      </c>
      <c r="B2281" s="791" t="s">
        <v>1030</v>
      </c>
      <c r="C2281" s="791" t="s">
        <v>778</v>
      </c>
      <c r="D2281" s="792" t="s">
        <v>779</v>
      </c>
      <c r="E2281" s="793" t="s">
        <v>763</v>
      </c>
      <c r="F2281" s="793" t="s">
        <v>929</v>
      </c>
      <c r="G2281" s="793" t="s">
        <v>785</v>
      </c>
      <c r="H2281" s="793" t="s">
        <v>913</v>
      </c>
      <c r="I2281" s="794">
        <v>6.3154309615521001E-2</v>
      </c>
      <c r="J2281" s="794">
        <v>889.50908836795293</v>
      </c>
      <c r="K2281" s="771"/>
    </row>
    <row r="2282" spans="1:11" ht="18.75" customHeight="1" outlineLevel="2">
      <c r="A2282" s="791" t="s">
        <v>776</v>
      </c>
      <c r="B2282" s="791" t="s">
        <v>1030</v>
      </c>
      <c r="C2282" s="791" t="s">
        <v>778</v>
      </c>
      <c r="D2282" s="792" t="s">
        <v>779</v>
      </c>
      <c r="E2282" s="793" t="s">
        <v>763</v>
      </c>
      <c r="F2282" s="793" t="s">
        <v>930</v>
      </c>
      <c r="G2282" s="793" t="s">
        <v>785</v>
      </c>
      <c r="H2282" s="793" t="s">
        <v>913</v>
      </c>
      <c r="I2282" s="794">
        <v>3.7598923243134405E-4</v>
      </c>
      <c r="J2282" s="794">
        <v>6.6265014636719339</v>
      </c>
      <c r="K2282" s="771"/>
    </row>
    <row r="2283" spans="1:11" ht="18.75" customHeight="1" outlineLevel="2">
      <c r="A2283" s="791" t="s">
        <v>776</v>
      </c>
      <c r="B2283" s="791" t="s">
        <v>1030</v>
      </c>
      <c r="C2283" s="791" t="s">
        <v>778</v>
      </c>
      <c r="D2283" s="792" t="s">
        <v>779</v>
      </c>
      <c r="E2283" s="793" t="s">
        <v>763</v>
      </c>
      <c r="F2283" s="793" t="s">
        <v>931</v>
      </c>
      <c r="G2283" s="793" t="s">
        <v>785</v>
      </c>
      <c r="H2283" s="793" t="s">
        <v>913</v>
      </c>
      <c r="I2283" s="794">
        <v>1.2577588482709593E-4</v>
      </c>
      <c r="J2283" s="794">
        <v>2.0902345755032714</v>
      </c>
      <c r="K2283" s="771"/>
    </row>
    <row r="2284" spans="1:11" ht="18.75" customHeight="1" outlineLevel="2">
      <c r="A2284" s="791" t="s">
        <v>776</v>
      </c>
      <c r="B2284" s="791" t="s">
        <v>1030</v>
      </c>
      <c r="C2284" s="791" t="s">
        <v>778</v>
      </c>
      <c r="D2284" s="792" t="s">
        <v>779</v>
      </c>
      <c r="E2284" s="793" t="s">
        <v>763</v>
      </c>
      <c r="F2284" s="793" t="s">
        <v>932</v>
      </c>
      <c r="G2284" s="793" t="s">
        <v>785</v>
      </c>
      <c r="H2284" s="793" t="s">
        <v>913</v>
      </c>
      <c r="I2284" s="794">
        <v>1.3429735577220639E-4</v>
      </c>
      <c r="J2284" s="794">
        <v>0.51622571892221225</v>
      </c>
      <c r="K2284" s="771"/>
    </row>
    <row r="2285" spans="1:11" ht="18.75" customHeight="1" outlineLevel="2">
      <c r="A2285" s="791" t="s">
        <v>776</v>
      </c>
      <c r="B2285" s="791" t="s">
        <v>1030</v>
      </c>
      <c r="C2285" s="791" t="s">
        <v>778</v>
      </c>
      <c r="D2285" s="792" t="s">
        <v>779</v>
      </c>
      <c r="E2285" s="793" t="s">
        <v>763</v>
      </c>
      <c r="F2285" s="793" t="s">
        <v>933</v>
      </c>
      <c r="G2285" s="793" t="s">
        <v>785</v>
      </c>
      <c r="H2285" s="793" t="s">
        <v>913</v>
      </c>
      <c r="I2285" s="794">
        <v>1.8850290296294837E-4</v>
      </c>
      <c r="J2285" s="794">
        <v>4.1054246745765504</v>
      </c>
      <c r="K2285" s="771"/>
    </row>
    <row r="2286" spans="1:11" ht="18.75" customHeight="1" outlineLevel="2">
      <c r="A2286" s="791" t="s">
        <v>776</v>
      </c>
      <c r="B2286" s="791" t="s">
        <v>1030</v>
      </c>
      <c r="C2286" s="791" t="s">
        <v>778</v>
      </c>
      <c r="D2286" s="792" t="s">
        <v>779</v>
      </c>
      <c r="E2286" s="793" t="s">
        <v>763</v>
      </c>
      <c r="F2286" s="793" t="s">
        <v>934</v>
      </c>
      <c r="G2286" s="793" t="s">
        <v>813</v>
      </c>
      <c r="H2286" s="793" t="s">
        <v>913</v>
      </c>
      <c r="I2286" s="794">
        <v>3.4095367176083568E-3</v>
      </c>
      <c r="J2286" s="794">
        <v>51.669134485030476</v>
      </c>
      <c r="K2286" s="771"/>
    </row>
    <row r="2287" spans="1:11" ht="18.75" customHeight="1" outlineLevel="2">
      <c r="A2287" s="791" t="s">
        <v>776</v>
      </c>
      <c r="B2287" s="791" t="s">
        <v>1030</v>
      </c>
      <c r="C2287" s="791" t="s">
        <v>778</v>
      </c>
      <c r="D2287" s="792" t="s">
        <v>779</v>
      </c>
      <c r="E2287" s="793" t="s">
        <v>763</v>
      </c>
      <c r="F2287" s="793" t="s">
        <v>935</v>
      </c>
      <c r="G2287" s="793" t="s">
        <v>791</v>
      </c>
      <c r="H2287" s="793" t="s">
        <v>913</v>
      </c>
      <c r="I2287" s="794">
        <v>2.0318924084911467E-5</v>
      </c>
      <c r="J2287" s="794">
        <v>2.5603514761039281E-2</v>
      </c>
      <c r="K2287" s="771"/>
    </row>
    <row r="2288" spans="1:11" ht="18.75" customHeight="1" outlineLevel="2">
      <c r="A2288" s="791" t="s">
        <v>776</v>
      </c>
      <c r="B2288" s="791" t="s">
        <v>1030</v>
      </c>
      <c r="C2288" s="791" t="s">
        <v>778</v>
      </c>
      <c r="D2288" s="792" t="s">
        <v>779</v>
      </c>
      <c r="E2288" s="793" t="s">
        <v>763</v>
      </c>
      <c r="F2288" s="793" t="s">
        <v>936</v>
      </c>
      <c r="G2288" s="793" t="s">
        <v>791</v>
      </c>
      <c r="H2288" s="793" t="s">
        <v>913</v>
      </c>
      <c r="I2288" s="794">
        <v>2.944025822338925E-6</v>
      </c>
      <c r="J2288" s="794">
        <v>4.9868436172068424E-2</v>
      </c>
      <c r="K2288" s="771"/>
    </row>
    <row r="2289" spans="1:11" ht="18.75" customHeight="1" outlineLevel="2">
      <c r="A2289" s="791" t="s">
        <v>776</v>
      </c>
      <c r="B2289" s="791" t="s">
        <v>1030</v>
      </c>
      <c r="C2289" s="791" t="s">
        <v>778</v>
      </c>
      <c r="D2289" s="792" t="s">
        <v>779</v>
      </c>
      <c r="E2289" s="793" t="s">
        <v>763</v>
      </c>
      <c r="F2289" s="793" t="s">
        <v>937</v>
      </c>
      <c r="G2289" s="793" t="s">
        <v>794</v>
      </c>
      <c r="H2289" s="793" t="s">
        <v>913</v>
      </c>
      <c r="I2289" s="794">
        <v>1.2321619846426149E-2</v>
      </c>
      <c r="J2289" s="794">
        <v>30.253543610842318</v>
      </c>
      <c r="K2289" s="771"/>
    </row>
    <row r="2290" spans="1:11" ht="18.75" customHeight="1" outlineLevel="2">
      <c r="A2290" s="791" t="s">
        <v>776</v>
      </c>
      <c r="B2290" s="791" t="s">
        <v>1030</v>
      </c>
      <c r="C2290" s="791" t="s">
        <v>778</v>
      </c>
      <c r="D2290" s="792" t="s">
        <v>779</v>
      </c>
      <c r="E2290" s="793" t="s">
        <v>763</v>
      </c>
      <c r="F2290" s="793" t="s">
        <v>938</v>
      </c>
      <c r="G2290" s="793" t="s">
        <v>794</v>
      </c>
      <c r="H2290" s="793" t="s">
        <v>913</v>
      </c>
      <c r="I2290" s="794">
        <v>1.4498391032459746E-3</v>
      </c>
      <c r="J2290" s="794">
        <v>6.6221184164867113</v>
      </c>
      <c r="K2290" s="771"/>
    </row>
    <row r="2291" spans="1:11" ht="18.75" customHeight="1" outlineLevel="2">
      <c r="A2291" s="791" t="s">
        <v>776</v>
      </c>
      <c r="B2291" s="791" t="s">
        <v>1030</v>
      </c>
      <c r="C2291" s="791" t="s">
        <v>778</v>
      </c>
      <c r="D2291" s="792" t="s">
        <v>779</v>
      </c>
      <c r="E2291" s="793" t="s">
        <v>763</v>
      </c>
      <c r="F2291" s="793" t="s">
        <v>939</v>
      </c>
      <c r="G2291" s="793" t="s">
        <v>794</v>
      </c>
      <c r="H2291" s="793" t="s">
        <v>913</v>
      </c>
      <c r="I2291" s="794">
        <v>7.5595875489444832E-4</v>
      </c>
      <c r="J2291" s="794">
        <v>7.7324729933254508</v>
      </c>
      <c r="K2291" s="771"/>
    </row>
    <row r="2292" spans="1:11" ht="18.75" customHeight="1" outlineLevel="2">
      <c r="A2292" s="791" t="s">
        <v>776</v>
      </c>
      <c r="B2292" s="791" t="s">
        <v>1030</v>
      </c>
      <c r="C2292" s="791" t="s">
        <v>778</v>
      </c>
      <c r="D2292" s="792" t="s">
        <v>779</v>
      </c>
      <c r="E2292" s="793" t="s">
        <v>763</v>
      </c>
      <c r="F2292" s="793" t="s">
        <v>940</v>
      </c>
      <c r="G2292" s="793" t="s">
        <v>794</v>
      </c>
      <c r="H2292" s="793" t="s">
        <v>913</v>
      </c>
      <c r="I2292" s="794">
        <v>1.2514849215876029E-3</v>
      </c>
      <c r="J2292" s="794">
        <v>9.6103387787465593</v>
      </c>
      <c r="K2292" s="771"/>
    </row>
    <row r="2293" spans="1:11" ht="18.75" customHeight="1" outlineLevel="2">
      <c r="A2293" s="791" t="s">
        <v>776</v>
      </c>
      <c r="B2293" s="791" t="s">
        <v>1030</v>
      </c>
      <c r="C2293" s="791" t="s">
        <v>778</v>
      </c>
      <c r="D2293" s="792" t="s">
        <v>779</v>
      </c>
      <c r="E2293" s="793" t="s">
        <v>763</v>
      </c>
      <c r="F2293" s="793" t="s">
        <v>941</v>
      </c>
      <c r="G2293" s="793" t="s">
        <v>794</v>
      </c>
      <c r="H2293" s="793" t="s">
        <v>913</v>
      </c>
      <c r="I2293" s="794">
        <v>4.3321611708482385E-5</v>
      </c>
      <c r="J2293" s="794">
        <v>0.13070592967798414</v>
      </c>
      <c r="K2293" s="771"/>
    </row>
    <row r="2294" spans="1:11" ht="18.75" customHeight="1" outlineLevel="2">
      <c r="A2294" s="791" t="s">
        <v>776</v>
      </c>
      <c r="B2294" s="791" t="s">
        <v>1030</v>
      </c>
      <c r="C2294" s="791" t="s">
        <v>778</v>
      </c>
      <c r="D2294" s="792" t="s">
        <v>779</v>
      </c>
      <c r="E2294" s="793" t="s">
        <v>763</v>
      </c>
      <c r="F2294" s="793" t="s">
        <v>942</v>
      </c>
      <c r="G2294" s="793" t="s">
        <v>794</v>
      </c>
      <c r="H2294" s="793" t="s">
        <v>913</v>
      </c>
      <c r="I2294" s="794">
        <v>1.0269304395255425E-5</v>
      </c>
      <c r="J2294" s="794">
        <v>0.11866971468415918</v>
      </c>
      <c r="K2294" s="771"/>
    </row>
    <row r="2295" spans="1:11" ht="18.75" customHeight="1" outlineLevel="2">
      <c r="A2295" s="791" t="s">
        <v>776</v>
      </c>
      <c r="B2295" s="791" t="s">
        <v>1030</v>
      </c>
      <c r="C2295" s="791" t="s">
        <v>778</v>
      </c>
      <c r="D2295" s="792" t="s">
        <v>779</v>
      </c>
      <c r="E2295" s="793" t="s">
        <v>763</v>
      </c>
      <c r="F2295" s="793" t="s">
        <v>943</v>
      </c>
      <c r="G2295" s="793" t="s">
        <v>944</v>
      </c>
      <c r="H2295" s="793" t="s">
        <v>913</v>
      </c>
      <c r="I2295" s="794">
        <v>6.5940729981118488E-6</v>
      </c>
      <c r="J2295" s="794">
        <v>2.8488640916030858E-2</v>
      </c>
      <c r="K2295" s="771"/>
    </row>
    <row r="2296" spans="1:11" ht="18.75" customHeight="1" outlineLevel="2">
      <c r="A2296" s="791" t="s">
        <v>776</v>
      </c>
      <c r="B2296" s="791" t="s">
        <v>1030</v>
      </c>
      <c r="C2296" s="791" t="s">
        <v>778</v>
      </c>
      <c r="D2296" s="792" t="s">
        <v>779</v>
      </c>
      <c r="E2296" s="793" t="s">
        <v>764</v>
      </c>
      <c r="F2296" s="793" t="s">
        <v>945</v>
      </c>
      <c r="G2296" s="793" t="s">
        <v>244</v>
      </c>
      <c r="H2296" s="793" t="s">
        <v>905</v>
      </c>
      <c r="I2296" s="794">
        <v>6.4695571741412074E-3</v>
      </c>
      <c r="J2296" s="794">
        <v>232.8444074354872</v>
      </c>
      <c r="K2296" s="771"/>
    </row>
    <row r="2297" spans="1:11" ht="18.75" customHeight="1" outlineLevel="2">
      <c r="A2297" s="791" t="s">
        <v>776</v>
      </c>
      <c r="B2297" s="791" t="s">
        <v>1030</v>
      </c>
      <c r="C2297" s="791" t="s">
        <v>778</v>
      </c>
      <c r="D2297" s="792" t="s">
        <v>779</v>
      </c>
      <c r="E2297" s="793" t="s">
        <v>764</v>
      </c>
      <c r="F2297" s="793" t="s">
        <v>946</v>
      </c>
      <c r="G2297" s="793" t="s">
        <v>244</v>
      </c>
      <c r="H2297" s="793" t="s">
        <v>905</v>
      </c>
      <c r="I2297" s="794">
        <v>1.0253004261446196E-4</v>
      </c>
      <c r="J2297" s="794">
        <v>1.9449370900514955</v>
      </c>
      <c r="K2297" s="771"/>
    </row>
    <row r="2298" spans="1:11" ht="18.75" customHeight="1" outlineLevel="2">
      <c r="A2298" s="791" t="s">
        <v>776</v>
      </c>
      <c r="B2298" s="791" t="s">
        <v>1030</v>
      </c>
      <c r="C2298" s="791" t="s">
        <v>778</v>
      </c>
      <c r="D2298" s="792" t="s">
        <v>779</v>
      </c>
      <c r="E2298" s="793" t="s">
        <v>947</v>
      </c>
      <c r="F2298" s="793" t="s">
        <v>948</v>
      </c>
      <c r="G2298" s="793" t="s">
        <v>799</v>
      </c>
      <c r="H2298" s="793" t="s">
        <v>800</v>
      </c>
      <c r="I2298" s="794">
        <v>4.661726690934313E-3</v>
      </c>
      <c r="J2298" s="794">
        <v>115.24447296446013</v>
      </c>
      <c r="K2298" s="771"/>
    </row>
    <row r="2299" spans="1:11" ht="18.75" customHeight="1" outlineLevel="2">
      <c r="A2299" s="791" t="s">
        <v>776</v>
      </c>
      <c r="B2299" s="791" t="s">
        <v>1030</v>
      </c>
      <c r="C2299" s="791" t="s">
        <v>778</v>
      </c>
      <c r="D2299" s="792" t="s">
        <v>779</v>
      </c>
      <c r="E2299" s="793" t="s">
        <v>947</v>
      </c>
      <c r="F2299" s="793" t="s">
        <v>949</v>
      </c>
      <c r="G2299" s="793" t="s">
        <v>782</v>
      </c>
      <c r="H2299" s="793" t="s">
        <v>804</v>
      </c>
      <c r="I2299" s="794">
        <v>1.5122101163974077E-3</v>
      </c>
      <c r="J2299" s="794">
        <v>88.19274215923393</v>
      </c>
      <c r="K2299" s="771"/>
    </row>
    <row r="2300" spans="1:11" ht="18.75" customHeight="1" outlineLevel="2">
      <c r="A2300" s="791" t="s">
        <v>776</v>
      </c>
      <c r="B2300" s="791" t="s">
        <v>1030</v>
      </c>
      <c r="C2300" s="791" t="s">
        <v>778</v>
      </c>
      <c r="D2300" s="792" t="s">
        <v>779</v>
      </c>
      <c r="E2300" s="793" t="s">
        <v>947</v>
      </c>
      <c r="F2300" s="793" t="s">
        <v>950</v>
      </c>
      <c r="G2300" s="793" t="s">
        <v>782</v>
      </c>
      <c r="H2300" s="793" t="s">
        <v>804</v>
      </c>
      <c r="I2300" s="794">
        <v>1.3002430024062322E-5</v>
      </c>
      <c r="J2300" s="794">
        <v>0.1436200053427435</v>
      </c>
      <c r="K2300" s="771"/>
    </row>
    <row r="2301" spans="1:11" ht="18.75" customHeight="1" outlineLevel="2">
      <c r="A2301" s="791" t="s">
        <v>776</v>
      </c>
      <c r="B2301" s="791" t="s">
        <v>1030</v>
      </c>
      <c r="C2301" s="791" t="s">
        <v>778</v>
      </c>
      <c r="D2301" s="792" t="s">
        <v>779</v>
      </c>
      <c r="E2301" s="793" t="s">
        <v>947</v>
      </c>
      <c r="F2301" s="793" t="s">
        <v>951</v>
      </c>
      <c r="G2301" s="793" t="s">
        <v>782</v>
      </c>
      <c r="H2301" s="793" t="s">
        <v>804</v>
      </c>
      <c r="I2301" s="794">
        <v>1.8856871609267611E-4</v>
      </c>
      <c r="J2301" s="794">
        <v>2.3658131542989471</v>
      </c>
      <c r="K2301" s="771"/>
    </row>
    <row r="2302" spans="1:11" ht="18.75" customHeight="1" outlineLevel="2">
      <c r="A2302" s="791" t="s">
        <v>776</v>
      </c>
      <c r="B2302" s="791" t="s">
        <v>1030</v>
      </c>
      <c r="C2302" s="791" t="s">
        <v>778</v>
      </c>
      <c r="D2302" s="792" t="s">
        <v>779</v>
      </c>
      <c r="E2302" s="793" t="s">
        <v>947</v>
      </c>
      <c r="F2302" s="793" t="s">
        <v>952</v>
      </c>
      <c r="G2302" s="793" t="s">
        <v>782</v>
      </c>
      <c r="H2302" s="793" t="s">
        <v>804</v>
      </c>
      <c r="I2302" s="794">
        <v>4.3061625785446684E-3</v>
      </c>
      <c r="J2302" s="794">
        <v>220.75978378905913</v>
      </c>
      <c r="K2302" s="771"/>
    </row>
    <row r="2303" spans="1:11" ht="18.75" customHeight="1" outlineLevel="2">
      <c r="A2303" s="791" t="s">
        <v>776</v>
      </c>
      <c r="B2303" s="791" t="s">
        <v>1030</v>
      </c>
      <c r="C2303" s="791" t="s">
        <v>778</v>
      </c>
      <c r="D2303" s="792" t="s">
        <v>779</v>
      </c>
      <c r="E2303" s="793" t="s">
        <v>947</v>
      </c>
      <c r="F2303" s="793" t="s">
        <v>953</v>
      </c>
      <c r="G2303" s="793" t="s">
        <v>782</v>
      </c>
      <c r="H2303" s="793" t="s">
        <v>804</v>
      </c>
      <c r="I2303" s="794">
        <v>3.2689252049666042E-3</v>
      </c>
      <c r="J2303" s="794">
        <v>240.20161336076617</v>
      </c>
      <c r="K2303" s="771"/>
    </row>
    <row r="2304" spans="1:11" ht="18.75" customHeight="1" outlineLevel="2">
      <c r="A2304" s="791" t="s">
        <v>776</v>
      </c>
      <c r="B2304" s="791" t="s">
        <v>1030</v>
      </c>
      <c r="C2304" s="791" t="s">
        <v>778</v>
      </c>
      <c r="D2304" s="792" t="s">
        <v>779</v>
      </c>
      <c r="E2304" s="793" t="s">
        <v>947</v>
      </c>
      <c r="F2304" s="793" t="s">
        <v>954</v>
      </c>
      <c r="G2304" s="793" t="s">
        <v>782</v>
      </c>
      <c r="H2304" s="793" t="s">
        <v>804</v>
      </c>
      <c r="I2304" s="794">
        <v>3.6932019379329263E-4</v>
      </c>
      <c r="J2304" s="794">
        <v>13.263483694412347</v>
      </c>
      <c r="K2304" s="771"/>
    </row>
    <row r="2305" spans="1:11" ht="18.75" customHeight="1" outlineLevel="2">
      <c r="A2305" s="791" t="s">
        <v>776</v>
      </c>
      <c r="B2305" s="791" t="s">
        <v>1030</v>
      </c>
      <c r="C2305" s="791" t="s">
        <v>778</v>
      </c>
      <c r="D2305" s="792" t="s">
        <v>779</v>
      </c>
      <c r="E2305" s="793" t="s">
        <v>947</v>
      </c>
      <c r="F2305" s="793" t="s">
        <v>955</v>
      </c>
      <c r="G2305" s="793" t="s">
        <v>782</v>
      </c>
      <c r="H2305" s="793" t="s">
        <v>804</v>
      </c>
      <c r="I2305" s="794">
        <v>1.9643805783367443E-4</v>
      </c>
      <c r="J2305" s="794">
        <v>9.0318600729196046</v>
      </c>
      <c r="K2305" s="771"/>
    </row>
    <row r="2306" spans="1:11" ht="18.75" customHeight="1" outlineLevel="2">
      <c r="A2306" s="791" t="s">
        <v>776</v>
      </c>
      <c r="B2306" s="791" t="s">
        <v>1030</v>
      </c>
      <c r="C2306" s="791" t="s">
        <v>778</v>
      </c>
      <c r="D2306" s="792" t="s">
        <v>779</v>
      </c>
      <c r="E2306" s="793" t="s">
        <v>947</v>
      </c>
      <c r="F2306" s="793" t="s">
        <v>956</v>
      </c>
      <c r="G2306" s="793" t="s">
        <v>782</v>
      </c>
      <c r="H2306" s="793" t="s">
        <v>804</v>
      </c>
      <c r="I2306" s="794">
        <v>1.0440607710886631E-3</v>
      </c>
      <c r="J2306" s="794">
        <v>24.802360715533904</v>
      </c>
      <c r="K2306" s="771"/>
    </row>
    <row r="2307" spans="1:11" ht="18.75" customHeight="1" outlineLevel="2">
      <c r="A2307" s="791" t="s">
        <v>776</v>
      </c>
      <c r="B2307" s="791" t="s">
        <v>1030</v>
      </c>
      <c r="C2307" s="791" t="s">
        <v>778</v>
      </c>
      <c r="D2307" s="792" t="s">
        <v>779</v>
      </c>
      <c r="E2307" s="793" t="s">
        <v>947</v>
      </c>
      <c r="F2307" s="793" t="s">
        <v>957</v>
      </c>
      <c r="G2307" s="793" t="s">
        <v>782</v>
      </c>
      <c r="H2307" s="793" t="s">
        <v>804</v>
      </c>
      <c r="I2307" s="794">
        <v>2.993023463770107E-3</v>
      </c>
      <c r="J2307" s="794">
        <v>106.13586985722758</v>
      </c>
      <c r="K2307" s="771"/>
    </row>
    <row r="2308" spans="1:11" ht="18.75" customHeight="1" outlineLevel="2">
      <c r="A2308" s="791" t="s">
        <v>776</v>
      </c>
      <c r="B2308" s="791" t="s">
        <v>1030</v>
      </c>
      <c r="C2308" s="791" t="s">
        <v>778</v>
      </c>
      <c r="D2308" s="792" t="s">
        <v>779</v>
      </c>
      <c r="E2308" s="793" t="s">
        <v>947</v>
      </c>
      <c r="F2308" s="793" t="s">
        <v>958</v>
      </c>
      <c r="G2308" s="793" t="s">
        <v>782</v>
      </c>
      <c r="H2308" s="793" t="s">
        <v>804</v>
      </c>
      <c r="I2308" s="794">
        <v>2.1159692968268913E-3</v>
      </c>
      <c r="J2308" s="794">
        <v>116.53059496162305</v>
      </c>
      <c r="K2308" s="771"/>
    </row>
    <row r="2309" spans="1:11" ht="18.75" customHeight="1" outlineLevel="2">
      <c r="A2309" s="791" t="s">
        <v>776</v>
      </c>
      <c r="B2309" s="791" t="s">
        <v>1030</v>
      </c>
      <c r="C2309" s="791" t="s">
        <v>778</v>
      </c>
      <c r="D2309" s="792" t="s">
        <v>779</v>
      </c>
      <c r="E2309" s="793" t="s">
        <v>947</v>
      </c>
      <c r="F2309" s="793" t="s">
        <v>959</v>
      </c>
      <c r="G2309" s="793" t="s">
        <v>782</v>
      </c>
      <c r="H2309" s="793" t="s">
        <v>804</v>
      </c>
      <c r="I2309" s="794">
        <v>1.1600725144982428E-2</v>
      </c>
      <c r="J2309" s="794">
        <v>894.77744521501938</v>
      </c>
      <c r="K2309" s="771"/>
    </row>
    <row r="2310" spans="1:11" ht="18.75" customHeight="1" outlineLevel="2">
      <c r="A2310" s="791" t="s">
        <v>776</v>
      </c>
      <c r="B2310" s="791" t="s">
        <v>1030</v>
      </c>
      <c r="C2310" s="791" t="s">
        <v>778</v>
      </c>
      <c r="D2310" s="792" t="s">
        <v>779</v>
      </c>
      <c r="E2310" s="793" t="s">
        <v>947</v>
      </c>
      <c r="F2310" s="793" t="s">
        <v>960</v>
      </c>
      <c r="G2310" s="793" t="s">
        <v>782</v>
      </c>
      <c r="H2310" s="793" t="s">
        <v>804</v>
      </c>
      <c r="I2310" s="794">
        <v>2.4536406134487772E-4</v>
      </c>
      <c r="J2310" s="794">
        <v>7.4401803032520828</v>
      </c>
      <c r="K2310" s="771"/>
    </row>
    <row r="2311" spans="1:11" ht="18.75" customHeight="1" outlineLevel="2">
      <c r="A2311" s="791" t="s">
        <v>776</v>
      </c>
      <c r="B2311" s="791" t="s">
        <v>1030</v>
      </c>
      <c r="C2311" s="791" t="s">
        <v>778</v>
      </c>
      <c r="D2311" s="792" t="s">
        <v>779</v>
      </c>
      <c r="E2311" s="793" t="s">
        <v>947</v>
      </c>
      <c r="F2311" s="793" t="s">
        <v>961</v>
      </c>
      <c r="G2311" s="793" t="s">
        <v>782</v>
      </c>
      <c r="H2311" s="793" t="s">
        <v>804</v>
      </c>
      <c r="I2311" s="794">
        <v>9.6627052883544435E-5</v>
      </c>
      <c r="J2311" s="794">
        <v>4.5556383693763509</v>
      </c>
      <c r="K2311" s="771"/>
    </row>
    <row r="2312" spans="1:11" ht="18.75" customHeight="1" outlineLevel="2">
      <c r="A2312" s="791" t="s">
        <v>776</v>
      </c>
      <c r="B2312" s="791" t="s">
        <v>1030</v>
      </c>
      <c r="C2312" s="791" t="s">
        <v>778</v>
      </c>
      <c r="D2312" s="792" t="s">
        <v>779</v>
      </c>
      <c r="E2312" s="793" t="s">
        <v>947</v>
      </c>
      <c r="F2312" s="793" t="s">
        <v>962</v>
      </c>
      <c r="G2312" s="793" t="s">
        <v>782</v>
      </c>
      <c r="H2312" s="793" t="s">
        <v>804</v>
      </c>
      <c r="I2312" s="794">
        <v>3.4231932505094527E-3</v>
      </c>
      <c r="J2312" s="794">
        <v>204.52318134065783</v>
      </c>
      <c r="K2312" s="771"/>
    </row>
    <row r="2313" spans="1:11" ht="18.75" customHeight="1" outlineLevel="2">
      <c r="A2313" s="791" t="s">
        <v>776</v>
      </c>
      <c r="B2313" s="791" t="s">
        <v>1030</v>
      </c>
      <c r="C2313" s="791" t="s">
        <v>778</v>
      </c>
      <c r="D2313" s="792" t="s">
        <v>779</v>
      </c>
      <c r="E2313" s="793" t="s">
        <v>947</v>
      </c>
      <c r="F2313" s="793" t="s">
        <v>963</v>
      </c>
      <c r="G2313" s="793" t="s">
        <v>782</v>
      </c>
      <c r="H2313" s="793" t="s">
        <v>804</v>
      </c>
      <c r="I2313" s="794">
        <v>2.9429675075453594E-3</v>
      </c>
      <c r="J2313" s="794">
        <v>222.62612984934998</v>
      </c>
      <c r="K2313" s="771"/>
    </row>
    <row r="2314" spans="1:11" ht="18.75" customHeight="1" outlineLevel="2">
      <c r="A2314" s="791" t="s">
        <v>776</v>
      </c>
      <c r="B2314" s="791" t="s">
        <v>1030</v>
      </c>
      <c r="C2314" s="791" t="s">
        <v>778</v>
      </c>
      <c r="D2314" s="792" t="s">
        <v>779</v>
      </c>
      <c r="E2314" s="793" t="s">
        <v>947</v>
      </c>
      <c r="F2314" s="793" t="s">
        <v>964</v>
      </c>
      <c r="G2314" s="793" t="s">
        <v>782</v>
      </c>
      <c r="H2314" s="793" t="s">
        <v>804</v>
      </c>
      <c r="I2314" s="794">
        <v>1.0745051305652367E-2</v>
      </c>
      <c r="J2314" s="794">
        <v>765.8022465024261</v>
      </c>
      <c r="K2314" s="771"/>
    </row>
    <row r="2315" spans="1:11" ht="18.75" customHeight="1" outlineLevel="2">
      <c r="A2315" s="791" t="s">
        <v>776</v>
      </c>
      <c r="B2315" s="791" t="s">
        <v>1030</v>
      </c>
      <c r="C2315" s="791" t="s">
        <v>778</v>
      </c>
      <c r="D2315" s="792" t="s">
        <v>779</v>
      </c>
      <c r="E2315" s="793" t="s">
        <v>947</v>
      </c>
      <c r="F2315" s="793" t="s">
        <v>965</v>
      </c>
      <c r="G2315" s="793" t="s">
        <v>782</v>
      </c>
      <c r="H2315" s="793" t="s">
        <v>804</v>
      </c>
      <c r="I2315" s="794">
        <v>7.3963688123593959E-4</v>
      </c>
      <c r="J2315" s="794">
        <v>36.009368695889364</v>
      </c>
      <c r="K2315" s="771"/>
    </row>
    <row r="2316" spans="1:11" ht="18.75" customHeight="1" outlineLevel="2">
      <c r="A2316" s="791" t="s">
        <v>776</v>
      </c>
      <c r="B2316" s="791" t="s">
        <v>1030</v>
      </c>
      <c r="C2316" s="791" t="s">
        <v>778</v>
      </c>
      <c r="D2316" s="792" t="s">
        <v>779</v>
      </c>
      <c r="E2316" s="793" t="s">
        <v>947</v>
      </c>
      <c r="F2316" s="793" t="s">
        <v>966</v>
      </c>
      <c r="G2316" s="793" t="s">
        <v>782</v>
      </c>
      <c r="H2316" s="793" t="s">
        <v>804</v>
      </c>
      <c r="I2316" s="794">
        <v>6.2193990089119246E-3</v>
      </c>
      <c r="J2316" s="794">
        <v>286.43512988606017</v>
      </c>
      <c r="K2316" s="771"/>
    </row>
    <row r="2317" spans="1:11" ht="18.75" customHeight="1" outlineLevel="2">
      <c r="A2317" s="791" t="s">
        <v>776</v>
      </c>
      <c r="B2317" s="791" t="s">
        <v>1030</v>
      </c>
      <c r="C2317" s="791" t="s">
        <v>778</v>
      </c>
      <c r="D2317" s="792" t="s">
        <v>779</v>
      </c>
      <c r="E2317" s="793" t="s">
        <v>947</v>
      </c>
      <c r="F2317" s="793" t="s">
        <v>967</v>
      </c>
      <c r="G2317" s="793" t="s">
        <v>782</v>
      </c>
      <c r="H2317" s="793" t="s">
        <v>804</v>
      </c>
      <c r="I2317" s="794">
        <v>1.5195892257588467E-2</v>
      </c>
      <c r="J2317" s="794">
        <v>973.8247122314707</v>
      </c>
      <c r="K2317" s="771"/>
    </row>
    <row r="2318" spans="1:11" ht="18.75" customHeight="1" outlineLevel="2">
      <c r="A2318" s="791" t="s">
        <v>776</v>
      </c>
      <c r="B2318" s="791" t="s">
        <v>1030</v>
      </c>
      <c r="C2318" s="791" t="s">
        <v>778</v>
      </c>
      <c r="D2318" s="792" t="s">
        <v>779</v>
      </c>
      <c r="E2318" s="793" t="s">
        <v>947</v>
      </c>
      <c r="F2318" s="793" t="s">
        <v>968</v>
      </c>
      <c r="G2318" s="793" t="s">
        <v>782</v>
      </c>
      <c r="H2318" s="793" t="s">
        <v>804</v>
      </c>
      <c r="I2318" s="794">
        <v>3.3282747414751387E-2</v>
      </c>
      <c r="J2318" s="794">
        <v>653.30339147097004</v>
      </c>
      <c r="K2318" s="771"/>
    </row>
    <row r="2319" spans="1:11" ht="18.75" customHeight="1" outlineLevel="2">
      <c r="A2319" s="791" t="s">
        <v>776</v>
      </c>
      <c r="B2319" s="791" t="s">
        <v>1030</v>
      </c>
      <c r="C2319" s="791" t="s">
        <v>778</v>
      </c>
      <c r="D2319" s="792" t="s">
        <v>779</v>
      </c>
      <c r="E2319" s="793" t="s">
        <v>947</v>
      </c>
      <c r="F2319" s="793" t="s">
        <v>969</v>
      </c>
      <c r="G2319" s="793" t="s">
        <v>782</v>
      </c>
      <c r="H2319" s="793" t="s">
        <v>804</v>
      </c>
      <c r="I2319" s="794">
        <v>1.2237273347669315E-2</v>
      </c>
      <c r="J2319" s="794">
        <v>890.84365196695057</v>
      </c>
      <c r="K2319" s="771"/>
    </row>
    <row r="2320" spans="1:11" ht="18.75" customHeight="1" outlineLevel="2">
      <c r="A2320" s="791" t="s">
        <v>776</v>
      </c>
      <c r="B2320" s="791" t="s">
        <v>1030</v>
      </c>
      <c r="C2320" s="791" t="s">
        <v>778</v>
      </c>
      <c r="D2320" s="792" t="s">
        <v>779</v>
      </c>
      <c r="E2320" s="793" t="s">
        <v>947</v>
      </c>
      <c r="F2320" s="793" t="s">
        <v>970</v>
      </c>
      <c r="G2320" s="793" t="s">
        <v>782</v>
      </c>
      <c r="H2320" s="793" t="s">
        <v>804</v>
      </c>
      <c r="I2320" s="794">
        <v>2.228169584858802E-2</v>
      </c>
      <c r="J2320" s="794">
        <v>512.80972727299172</v>
      </c>
      <c r="K2320" s="771"/>
    </row>
    <row r="2321" spans="1:11" ht="18.75" customHeight="1" outlineLevel="2">
      <c r="A2321" s="791" t="s">
        <v>776</v>
      </c>
      <c r="B2321" s="791" t="s">
        <v>1030</v>
      </c>
      <c r="C2321" s="791" t="s">
        <v>778</v>
      </c>
      <c r="D2321" s="792" t="s">
        <v>779</v>
      </c>
      <c r="E2321" s="793" t="s">
        <v>947</v>
      </c>
      <c r="F2321" s="793" t="s">
        <v>971</v>
      </c>
      <c r="G2321" s="793" t="s">
        <v>782</v>
      </c>
      <c r="H2321" s="793" t="s">
        <v>804</v>
      </c>
      <c r="I2321" s="794">
        <v>1.3079785975927496E-3</v>
      </c>
      <c r="J2321" s="794">
        <v>95.588628028403477</v>
      </c>
      <c r="K2321" s="771"/>
    </row>
    <row r="2322" spans="1:11" ht="18.75" customHeight="1" outlineLevel="2">
      <c r="A2322" s="791" t="s">
        <v>776</v>
      </c>
      <c r="B2322" s="791" t="s">
        <v>1030</v>
      </c>
      <c r="C2322" s="791" t="s">
        <v>778</v>
      </c>
      <c r="D2322" s="792" t="s">
        <v>779</v>
      </c>
      <c r="E2322" s="793" t="s">
        <v>947</v>
      </c>
      <c r="F2322" s="793" t="s">
        <v>972</v>
      </c>
      <c r="G2322" s="793" t="s">
        <v>782</v>
      </c>
      <c r="H2322" s="793" t="s">
        <v>804</v>
      </c>
      <c r="I2322" s="794">
        <v>6.7935346856561112E-5</v>
      </c>
      <c r="J2322" s="794">
        <v>1.5682578225028991</v>
      </c>
      <c r="K2322" s="771"/>
    </row>
    <row r="2323" spans="1:11" ht="18.75" customHeight="1" outlineLevel="2">
      <c r="A2323" s="791" t="s">
        <v>776</v>
      </c>
      <c r="B2323" s="791" t="s">
        <v>1030</v>
      </c>
      <c r="C2323" s="791" t="s">
        <v>778</v>
      </c>
      <c r="D2323" s="792" t="s">
        <v>779</v>
      </c>
      <c r="E2323" s="793" t="s">
        <v>947</v>
      </c>
      <c r="F2323" s="793" t="s">
        <v>973</v>
      </c>
      <c r="G2323" s="793" t="s">
        <v>782</v>
      </c>
      <c r="H2323" s="793" t="s">
        <v>804</v>
      </c>
      <c r="I2323" s="794">
        <v>1.854697078027185E-3</v>
      </c>
      <c r="J2323" s="794">
        <v>99.708329438135337</v>
      </c>
      <c r="K2323" s="771"/>
    </row>
    <row r="2324" spans="1:11" ht="18.75" customHeight="1" outlineLevel="2">
      <c r="A2324" s="791" t="s">
        <v>776</v>
      </c>
      <c r="B2324" s="791" t="s">
        <v>1030</v>
      </c>
      <c r="C2324" s="791" t="s">
        <v>778</v>
      </c>
      <c r="D2324" s="792" t="s">
        <v>779</v>
      </c>
      <c r="E2324" s="793" t="s">
        <v>947</v>
      </c>
      <c r="F2324" s="793" t="s">
        <v>974</v>
      </c>
      <c r="G2324" s="793" t="s">
        <v>785</v>
      </c>
      <c r="H2324" s="793" t="s">
        <v>727</v>
      </c>
      <c r="I2324" s="794">
        <v>6.6095773668593512E-4</v>
      </c>
      <c r="J2324" s="794">
        <v>15.99032091227544</v>
      </c>
      <c r="K2324" s="771"/>
    </row>
    <row r="2325" spans="1:11" ht="18.75" customHeight="1" outlineLevel="2">
      <c r="A2325" s="791" t="s">
        <v>776</v>
      </c>
      <c r="B2325" s="791" t="s">
        <v>1030</v>
      </c>
      <c r="C2325" s="791" t="s">
        <v>778</v>
      </c>
      <c r="D2325" s="792" t="s">
        <v>779</v>
      </c>
      <c r="E2325" s="793" t="s">
        <v>947</v>
      </c>
      <c r="F2325" s="793" t="s">
        <v>975</v>
      </c>
      <c r="G2325" s="793" t="s">
        <v>785</v>
      </c>
      <c r="H2325" s="793" t="s">
        <v>727</v>
      </c>
      <c r="I2325" s="794">
        <v>3.2893427975661939E-3</v>
      </c>
      <c r="J2325" s="794">
        <v>231.98121327377604</v>
      </c>
      <c r="K2325" s="771"/>
    </row>
    <row r="2326" spans="1:11" ht="18.75" customHeight="1" outlineLevel="2">
      <c r="A2326" s="791" t="s">
        <v>776</v>
      </c>
      <c r="B2326" s="791" t="s">
        <v>1030</v>
      </c>
      <c r="C2326" s="791" t="s">
        <v>778</v>
      </c>
      <c r="D2326" s="792" t="s">
        <v>779</v>
      </c>
      <c r="E2326" s="793" t="s">
        <v>947</v>
      </c>
      <c r="F2326" s="793" t="s">
        <v>976</v>
      </c>
      <c r="G2326" s="793" t="s">
        <v>785</v>
      </c>
      <c r="H2326" s="793" t="s">
        <v>727</v>
      </c>
      <c r="I2326" s="794">
        <v>1.9323151221572576E-3</v>
      </c>
      <c r="J2326" s="794">
        <v>101.32460184005845</v>
      </c>
      <c r="K2326" s="771"/>
    </row>
    <row r="2327" spans="1:11" ht="18.75" customHeight="1" outlineLevel="2">
      <c r="A2327" s="791" t="s">
        <v>776</v>
      </c>
      <c r="B2327" s="791" t="s">
        <v>1030</v>
      </c>
      <c r="C2327" s="791" t="s">
        <v>778</v>
      </c>
      <c r="D2327" s="792" t="s">
        <v>779</v>
      </c>
      <c r="E2327" s="793" t="s">
        <v>947</v>
      </c>
      <c r="F2327" s="793" t="s">
        <v>977</v>
      </c>
      <c r="G2327" s="793" t="s">
        <v>785</v>
      </c>
      <c r="H2327" s="793" t="s">
        <v>727</v>
      </c>
      <c r="I2327" s="794">
        <v>2.2872361649024552E-3</v>
      </c>
      <c r="J2327" s="794">
        <v>102.74712079724236</v>
      </c>
      <c r="K2327" s="771"/>
    </row>
    <row r="2328" spans="1:11" ht="18.75" customHeight="1" outlineLevel="2">
      <c r="A2328" s="791" t="s">
        <v>776</v>
      </c>
      <c r="B2328" s="791" t="s">
        <v>1030</v>
      </c>
      <c r="C2328" s="791" t="s">
        <v>778</v>
      </c>
      <c r="D2328" s="792" t="s">
        <v>779</v>
      </c>
      <c r="E2328" s="793" t="s">
        <v>947</v>
      </c>
      <c r="F2328" s="793" t="s">
        <v>978</v>
      </c>
      <c r="G2328" s="793" t="s">
        <v>785</v>
      </c>
      <c r="H2328" s="793" t="s">
        <v>727</v>
      </c>
      <c r="I2328" s="794">
        <v>1.4486312227422E-4</v>
      </c>
      <c r="J2328" s="794">
        <v>3.9625624926835061</v>
      </c>
      <c r="K2328" s="771"/>
    </row>
    <row r="2329" spans="1:11" ht="18.75" customHeight="1" outlineLevel="2">
      <c r="A2329" s="791" t="s">
        <v>776</v>
      </c>
      <c r="B2329" s="791" t="s">
        <v>1030</v>
      </c>
      <c r="C2329" s="791" t="s">
        <v>778</v>
      </c>
      <c r="D2329" s="792" t="s">
        <v>779</v>
      </c>
      <c r="E2329" s="793" t="s">
        <v>947</v>
      </c>
      <c r="F2329" s="793" t="s">
        <v>979</v>
      </c>
      <c r="G2329" s="793" t="s">
        <v>785</v>
      </c>
      <c r="H2329" s="793" t="s">
        <v>727</v>
      </c>
      <c r="I2329" s="794">
        <v>1.6025156195523842E-2</v>
      </c>
      <c r="J2329" s="794">
        <v>526.68918207624824</v>
      </c>
      <c r="K2329" s="771"/>
    </row>
    <row r="2330" spans="1:11" ht="18.75" customHeight="1" outlineLevel="2">
      <c r="A2330" s="791" t="s">
        <v>776</v>
      </c>
      <c r="B2330" s="791" t="s">
        <v>1030</v>
      </c>
      <c r="C2330" s="791" t="s">
        <v>778</v>
      </c>
      <c r="D2330" s="792" t="s">
        <v>779</v>
      </c>
      <c r="E2330" s="793" t="s">
        <v>947</v>
      </c>
      <c r="F2330" s="793" t="s">
        <v>980</v>
      </c>
      <c r="G2330" s="793" t="s">
        <v>785</v>
      </c>
      <c r="H2330" s="793" t="s">
        <v>727</v>
      </c>
      <c r="I2330" s="794">
        <v>1.8035604627540576E-3</v>
      </c>
      <c r="J2330" s="794">
        <v>146.20937367891872</v>
      </c>
      <c r="K2330" s="771"/>
    </row>
    <row r="2331" spans="1:11" ht="18.75" customHeight="1" outlineLevel="2">
      <c r="A2331" s="791" t="s">
        <v>776</v>
      </c>
      <c r="B2331" s="791" t="s">
        <v>1030</v>
      </c>
      <c r="C2331" s="791" t="s">
        <v>778</v>
      </c>
      <c r="D2331" s="792" t="s">
        <v>779</v>
      </c>
      <c r="E2331" s="793" t="s">
        <v>947</v>
      </c>
      <c r="F2331" s="793" t="s">
        <v>981</v>
      </c>
      <c r="G2331" s="793" t="s">
        <v>813</v>
      </c>
      <c r="H2331" s="793" t="s">
        <v>814</v>
      </c>
      <c r="I2331" s="794">
        <v>2.4205043883619344E-6</v>
      </c>
      <c r="J2331" s="794">
        <v>6.0667229383580074E-2</v>
      </c>
      <c r="K2331" s="771"/>
    </row>
    <row r="2332" spans="1:11" ht="18.75" customHeight="1" outlineLevel="2">
      <c r="A2332" s="791" t="s">
        <v>776</v>
      </c>
      <c r="B2332" s="791" t="s">
        <v>1030</v>
      </c>
      <c r="C2332" s="791" t="s">
        <v>778</v>
      </c>
      <c r="D2332" s="792" t="s">
        <v>779</v>
      </c>
      <c r="E2332" s="793" t="s">
        <v>947</v>
      </c>
      <c r="F2332" s="793" t="s">
        <v>982</v>
      </c>
      <c r="G2332" s="793" t="s">
        <v>813</v>
      </c>
      <c r="H2332" s="793" t="s">
        <v>814</v>
      </c>
      <c r="I2332" s="794">
        <v>2.1556940905618084E-4</v>
      </c>
      <c r="J2332" s="794">
        <v>12.075322368461183</v>
      </c>
      <c r="K2332" s="771"/>
    </row>
    <row r="2333" spans="1:11" ht="18.75" customHeight="1" outlineLevel="2">
      <c r="A2333" s="791" t="s">
        <v>776</v>
      </c>
      <c r="B2333" s="791" t="s">
        <v>1030</v>
      </c>
      <c r="C2333" s="791" t="s">
        <v>778</v>
      </c>
      <c r="D2333" s="792" t="s">
        <v>779</v>
      </c>
      <c r="E2333" s="793" t="s">
        <v>947</v>
      </c>
      <c r="F2333" s="793" t="s">
        <v>983</v>
      </c>
      <c r="G2333" s="793" t="s">
        <v>813</v>
      </c>
      <c r="H2333" s="793" t="s">
        <v>814</v>
      </c>
      <c r="I2333" s="794">
        <v>1.9142899022900926E-2</v>
      </c>
      <c r="J2333" s="794">
        <v>425.2623447985145</v>
      </c>
      <c r="K2333" s="771"/>
    </row>
    <row r="2334" spans="1:11" ht="18.75" customHeight="1" outlineLevel="2">
      <c r="A2334" s="791" t="s">
        <v>776</v>
      </c>
      <c r="B2334" s="791" t="s">
        <v>1030</v>
      </c>
      <c r="C2334" s="791" t="s">
        <v>778</v>
      </c>
      <c r="D2334" s="792" t="s">
        <v>779</v>
      </c>
      <c r="E2334" s="793" t="s">
        <v>947</v>
      </c>
      <c r="F2334" s="793" t="s">
        <v>984</v>
      </c>
      <c r="G2334" s="793" t="s">
        <v>813</v>
      </c>
      <c r="H2334" s="793" t="s">
        <v>814</v>
      </c>
      <c r="I2334" s="794">
        <v>5.0342437946641486E-3</v>
      </c>
      <c r="J2334" s="794">
        <v>87.787665803856044</v>
      </c>
      <c r="K2334" s="771"/>
    </row>
    <row r="2335" spans="1:11" ht="18.75" customHeight="1" outlineLevel="2">
      <c r="A2335" s="791" t="s">
        <v>776</v>
      </c>
      <c r="B2335" s="791" t="s">
        <v>1030</v>
      </c>
      <c r="C2335" s="791" t="s">
        <v>778</v>
      </c>
      <c r="D2335" s="792" t="s">
        <v>779</v>
      </c>
      <c r="E2335" s="793" t="s">
        <v>947</v>
      </c>
      <c r="F2335" s="793" t="s">
        <v>985</v>
      </c>
      <c r="G2335" s="793" t="s">
        <v>813</v>
      </c>
      <c r="H2335" s="793" t="s">
        <v>814</v>
      </c>
      <c r="I2335" s="794">
        <v>1.1898980986702839E-2</v>
      </c>
      <c r="J2335" s="794">
        <v>579.71733598499418</v>
      </c>
      <c r="K2335" s="771"/>
    </row>
    <row r="2336" spans="1:11" ht="18.75" customHeight="1" outlineLevel="2">
      <c r="A2336" s="791" t="s">
        <v>776</v>
      </c>
      <c r="B2336" s="791" t="s">
        <v>1030</v>
      </c>
      <c r="C2336" s="791" t="s">
        <v>778</v>
      </c>
      <c r="D2336" s="792" t="s">
        <v>779</v>
      </c>
      <c r="E2336" s="793" t="s">
        <v>947</v>
      </c>
      <c r="F2336" s="793" t="s">
        <v>986</v>
      </c>
      <c r="G2336" s="793" t="s">
        <v>813</v>
      </c>
      <c r="H2336" s="793" t="s">
        <v>814</v>
      </c>
      <c r="I2336" s="794">
        <v>2.0406242793093634E-3</v>
      </c>
      <c r="J2336" s="794">
        <v>68.305297045295617</v>
      </c>
      <c r="K2336" s="771"/>
    </row>
    <row r="2337" spans="1:11" ht="18.75" customHeight="1" outlineLevel="2">
      <c r="A2337" s="791" t="s">
        <v>776</v>
      </c>
      <c r="B2337" s="791" t="s">
        <v>1030</v>
      </c>
      <c r="C2337" s="791" t="s">
        <v>778</v>
      </c>
      <c r="D2337" s="792" t="s">
        <v>779</v>
      </c>
      <c r="E2337" s="793" t="s">
        <v>947</v>
      </c>
      <c r="F2337" s="793" t="s">
        <v>987</v>
      </c>
      <c r="G2337" s="793" t="s">
        <v>813</v>
      </c>
      <c r="H2337" s="793" t="s">
        <v>814</v>
      </c>
      <c r="I2337" s="794">
        <v>5.7371859469934597E-5</v>
      </c>
      <c r="J2337" s="794">
        <v>1.7344213004758249</v>
      </c>
      <c r="K2337" s="771"/>
    </row>
    <row r="2338" spans="1:11" ht="18.75" customHeight="1" outlineLevel="2">
      <c r="A2338" s="791" t="s">
        <v>776</v>
      </c>
      <c r="B2338" s="791" t="s">
        <v>1030</v>
      </c>
      <c r="C2338" s="791" t="s">
        <v>778</v>
      </c>
      <c r="D2338" s="792" t="s">
        <v>779</v>
      </c>
      <c r="E2338" s="793" t="s">
        <v>947</v>
      </c>
      <c r="F2338" s="793" t="s">
        <v>988</v>
      </c>
      <c r="G2338" s="793" t="s">
        <v>791</v>
      </c>
      <c r="H2338" s="793" t="s">
        <v>826</v>
      </c>
      <c r="I2338" s="794">
        <v>5.846235162284639E-6</v>
      </c>
      <c r="J2338" s="794">
        <v>4.9970138606097857E-2</v>
      </c>
      <c r="K2338" s="771"/>
    </row>
    <row r="2339" spans="1:11" ht="18.75" customHeight="1" outlineLevel="2">
      <c r="A2339" s="791" t="s">
        <v>776</v>
      </c>
      <c r="B2339" s="791" t="s">
        <v>1030</v>
      </c>
      <c r="C2339" s="791" t="s">
        <v>778</v>
      </c>
      <c r="D2339" s="792" t="s">
        <v>779</v>
      </c>
      <c r="E2339" s="793" t="s">
        <v>947</v>
      </c>
      <c r="F2339" s="793" t="s">
        <v>989</v>
      </c>
      <c r="G2339" s="793" t="s">
        <v>791</v>
      </c>
      <c r="H2339" s="793" t="s">
        <v>826</v>
      </c>
      <c r="I2339" s="794">
        <v>3.5364030395817807E-2</v>
      </c>
      <c r="J2339" s="794">
        <v>2074.8690193367283</v>
      </c>
      <c r="K2339" s="771"/>
    </row>
    <row r="2340" spans="1:11" ht="18.75" customHeight="1" outlineLevel="2">
      <c r="A2340" s="791" t="s">
        <v>776</v>
      </c>
      <c r="B2340" s="791" t="s">
        <v>1030</v>
      </c>
      <c r="C2340" s="791" t="s">
        <v>778</v>
      </c>
      <c r="D2340" s="792" t="s">
        <v>779</v>
      </c>
      <c r="E2340" s="793" t="s">
        <v>947</v>
      </c>
      <c r="F2340" s="793" t="s">
        <v>990</v>
      </c>
      <c r="G2340" s="793" t="s">
        <v>791</v>
      </c>
      <c r="H2340" s="793" t="s">
        <v>826</v>
      </c>
      <c r="I2340" s="794">
        <v>1.6878893134935535E-3</v>
      </c>
      <c r="J2340" s="794">
        <v>186.02971095290312</v>
      </c>
      <c r="K2340" s="771"/>
    </row>
    <row r="2341" spans="1:11" ht="18.75" customHeight="1" outlineLevel="2">
      <c r="A2341" s="791" t="s">
        <v>776</v>
      </c>
      <c r="B2341" s="791" t="s">
        <v>1030</v>
      </c>
      <c r="C2341" s="791" t="s">
        <v>778</v>
      </c>
      <c r="D2341" s="792" t="s">
        <v>779</v>
      </c>
      <c r="E2341" s="793" t="s">
        <v>947</v>
      </c>
      <c r="F2341" s="793" t="s">
        <v>991</v>
      </c>
      <c r="G2341" s="793" t="s">
        <v>791</v>
      </c>
      <c r="H2341" s="793" t="s">
        <v>826</v>
      </c>
      <c r="I2341" s="794">
        <v>1.3407031878448314E-5</v>
      </c>
      <c r="J2341" s="794">
        <v>1.0296876305781308</v>
      </c>
      <c r="K2341" s="771"/>
    </row>
    <row r="2342" spans="1:11" ht="18.75" customHeight="1" outlineLevel="2">
      <c r="A2342" s="791" t="s">
        <v>776</v>
      </c>
      <c r="B2342" s="791" t="s">
        <v>1030</v>
      </c>
      <c r="C2342" s="791" t="s">
        <v>778</v>
      </c>
      <c r="D2342" s="792" t="s">
        <v>779</v>
      </c>
      <c r="E2342" s="793" t="s">
        <v>947</v>
      </c>
      <c r="F2342" s="793" t="s">
        <v>992</v>
      </c>
      <c r="G2342" s="793" t="s">
        <v>791</v>
      </c>
      <c r="H2342" s="793" t="s">
        <v>826</v>
      </c>
      <c r="I2342" s="794">
        <v>2.6135083468917496E-6</v>
      </c>
      <c r="J2342" s="794">
        <v>0.21630594384950333</v>
      </c>
      <c r="K2342" s="771"/>
    </row>
    <row r="2343" spans="1:11" ht="18.75" customHeight="1" outlineLevel="2">
      <c r="A2343" s="791" t="s">
        <v>776</v>
      </c>
      <c r="B2343" s="791" t="s">
        <v>1030</v>
      </c>
      <c r="C2343" s="791" t="s">
        <v>778</v>
      </c>
      <c r="D2343" s="792" t="s">
        <v>779</v>
      </c>
      <c r="E2343" s="793" t="s">
        <v>947</v>
      </c>
      <c r="F2343" s="793" t="s">
        <v>993</v>
      </c>
      <c r="G2343" s="793" t="s">
        <v>791</v>
      </c>
      <c r="H2343" s="793" t="s">
        <v>826</v>
      </c>
      <c r="I2343" s="794">
        <v>1.7157656242875789E-4</v>
      </c>
      <c r="J2343" s="794">
        <v>15.776129778000966</v>
      </c>
      <c r="K2343" s="771"/>
    </row>
    <row r="2344" spans="1:11" ht="18.75" customHeight="1" outlineLevel="2">
      <c r="A2344" s="791" t="s">
        <v>776</v>
      </c>
      <c r="B2344" s="791" t="s">
        <v>1030</v>
      </c>
      <c r="C2344" s="791" t="s">
        <v>778</v>
      </c>
      <c r="D2344" s="792" t="s">
        <v>779</v>
      </c>
      <c r="E2344" s="793" t="s">
        <v>947</v>
      </c>
      <c r="F2344" s="793" t="s">
        <v>994</v>
      </c>
      <c r="G2344" s="793" t="s">
        <v>791</v>
      </c>
      <c r="H2344" s="793" t="s">
        <v>826</v>
      </c>
      <c r="I2344" s="794">
        <v>3.6275686264113025E-7</v>
      </c>
      <c r="J2344" s="794">
        <v>4.3647693322545332E-2</v>
      </c>
      <c r="K2344" s="771"/>
    </row>
    <row r="2345" spans="1:11" ht="18.75" customHeight="1" outlineLevel="2">
      <c r="A2345" s="791" t="s">
        <v>776</v>
      </c>
      <c r="B2345" s="791" t="s">
        <v>1030</v>
      </c>
      <c r="C2345" s="791" t="s">
        <v>778</v>
      </c>
      <c r="D2345" s="792" t="s">
        <v>779</v>
      </c>
      <c r="E2345" s="793" t="s">
        <v>947</v>
      </c>
      <c r="F2345" s="793" t="s">
        <v>995</v>
      </c>
      <c r="G2345" s="793" t="s">
        <v>791</v>
      </c>
      <c r="H2345" s="793" t="s">
        <v>826</v>
      </c>
      <c r="I2345" s="794">
        <v>1.5442965299783572E-4</v>
      </c>
      <c r="J2345" s="794">
        <v>14.587120009370773</v>
      </c>
      <c r="K2345" s="771"/>
    </row>
    <row r="2346" spans="1:11" ht="18.75" customHeight="1" outlineLevel="2">
      <c r="A2346" s="791" t="s">
        <v>776</v>
      </c>
      <c r="B2346" s="791" t="s">
        <v>1030</v>
      </c>
      <c r="C2346" s="791" t="s">
        <v>778</v>
      </c>
      <c r="D2346" s="792" t="s">
        <v>779</v>
      </c>
      <c r="E2346" s="793" t="s">
        <v>947</v>
      </c>
      <c r="F2346" s="793" t="s">
        <v>996</v>
      </c>
      <c r="G2346" s="793" t="s">
        <v>791</v>
      </c>
      <c r="H2346" s="793" t="s">
        <v>826</v>
      </c>
      <c r="I2346" s="794">
        <v>4.5659873061367672E-4</v>
      </c>
      <c r="J2346" s="794">
        <v>40.593554823764933</v>
      </c>
      <c r="K2346" s="771"/>
    </row>
    <row r="2347" spans="1:11" ht="18.75" customHeight="1" outlineLevel="2">
      <c r="A2347" s="791" t="s">
        <v>776</v>
      </c>
      <c r="B2347" s="791" t="s">
        <v>1030</v>
      </c>
      <c r="C2347" s="791" t="s">
        <v>778</v>
      </c>
      <c r="D2347" s="792" t="s">
        <v>779</v>
      </c>
      <c r="E2347" s="793" t="s">
        <v>947</v>
      </c>
      <c r="F2347" s="793" t="s">
        <v>997</v>
      </c>
      <c r="G2347" s="793" t="s">
        <v>791</v>
      </c>
      <c r="H2347" s="793" t="s">
        <v>826</v>
      </c>
      <c r="I2347" s="794">
        <v>6.9248598577450473E-4</v>
      </c>
      <c r="J2347" s="794">
        <v>29.932534015593685</v>
      </c>
      <c r="K2347" s="771"/>
    </row>
    <row r="2348" spans="1:11" ht="18.75" customHeight="1" outlineLevel="2">
      <c r="A2348" s="791" t="s">
        <v>776</v>
      </c>
      <c r="B2348" s="791" t="s">
        <v>1030</v>
      </c>
      <c r="C2348" s="791" t="s">
        <v>778</v>
      </c>
      <c r="D2348" s="792" t="s">
        <v>779</v>
      </c>
      <c r="E2348" s="793" t="s">
        <v>947</v>
      </c>
      <c r="F2348" s="793" t="s">
        <v>998</v>
      </c>
      <c r="G2348" s="793" t="s">
        <v>794</v>
      </c>
      <c r="H2348" s="793" t="s">
        <v>828</v>
      </c>
      <c r="I2348" s="794">
        <v>6.2913371559350523E-3</v>
      </c>
      <c r="J2348" s="794">
        <v>230.05519584948897</v>
      </c>
      <c r="K2348" s="771"/>
    </row>
    <row r="2349" spans="1:11" ht="18.75" customHeight="1" outlineLevel="2">
      <c r="A2349" s="791" t="s">
        <v>776</v>
      </c>
      <c r="B2349" s="791" t="s">
        <v>1030</v>
      </c>
      <c r="C2349" s="791" t="s">
        <v>778</v>
      </c>
      <c r="D2349" s="792" t="s">
        <v>779</v>
      </c>
      <c r="E2349" s="793" t="s">
        <v>947</v>
      </c>
      <c r="F2349" s="793" t="s">
        <v>999</v>
      </c>
      <c r="G2349" s="793" t="s">
        <v>794</v>
      </c>
      <c r="H2349" s="793" t="s">
        <v>828</v>
      </c>
      <c r="I2349" s="794">
        <v>1.4836910515032195E-3</v>
      </c>
      <c r="J2349" s="794">
        <v>54.297222040533811</v>
      </c>
      <c r="K2349" s="771"/>
    </row>
    <row r="2350" spans="1:11" ht="18.75" customHeight="1" outlineLevel="2">
      <c r="A2350" s="791" t="s">
        <v>776</v>
      </c>
      <c r="B2350" s="791" t="s">
        <v>1030</v>
      </c>
      <c r="C2350" s="791" t="s">
        <v>778</v>
      </c>
      <c r="D2350" s="792" t="s">
        <v>779</v>
      </c>
      <c r="E2350" s="793" t="s">
        <v>947</v>
      </c>
      <c r="F2350" s="793" t="s">
        <v>1000</v>
      </c>
      <c r="G2350" s="793" t="s">
        <v>794</v>
      </c>
      <c r="H2350" s="793" t="s">
        <v>828</v>
      </c>
      <c r="I2350" s="794">
        <v>4.1640961974066882E-3</v>
      </c>
      <c r="J2350" s="794">
        <v>150.6409877617981</v>
      </c>
      <c r="K2350" s="771"/>
    </row>
    <row r="2351" spans="1:11" ht="18.75" customHeight="1" outlineLevel="2">
      <c r="A2351" s="791" t="s">
        <v>776</v>
      </c>
      <c r="B2351" s="791" t="s">
        <v>1030</v>
      </c>
      <c r="C2351" s="791" t="s">
        <v>778</v>
      </c>
      <c r="D2351" s="792" t="s">
        <v>779</v>
      </c>
      <c r="E2351" s="793" t="s">
        <v>947</v>
      </c>
      <c r="F2351" s="793" t="s">
        <v>1001</v>
      </c>
      <c r="G2351" s="793" t="s">
        <v>794</v>
      </c>
      <c r="H2351" s="793" t="s">
        <v>828</v>
      </c>
      <c r="I2351" s="794">
        <v>3.5162336210221817E-3</v>
      </c>
      <c r="J2351" s="794">
        <v>76.48504182030193</v>
      </c>
      <c r="K2351" s="771"/>
    </row>
    <row r="2352" spans="1:11" ht="18.75" customHeight="1" outlineLevel="2">
      <c r="A2352" s="791" t="s">
        <v>776</v>
      </c>
      <c r="B2352" s="791" t="s">
        <v>1030</v>
      </c>
      <c r="C2352" s="791" t="s">
        <v>778</v>
      </c>
      <c r="D2352" s="792" t="s">
        <v>779</v>
      </c>
      <c r="E2352" s="793" t="s">
        <v>947</v>
      </c>
      <c r="F2352" s="793" t="s">
        <v>1002</v>
      </c>
      <c r="G2352" s="793" t="s">
        <v>794</v>
      </c>
      <c r="H2352" s="793" t="s">
        <v>828</v>
      </c>
      <c r="I2352" s="794">
        <v>1.7491284520902291E-4</v>
      </c>
      <c r="J2352" s="794">
        <v>7.355942807836505</v>
      </c>
      <c r="K2352" s="771"/>
    </row>
    <row r="2353" spans="1:11" ht="18.75" customHeight="1" outlineLevel="2">
      <c r="A2353" s="791" t="s">
        <v>776</v>
      </c>
      <c r="B2353" s="791" t="s">
        <v>1030</v>
      </c>
      <c r="C2353" s="791" t="s">
        <v>778</v>
      </c>
      <c r="D2353" s="792" t="s">
        <v>779</v>
      </c>
      <c r="E2353" s="793" t="s">
        <v>947</v>
      </c>
      <c r="F2353" s="793" t="s">
        <v>1003</v>
      </c>
      <c r="G2353" s="793" t="s">
        <v>794</v>
      </c>
      <c r="H2353" s="793" t="s">
        <v>828</v>
      </c>
      <c r="I2353" s="794">
        <v>2.0235429420103514E-4</v>
      </c>
      <c r="J2353" s="794">
        <v>6.5105980359593278</v>
      </c>
      <c r="K2353" s="771"/>
    </row>
    <row r="2354" spans="1:11" ht="18.75" customHeight="1" outlineLevel="2">
      <c r="A2354" s="791" t="s">
        <v>776</v>
      </c>
      <c r="B2354" s="791" t="s">
        <v>1030</v>
      </c>
      <c r="C2354" s="791" t="s">
        <v>778</v>
      </c>
      <c r="D2354" s="792" t="s">
        <v>779</v>
      </c>
      <c r="E2354" s="793" t="s">
        <v>947</v>
      </c>
      <c r="F2354" s="793" t="s">
        <v>1004</v>
      </c>
      <c r="G2354" s="793" t="s">
        <v>833</v>
      </c>
      <c r="H2354" s="793" t="s">
        <v>834</v>
      </c>
      <c r="I2354" s="794">
        <v>1.8906654101667503E-2</v>
      </c>
      <c r="J2354" s="794">
        <v>1239.1017873907717</v>
      </c>
      <c r="K2354" s="771"/>
    </row>
    <row r="2355" spans="1:11" ht="18.75" customHeight="1" outlineLevel="2">
      <c r="A2355" s="791" t="s">
        <v>776</v>
      </c>
      <c r="B2355" s="791" t="s">
        <v>1030</v>
      </c>
      <c r="C2355" s="791" t="s">
        <v>778</v>
      </c>
      <c r="D2355" s="792" t="s">
        <v>779</v>
      </c>
      <c r="E2355" s="793" t="s">
        <v>947</v>
      </c>
      <c r="F2355" s="793" t="s">
        <v>1005</v>
      </c>
      <c r="G2355" s="793" t="s">
        <v>1006</v>
      </c>
      <c r="H2355" s="793" t="s">
        <v>804</v>
      </c>
      <c r="I2355" s="794">
        <v>0.29389164014571689</v>
      </c>
      <c r="J2355" s="794">
        <v>2871.608352927999</v>
      </c>
      <c r="K2355" s="771"/>
    </row>
    <row r="2356" spans="1:11" ht="18.75" customHeight="1" outlineLevel="2">
      <c r="A2356" s="791" t="s">
        <v>776</v>
      </c>
      <c r="B2356" s="791" t="s">
        <v>1030</v>
      </c>
      <c r="C2356" s="791" t="s">
        <v>778</v>
      </c>
      <c r="D2356" s="792" t="s">
        <v>779</v>
      </c>
      <c r="E2356" s="793" t="s">
        <v>947</v>
      </c>
      <c r="F2356" s="793" t="s">
        <v>1007</v>
      </c>
      <c r="G2356" s="793" t="s">
        <v>244</v>
      </c>
      <c r="H2356" s="793" t="s">
        <v>911</v>
      </c>
      <c r="I2356" s="794">
        <v>7.1225757340292236E-4</v>
      </c>
      <c r="J2356" s="794">
        <v>15.879196391078711</v>
      </c>
      <c r="K2356" s="771"/>
    </row>
    <row r="2357" spans="1:11" ht="18.75" customHeight="1" outlineLevel="2">
      <c r="A2357" s="791" t="s">
        <v>776</v>
      </c>
      <c r="B2357" s="791" t="s">
        <v>1030</v>
      </c>
      <c r="C2357" s="791" t="s">
        <v>778</v>
      </c>
      <c r="D2357" s="792" t="s">
        <v>1010</v>
      </c>
      <c r="E2357" s="793" t="s">
        <v>662</v>
      </c>
      <c r="F2357" s="793" t="s">
        <v>1011</v>
      </c>
      <c r="G2357" s="793" t="s">
        <v>1012</v>
      </c>
      <c r="H2357" s="793" t="s">
        <v>1013</v>
      </c>
      <c r="I2357" s="794">
        <v>1.8414911267255632E-6</v>
      </c>
      <c r="J2357" s="794">
        <v>6.1457635206523557E-3</v>
      </c>
      <c r="K2357" s="771"/>
    </row>
    <row r="2358" spans="1:11" ht="18.75" customHeight="1" outlineLevel="2">
      <c r="A2358" s="791" t="s">
        <v>776</v>
      </c>
      <c r="B2358" s="791" t="s">
        <v>1030</v>
      </c>
      <c r="C2358" s="791" t="s">
        <v>778</v>
      </c>
      <c r="D2358" s="792" t="s">
        <v>1010</v>
      </c>
      <c r="E2358" s="793" t="s">
        <v>763</v>
      </c>
      <c r="F2358" s="793" t="s">
        <v>1014</v>
      </c>
      <c r="G2358" s="793" t="s">
        <v>1012</v>
      </c>
      <c r="H2358" s="793" t="s">
        <v>913</v>
      </c>
      <c r="I2358" s="794">
        <v>2.0459667833806561E-7</v>
      </c>
      <c r="J2358" s="794">
        <v>3.4291285646411962E-3</v>
      </c>
      <c r="K2358" s="771"/>
    </row>
    <row r="2359" spans="1:11" ht="18.75" customHeight="1" outlineLevel="2">
      <c r="A2359" s="791" t="s">
        <v>776</v>
      </c>
      <c r="B2359" s="791" t="s">
        <v>1030</v>
      </c>
      <c r="C2359" s="791" t="s">
        <v>778</v>
      </c>
      <c r="D2359" s="792" t="s">
        <v>1010</v>
      </c>
      <c r="E2359" s="793" t="s">
        <v>947</v>
      </c>
      <c r="F2359" s="793" t="s">
        <v>1015</v>
      </c>
      <c r="G2359" s="793" t="s">
        <v>1012</v>
      </c>
      <c r="H2359" s="793" t="s">
        <v>1013</v>
      </c>
      <c r="I2359" s="794">
        <v>3.5615224268363827E-6</v>
      </c>
      <c r="J2359" s="794">
        <v>0.18967225182113637</v>
      </c>
      <c r="K2359" s="771"/>
    </row>
    <row r="2360" spans="1:11" ht="18.75" customHeight="1" outlineLevel="2">
      <c r="A2360" s="791" t="s">
        <v>776</v>
      </c>
      <c r="B2360" s="791" t="s">
        <v>1032</v>
      </c>
      <c r="C2360" s="791" t="s">
        <v>1009</v>
      </c>
      <c r="D2360" s="792" t="s">
        <v>779</v>
      </c>
      <c r="E2360" s="793" t="s">
        <v>780</v>
      </c>
      <c r="F2360" s="793" t="s">
        <v>781</v>
      </c>
      <c r="G2360" s="793" t="s">
        <v>782</v>
      </c>
      <c r="H2360" s="793" t="s">
        <v>783</v>
      </c>
      <c r="I2360" s="794">
        <v>1.5148360596739227E-2</v>
      </c>
      <c r="J2360" s="794">
        <v>0.2228359395306522</v>
      </c>
      <c r="K2360" s="771"/>
    </row>
    <row r="2361" spans="1:11" ht="18.75" customHeight="1" outlineLevel="2">
      <c r="A2361" s="791" t="s">
        <v>776</v>
      </c>
      <c r="B2361" s="791" t="s">
        <v>1032</v>
      </c>
      <c r="C2361" s="791" t="s">
        <v>1009</v>
      </c>
      <c r="D2361" s="792" t="s">
        <v>779</v>
      </c>
      <c r="E2361" s="793" t="s">
        <v>780</v>
      </c>
      <c r="F2361" s="793" t="s">
        <v>784</v>
      </c>
      <c r="G2361" s="793" t="s">
        <v>785</v>
      </c>
      <c r="H2361" s="793" t="s">
        <v>783</v>
      </c>
      <c r="I2361" s="794">
        <v>2.4964342201654874</v>
      </c>
      <c r="J2361" s="794">
        <v>405.40627565495311</v>
      </c>
      <c r="K2361" s="771"/>
    </row>
    <row r="2362" spans="1:11" ht="18.75" customHeight="1" outlineLevel="2">
      <c r="A2362" s="791" t="s">
        <v>776</v>
      </c>
      <c r="B2362" s="791" t="s">
        <v>1032</v>
      </c>
      <c r="C2362" s="791" t="s">
        <v>1009</v>
      </c>
      <c r="D2362" s="792" t="s">
        <v>779</v>
      </c>
      <c r="E2362" s="793" t="s">
        <v>780</v>
      </c>
      <c r="F2362" s="793" t="s">
        <v>786</v>
      </c>
      <c r="G2362" s="793" t="s">
        <v>785</v>
      </c>
      <c r="H2362" s="793" t="s">
        <v>783</v>
      </c>
      <c r="I2362" s="794">
        <v>2.0273529973779949E-3</v>
      </c>
      <c r="J2362" s="794">
        <v>0.34345098974676114</v>
      </c>
      <c r="K2362" s="771"/>
    </row>
    <row r="2363" spans="1:11" ht="18.75" customHeight="1" outlineLevel="2">
      <c r="A2363" s="791" t="s">
        <v>776</v>
      </c>
      <c r="B2363" s="791" t="s">
        <v>1032</v>
      </c>
      <c r="C2363" s="791" t="s">
        <v>1009</v>
      </c>
      <c r="D2363" s="792" t="s">
        <v>779</v>
      </c>
      <c r="E2363" s="793" t="s">
        <v>780</v>
      </c>
      <c r="F2363" s="793" t="s">
        <v>787</v>
      </c>
      <c r="G2363" s="793" t="s">
        <v>785</v>
      </c>
      <c r="H2363" s="793" t="s">
        <v>783</v>
      </c>
      <c r="I2363" s="794">
        <v>1.0187984411698398E-3</v>
      </c>
      <c r="J2363" s="794">
        <v>0.18715740902515587</v>
      </c>
      <c r="K2363" s="771"/>
    </row>
    <row r="2364" spans="1:11" ht="18.75" customHeight="1" outlineLevel="2">
      <c r="A2364" s="791" t="s">
        <v>776</v>
      </c>
      <c r="B2364" s="791" t="s">
        <v>1032</v>
      </c>
      <c r="C2364" s="791" t="s">
        <v>1009</v>
      </c>
      <c r="D2364" s="792" t="s">
        <v>779</v>
      </c>
      <c r="E2364" s="793" t="s">
        <v>780</v>
      </c>
      <c r="F2364" s="793" t="s">
        <v>788</v>
      </c>
      <c r="G2364" s="793" t="s">
        <v>785</v>
      </c>
      <c r="H2364" s="793" t="s">
        <v>783</v>
      </c>
      <c r="I2364" s="794">
        <v>9.6274536354375266E-3</v>
      </c>
      <c r="J2364" s="794">
        <v>1.5335678581986762</v>
      </c>
      <c r="K2364" s="771"/>
    </row>
    <row r="2365" spans="1:11" ht="18.75" customHeight="1" outlineLevel="2">
      <c r="A2365" s="791" t="s">
        <v>776</v>
      </c>
      <c r="B2365" s="791" t="s">
        <v>1032</v>
      </c>
      <c r="C2365" s="791" t="s">
        <v>1009</v>
      </c>
      <c r="D2365" s="792" t="s">
        <v>779</v>
      </c>
      <c r="E2365" s="793" t="s">
        <v>780</v>
      </c>
      <c r="F2365" s="793" t="s">
        <v>789</v>
      </c>
      <c r="G2365" s="793" t="s">
        <v>785</v>
      </c>
      <c r="H2365" s="793" t="s">
        <v>783</v>
      </c>
      <c r="I2365" s="794">
        <v>9.3253098426037285E-3</v>
      </c>
      <c r="J2365" s="794">
        <v>2.2939467189973208</v>
      </c>
      <c r="K2365" s="771"/>
    </row>
    <row r="2366" spans="1:11" ht="18.75" customHeight="1" outlineLevel="2">
      <c r="A2366" s="791" t="s">
        <v>776</v>
      </c>
      <c r="B2366" s="791" t="s">
        <v>1032</v>
      </c>
      <c r="C2366" s="791" t="s">
        <v>1009</v>
      </c>
      <c r="D2366" s="792" t="s">
        <v>779</v>
      </c>
      <c r="E2366" s="793" t="s">
        <v>780</v>
      </c>
      <c r="F2366" s="793" t="s">
        <v>790</v>
      </c>
      <c r="G2366" s="793" t="s">
        <v>791</v>
      </c>
      <c r="H2366" s="793" t="s">
        <v>783</v>
      </c>
      <c r="I2366" s="794">
        <v>4.3000276671004882E-3</v>
      </c>
      <c r="J2366" s="794">
        <v>5.7116869625895954E-2</v>
      </c>
      <c r="K2366" s="771"/>
    </row>
    <row r="2367" spans="1:11" ht="18.75" customHeight="1" outlineLevel="2">
      <c r="A2367" s="791" t="s">
        <v>776</v>
      </c>
      <c r="B2367" s="791" t="s">
        <v>1032</v>
      </c>
      <c r="C2367" s="791" t="s">
        <v>1009</v>
      </c>
      <c r="D2367" s="792" t="s">
        <v>779</v>
      </c>
      <c r="E2367" s="793" t="s">
        <v>780</v>
      </c>
      <c r="F2367" s="793" t="s">
        <v>792</v>
      </c>
      <c r="G2367" s="793" t="s">
        <v>791</v>
      </c>
      <c r="H2367" s="793" t="s">
        <v>783</v>
      </c>
      <c r="I2367" s="794">
        <v>3.1918405594034624E-2</v>
      </c>
      <c r="J2367" s="794">
        <v>6.1988648418571062</v>
      </c>
      <c r="K2367" s="771"/>
    </row>
    <row r="2368" spans="1:11" ht="18.75" customHeight="1" outlineLevel="2">
      <c r="A2368" s="791" t="s">
        <v>776</v>
      </c>
      <c r="B2368" s="791" t="s">
        <v>1032</v>
      </c>
      <c r="C2368" s="791" t="s">
        <v>1009</v>
      </c>
      <c r="D2368" s="792" t="s">
        <v>779</v>
      </c>
      <c r="E2368" s="793" t="s">
        <v>780</v>
      </c>
      <c r="F2368" s="793" t="s">
        <v>793</v>
      </c>
      <c r="G2368" s="793" t="s">
        <v>794</v>
      </c>
      <c r="H2368" s="793" t="s">
        <v>783</v>
      </c>
      <c r="I2368" s="794">
        <v>2.2541710911650958</v>
      </c>
      <c r="J2368" s="794">
        <v>58.501737458761184</v>
      </c>
      <c r="K2368" s="771"/>
    </row>
    <row r="2369" spans="1:11" ht="18.75" customHeight="1" outlineLevel="2">
      <c r="A2369" s="791" t="s">
        <v>776</v>
      </c>
      <c r="B2369" s="791" t="s">
        <v>1032</v>
      </c>
      <c r="C2369" s="791" t="s">
        <v>1009</v>
      </c>
      <c r="D2369" s="792" t="s">
        <v>779</v>
      </c>
      <c r="E2369" s="793" t="s">
        <v>780</v>
      </c>
      <c r="F2369" s="793" t="s">
        <v>795</v>
      </c>
      <c r="G2369" s="793" t="s">
        <v>794</v>
      </c>
      <c r="H2369" s="793" t="s">
        <v>783</v>
      </c>
      <c r="I2369" s="794">
        <v>6.8165806498153209E-2</v>
      </c>
      <c r="J2369" s="794">
        <v>2.7929733668774821</v>
      </c>
      <c r="K2369" s="771"/>
    </row>
    <row r="2370" spans="1:11" ht="18.75" customHeight="1" outlineLevel="2">
      <c r="A2370" s="791" t="s">
        <v>776</v>
      </c>
      <c r="B2370" s="791" t="s">
        <v>1032</v>
      </c>
      <c r="C2370" s="791" t="s">
        <v>1009</v>
      </c>
      <c r="D2370" s="792" t="s">
        <v>779</v>
      </c>
      <c r="E2370" s="793" t="s">
        <v>780</v>
      </c>
      <c r="F2370" s="793" t="s">
        <v>796</v>
      </c>
      <c r="G2370" s="793" t="s">
        <v>794</v>
      </c>
      <c r="H2370" s="793" t="s">
        <v>783</v>
      </c>
      <c r="I2370" s="794">
        <v>3.5430921073570425E-2</v>
      </c>
      <c r="J2370" s="794">
        <v>4.0830082970393446</v>
      </c>
      <c r="K2370" s="771"/>
    </row>
    <row r="2371" spans="1:11" ht="18.75" customHeight="1" outlineLevel="2">
      <c r="A2371" s="791" t="s">
        <v>776</v>
      </c>
      <c r="B2371" s="791" t="s">
        <v>1032</v>
      </c>
      <c r="C2371" s="791" t="s">
        <v>1009</v>
      </c>
      <c r="D2371" s="792" t="s">
        <v>779</v>
      </c>
      <c r="E2371" s="793" t="s">
        <v>780</v>
      </c>
      <c r="F2371" s="793" t="s">
        <v>797</v>
      </c>
      <c r="G2371" s="793" t="s">
        <v>794</v>
      </c>
      <c r="H2371" s="793" t="s">
        <v>783</v>
      </c>
      <c r="I2371" s="794">
        <v>0.69287000915087105</v>
      </c>
      <c r="J2371" s="794">
        <v>144.99366440532967</v>
      </c>
      <c r="K2371" s="771"/>
    </row>
    <row r="2372" spans="1:11" ht="18.75" customHeight="1" outlineLevel="2">
      <c r="A2372" s="791" t="s">
        <v>776</v>
      </c>
      <c r="B2372" s="791" t="s">
        <v>1032</v>
      </c>
      <c r="C2372" s="791" t="s">
        <v>1009</v>
      </c>
      <c r="D2372" s="792" t="s">
        <v>779</v>
      </c>
      <c r="E2372" s="793" t="s">
        <v>780</v>
      </c>
      <c r="F2372" s="793" t="s">
        <v>1017</v>
      </c>
      <c r="G2372" s="793" t="s">
        <v>785</v>
      </c>
      <c r="H2372" s="793" t="s">
        <v>783</v>
      </c>
      <c r="I2372" s="794">
        <v>1.4680927602450265E-2</v>
      </c>
      <c r="J2372" s="794">
        <v>3.3362188520853286</v>
      </c>
      <c r="K2372" s="771"/>
    </row>
    <row r="2373" spans="1:11" ht="18.75" customHeight="1" outlineLevel="2">
      <c r="A2373" s="791" t="s">
        <v>776</v>
      </c>
      <c r="B2373" s="791" t="s">
        <v>1032</v>
      </c>
      <c r="C2373" s="791" t="s">
        <v>1009</v>
      </c>
      <c r="D2373" s="792" t="s">
        <v>779</v>
      </c>
      <c r="E2373" s="793" t="s">
        <v>662</v>
      </c>
      <c r="F2373" s="793" t="s">
        <v>798</v>
      </c>
      <c r="G2373" s="793" t="s">
        <v>799</v>
      </c>
      <c r="H2373" s="793" t="s">
        <v>800</v>
      </c>
      <c r="I2373" s="794">
        <v>1.0451538528513407</v>
      </c>
      <c r="J2373" s="794">
        <v>300.30644491155169</v>
      </c>
      <c r="K2373" s="771"/>
    </row>
    <row r="2374" spans="1:11" ht="18.75" customHeight="1" outlineLevel="2">
      <c r="A2374" s="791" t="s">
        <v>776</v>
      </c>
      <c r="B2374" s="791" t="s">
        <v>1032</v>
      </c>
      <c r="C2374" s="791" t="s">
        <v>1009</v>
      </c>
      <c r="D2374" s="792" t="s">
        <v>779</v>
      </c>
      <c r="E2374" s="793" t="s">
        <v>662</v>
      </c>
      <c r="F2374" s="793" t="s">
        <v>801</v>
      </c>
      <c r="G2374" s="793" t="s">
        <v>799</v>
      </c>
      <c r="H2374" s="793" t="s">
        <v>800</v>
      </c>
      <c r="I2374" s="794">
        <v>0.31925336433118789</v>
      </c>
      <c r="J2374" s="794">
        <v>128.96965423060055</v>
      </c>
      <c r="K2374" s="771"/>
    </row>
    <row r="2375" spans="1:11" ht="18.75" customHeight="1" outlineLevel="2">
      <c r="A2375" s="791" t="s">
        <v>776</v>
      </c>
      <c r="B2375" s="791" t="s">
        <v>1032</v>
      </c>
      <c r="C2375" s="791" t="s">
        <v>1009</v>
      </c>
      <c r="D2375" s="792" t="s">
        <v>779</v>
      </c>
      <c r="E2375" s="793" t="s">
        <v>662</v>
      </c>
      <c r="F2375" s="793" t="s">
        <v>802</v>
      </c>
      <c r="G2375" s="793" t="s">
        <v>799</v>
      </c>
      <c r="H2375" s="793" t="s">
        <v>800</v>
      </c>
      <c r="I2375" s="794">
        <v>0.14530940283971489</v>
      </c>
      <c r="J2375" s="794">
        <v>186.87876091620274</v>
      </c>
      <c r="K2375" s="771"/>
    </row>
    <row r="2376" spans="1:11" ht="18.75" customHeight="1" outlineLevel="2">
      <c r="A2376" s="791" t="s">
        <v>776</v>
      </c>
      <c r="B2376" s="791" t="s">
        <v>1032</v>
      </c>
      <c r="C2376" s="791" t="s">
        <v>1009</v>
      </c>
      <c r="D2376" s="792" t="s">
        <v>779</v>
      </c>
      <c r="E2376" s="793" t="s">
        <v>662</v>
      </c>
      <c r="F2376" s="793" t="s">
        <v>803</v>
      </c>
      <c r="G2376" s="793" t="s">
        <v>782</v>
      </c>
      <c r="H2376" s="793" t="s">
        <v>804</v>
      </c>
      <c r="I2376" s="794">
        <v>4.6824421956899578E-2</v>
      </c>
      <c r="J2376" s="794">
        <v>29.05360610632437</v>
      </c>
      <c r="K2376" s="771"/>
    </row>
    <row r="2377" spans="1:11" ht="18.75" customHeight="1" outlineLevel="2">
      <c r="A2377" s="791" t="s">
        <v>776</v>
      </c>
      <c r="B2377" s="791" t="s">
        <v>1032</v>
      </c>
      <c r="C2377" s="791" t="s">
        <v>1009</v>
      </c>
      <c r="D2377" s="792" t="s">
        <v>779</v>
      </c>
      <c r="E2377" s="793" t="s">
        <v>662</v>
      </c>
      <c r="F2377" s="793" t="s">
        <v>805</v>
      </c>
      <c r="G2377" s="793" t="s">
        <v>782</v>
      </c>
      <c r="H2377" s="793" t="s">
        <v>804</v>
      </c>
      <c r="I2377" s="794">
        <v>3.8859324763378042E-3</v>
      </c>
      <c r="J2377" s="794">
        <v>1.8819814323398925</v>
      </c>
      <c r="K2377" s="771"/>
    </row>
    <row r="2378" spans="1:11" ht="18.75" customHeight="1" outlineLevel="2">
      <c r="A2378" s="791" t="s">
        <v>776</v>
      </c>
      <c r="B2378" s="791" t="s">
        <v>1032</v>
      </c>
      <c r="C2378" s="791" t="s">
        <v>1009</v>
      </c>
      <c r="D2378" s="792" t="s">
        <v>779</v>
      </c>
      <c r="E2378" s="793" t="s">
        <v>662</v>
      </c>
      <c r="F2378" s="793" t="s">
        <v>806</v>
      </c>
      <c r="G2378" s="793" t="s">
        <v>782</v>
      </c>
      <c r="H2378" s="793" t="s">
        <v>804</v>
      </c>
      <c r="I2378" s="794">
        <v>4.7092376359556638E-3</v>
      </c>
      <c r="J2378" s="794">
        <v>2.2495027684312534</v>
      </c>
      <c r="K2378" s="771"/>
    </row>
    <row r="2379" spans="1:11" ht="18.75" customHeight="1" outlineLevel="2">
      <c r="A2379" s="791" t="s">
        <v>776</v>
      </c>
      <c r="B2379" s="791" t="s">
        <v>1032</v>
      </c>
      <c r="C2379" s="791" t="s">
        <v>1009</v>
      </c>
      <c r="D2379" s="792" t="s">
        <v>779</v>
      </c>
      <c r="E2379" s="793" t="s">
        <v>662</v>
      </c>
      <c r="F2379" s="793" t="s">
        <v>807</v>
      </c>
      <c r="G2379" s="793" t="s">
        <v>782</v>
      </c>
      <c r="H2379" s="793" t="s">
        <v>804</v>
      </c>
      <c r="I2379" s="794">
        <v>3.4826856304791934E-5</v>
      </c>
      <c r="J2379" s="794">
        <v>1.5586628019641981E-2</v>
      </c>
      <c r="K2379" s="771"/>
    </row>
    <row r="2380" spans="1:11" ht="18.75" customHeight="1" outlineLevel="2">
      <c r="A2380" s="791" t="s">
        <v>776</v>
      </c>
      <c r="B2380" s="791" t="s">
        <v>1032</v>
      </c>
      <c r="C2380" s="791" t="s">
        <v>1009</v>
      </c>
      <c r="D2380" s="792" t="s">
        <v>779</v>
      </c>
      <c r="E2380" s="793" t="s">
        <v>662</v>
      </c>
      <c r="F2380" s="793" t="s">
        <v>808</v>
      </c>
      <c r="G2380" s="793" t="s">
        <v>782</v>
      </c>
      <c r="H2380" s="793" t="s">
        <v>804</v>
      </c>
      <c r="I2380" s="794">
        <v>0.13424072766544273</v>
      </c>
      <c r="J2380" s="794">
        <v>74.957803933243468</v>
      </c>
      <c r="K2380" s="771"/>
    </row>
    <row r="2381" spans="1:11" ht="18.75" customHeight="1" outlineLevel="2">
      <c r="A2381" s="791" t="s">
        <v>776</v>
      </c>
      <c r="B2381" s="791" t="s">
        <v>1032</v>
      </c>
      <c r="C2381" s="791" t="s">
        <v>1009</v>
      </c>
      <c r="D2381" s="792" t="s">
        <v>779</v>
      </c>
      <c r="E2381" s="793" t="s">
        <v>662</v>
      </c>
      <c r="F2381" s="793" t="s">
        <v>809</v>
      </c>
      <c r="G2381" s="793" t="s">
        <v>782</v>
      </c>
      <c r="H2381" s="793" t="s">
        <v>804</v>
      </c>
      <c r="I2381" s="794">
        <v>9.8152333006193502E-4</v>
      </c>
      <c r="J2381" s="794">
        <v>0.43927767743356738</v>
      </c>
      <c r="K2381" s="771"/>
    </row>
    <row r="2382" spans="1:11" ht="18.75" customHeight="1" outlineLevel="2">
      <c r="A2382" s="791" t="s">
        <v>776</v>
      </c>
      <c r="B2382" s="791" t="s">
        <v>1032</v>
      </c>
      <c r="C2382" s="791" t="s">
        <v>1009</v>
      </c>
      <c r="D2382" s="792" t="s">
        <v>779</v>
      </c>
      <c r="E2382" s="793" t="s">
        <v>662</v>
      </c>
      <c r="F2382" s="793" t="s">
        <v>810</v>
      </c>
      <c r="G2382" s="793" t="s">
        <v>785</v>
      </c>
      <c r="H2382" s="793" t="s">
        <v>727</v>
      </c>
      <c r="I2382" s="794">
        <v>2.4724695153726835E-3</v>
      </c>
      <c r="J2382" s="794">
        <v>1.1065454658329716</v>
      </c>
      <c r="K2382" s="771"/>
    </row>
    <row r="2383" spans="1:11" ht="18.75" customHeight="1" outlineLevel="2">
      <c r="A2383" s="791" t="s">
        <v>776</v>
      </c>
      <c r="B2383" s="791" t="s">
        <v>1032</v>
      </c>
      <c r="C2383" s="791" t="s">
        <v>1009</v>
      </c>
      <c r="D2383" s="792" t="s">
        <v>779</v>
      </c>
      <c r="E2383" s="793" t="s">
        <v>662</v>
      </c>
      <c r="F2383" s="793" t="s">
        <v>811</v>
      </c>
      <c r="G2383" s="793" t="s">
        <v>785</v>
      </c>
      <c r="H2383" s="793" t="s">
        <v>727</v>
      </c>
      <c r="I2383" s="794">
        <v>1.8919700392122329E-4</v>
      </c>
      <c r="J2383" s="794">
        <v>8.4674337213778594E-2</v>
      </c>
      <c r="K2383" s="771"/>
    </row>
    <row r="2384" spans="1:11" ht="18.75" customHeight="1" outlineLevel="2">
      <c r="A2384" s="791" t="s">
        <v>776</v>
      </c>
      <c r="B2384" s="791" t="s">
        <v>1032</v>
      </c>
      <c r="C2384" s="791" t="s">
        <v>1009</v>
      </c>
      <c r="D2384" s="792" t="s">
        <v>779</v>
      </c>
      <c r="E2384" s="793" t="s">
        <v>662</v>
      </c>
      <c r="F2384" s="793" t="s">
        <v>812</v>
      </c>
      <c r="G2384" s="793" t="s">
        <v>813</v>
      </c>
      <c r="H2384" s="793" t="s">
        <v>814</v>
      </c>
      <c r="I2384" s="794">
        <v>1.3756331990657164E-2</v>
      </c>
      <c r="J2384" s="794">
        <v>7.5338778937855277</v>
      </c>
      <c r="K2384" s="771"/>
    </row>
    <row r="2385" spans="1:11" ht="18.75" customHeight="1" outlineLevel="2">
      <c r="A2385" s="791" t="s">
        <v>776</v>
      </c>
      <c r="B2385" s="791" t="s">
        <v>1032</v>
      </c>
      <c r="C2385" s="791" t="s">
        <v>1009</v>
      </c>
      <c r="D2385" s="792" t="s">
        <v>779</v>
      </c>
      <c r="E2385" s="793" t="s">
        <v>662</v>
      </c>
      <c r="F2385" s="793" t="s">
        <v>815</v>
      </c>
      <c r="G2385" s="793" t="s">
        <v>813</v>
      </c>
      <c r="H2385" s="793" t="s">
        <v>814</v>
      </c>
      <c r="I2385" s="794">
        <v>8.4550287584113121E-2</v>
      </c>
      <c r="J2385" s="794">
        <v>45.441168696166677</v>
      </c>
      <c r="K2385" s="771"/>
    </row>
    <row r="2386" spans="1:11" ht="18.75" customHeight="1" outlineLevel="2">
      <c r="A2386" s="791" t="s">
        <v>776</v>
      </c>
      <c r="B2386" s="791" t="s">
        <v>1032</v>
      </c>
      <c r="C2386" s="791" t="s">
        <v>1009</v>
      </c>
      <c r="D2386" s="792" t="s">
        <v>779</v>
      </c>
      <c r="E2386" s="793" t="s">
        <v>662</v>
      </c>
      <c r="F2386" s="793" t="s">
        <v>816</v>
      </c>
      <c r="G2386" s="793" t="s">
        <v>813</v>
      </c>
      <c r="H2386" s="793" t="s">
        <v>814</v>
      </c>
      <c r="I2386" s="794">
        <v>0.19361373112979019</v>
      </c>
      <c r="J2386" s="794">
        <v>100.59148475754752</v>
      </c>
      <c r="K2386" s="771"/>
    </row>
    <row r="2387" spans="1:11" ht="18.75" customHeight="1" outlineLevel="2">
      <c r="A2387" s="791" t="s">
        <v>776</v>
      </c>
      <c r="B2387" s="791" t="s">
        <v>1032</v>
      </c>
      <c r="C2387" s="791" t="s">
        <v>1009</v>
      </c>
      <c r="D2387" s="792" t="s">
        <v>779</v>
      </c>
      <c r="E2387" s="793" t="s">
        <v>662</v>
      </c>
      <c r="F2387" s="793" t="s">
        <v>817</v>
      </c>
      <c r="G2387" s="793" t="s">
        <v>813</v>
      </c>
      <c r="H2387" s="793" t="s">
        <v>814</v>
      </c>
      <c r="I2387" s="794">
        <v>0.79947106186591077</v>
      </c>
      <c r="J2387" s="794">
        <v>437.63350579316852</v>
      </c>
      <c r="K2387" s="771"/>
    </row>
    <row r="2388" spans="1:11" ht="18.75" customHeight="1" outlineLevel="2">
      <c r="A2388" s="791" t="s">
        <v>776</v>
      </c>
      <c r="B2388" s="791" t="s">
        <v>1032</v>
      </c>
      <c r="C2388" s="791" t="s">
        <v>1009</v>
      </c>
      <c r="D2388" s="792" t="s">
        <v>779</v>
      </c>
      <c r="E2388" s="793" t="s">
        <v>662</v>
      </c>
      <c r="F2388" s="793" t="s">
        <v>818</v>
      </c>
      <c r="G2388" s="793" t="s">
        <v>813</v>
      </c>
      <c r="H2388" s="793" t="s">
        <v>814</v>
      </c>
      <c r="I2388" s="794">
        <v>0.23784357868112144</v>
      </c>
      <c r="J2388" s="794">
        <v>139.6997610794717</v>
      </c>
      <c r="K2388" s="771"/>
    </row>
    <row r="2389" spans="1:11" ht="18.75" customHeight="1" outlineLevel="2">
      <c r="A2389" s="791" t="s">
        <v>776</v>
      </c>
      <c r="B2389" s="791" t="s">
        <v>1032</v>
      </c>
      <c r="C2389" s="791" t="s">
        <v>1009</v>
      </c>
      <c r="D2389" s="792" t="s">
        <v>779</v>
      </c>
      <c r="E2389" s="793" t="s">
        <v>662</v>
      </c>
      <c r="F2389" s="793" t="s">
        <v>819</v>
      </c>
      <c r="G2389" s="793" t="s">
        <v>813</v>
      </c>
      <c r="H2389" s="793" t="s">
        <v>814</v>
      </c>
      <c r="I2389" s="794">
        <v>0.7564884466435583</v>
      </c>
      <c r="J2389" s="794">
        <v>382.43307034732715</v>
      </c>
      <c r="K2389" s="771"/>
    </row>
    <row r="2390" spans="1:11" ht="18.75" customHeight="1" outlineLevel="2">
      <c r="A2390" s="791" t="s">
        <v>776</v>
      </c>
      <c r="B2390" s="791" t="s">
        <v>1032</v>
      </c>
      <c r="C2390" s="791" t="s">
        <v>1009</v>
      </c>
      <c r="D2390" s="792" t="s">
        <v>779</v>
      </c>
      <c r="E2390" s="793" t="s">
        <v>662</v>
      </c>
      <c r="F2390" s="793" t="s">
        <v>820</v>
      </c>
      <c r="G2390" s="793" t="s">
        <v>813</v>
      </c>
      <c r="H2390" s="793" t="s">
        <v>814</v>
      </c>
      <c r="I2390" s="794">
        <v>0.16764305884904895</v>
      </c>
      <c r="J2390" s="794">
        <v>89.910425560706727</v>
      </c>
      <c r="K2390" s="771"/>
    </row>
    <row r="2391" spans="1:11" ht="18.75" customHeight="1" outlineLevel="2">
      <c r="A2391" s="791" t="s">
        <v>776</v>
      </c>
      <c r="B2391" s="791" t="s">
        <v>1032</v>
      </c>
      <c r="C2391" s="791" t="s">
        <v>1009</v>
      </c>
      <c r="D2391" s="792" t="s">
        <v>779</v>
      </c>
      <c r="E2391" s="793" t="s">
        <v>662</v>
      </c>
      <c r="F2391" s="793" t="s">
        <v>821</v>
      </c>
      <c r="G2391" s="793" t="s">
        <v>813</v>
      </c>
      <c r="H2391" s="793" t="s">
        <v>814</v>
      </c>
      <c r="I2391" s="794">
        <v>0.66767157562070645</v>
      </c>
      <c r="J2391" s="794">
        <v>357.10086090046059</v>
      </c>
      <c r="K2391" s="771"/>
    </row>
    <row r="2392" spans="1:11" ht="18.75" customHeight="1" outlineLevel="2">
      <c r="A2392" s="791" t="s">
        <v>776</v>
      </c>
      <c r="B2392" s="791" t="s">
        <v>1032</v>
      </c>
      <c r="C2392" s="791" t="s">
        <v>1009</v>
      </c>
      <c r="D2392" s="792" t="s">
        <v>779</v>
      </c>
      <c r="E2392" s="793" t="s">
        <v>662</v>
      </c>
      <c r="F2392" s="793" t="s">
        <v>822</v>
      </c>
      <c r="G2392" s="793" t="s">
        <v>813</v>
      </c>
      <c r="H2392" s="793" t="s">
        <v>814</v>
      </c>
      <c r="I2392" s="794">
        <v>0.30383575407399316</v>
      </c>
      <c r="J2392" s="794">
        <v>44.485513755693034</v>
      </c>
      <c r="K2392" s="771"/>
    </row>
    <row r="2393" spans="1:11" ht="18.75" customHeight="1" outlineLevel="2">
      <c r="A2393" s="791" t="s">
        <v>776</v>
      </c>
      <c r="B2393" s="791" t="s">
        <v>1032</v>
      </c>
      <c r="C2393" s="791" t="s">
        <v>1009</v>
      </c>
      <c r="D2393" s="792" t="s">
        <v>779</v>
      </c>
      <c r="E2393" s="793" t="s">
        <v>662</v>
      </c>
      <c r="F2393" s="793" t="s">
        <v>823</v>
      </c>
      <c r="G2393" s="793" t="s">
        <v>813</v>
      </c>
      <c r="H2393" s="793" t="s">
        <v>814</v>
      </c>
      <c r="I2393" s="794">
        <v>0.88808719380169387</v>
      </c>
      <c r="J2393" s="794">
        <v>130.02402791229846</v>
      </c>
      <c r="K2393" s="771"/>
    </row>
    <row r="2394" spans="1:11" ht="18.75" customHeight="1" outlineLevel="2">
      <c r="A2394" s="791" t="s">
        <v>776</v>
      </c>
      <c r="B2394" s="791" t="s">
        <v>1032</v>
      </c>
      <c r="C2394" s="791" t="s">
        <v>1009</v>
      </c>
      <c r="D2394" s="792" t="s">
        <v>779</v>
      </c>
      <c r="E2394" s="793" t="s">
        <v>662</v>
      </c>
      <c r="F2394" s="793" t="s">
        <v>824</v>
      </c>
      <c r="G2394" s="793" t="s">
        <v>813</v>
      </c>
      <c r="H2394" s="793" t="s">
        <v>814</v>
      </c>
      <c r="I2394" s="794">
        <v>3.8188231375704449E-4</v>
      </c>
      <c r="J2394" s="794">
        <v>0.19055190044304193</v>
      </c>
      <c r="K2394" s="771"/>
    </row>
    <row r="2395" spans="1:11" ht="18.75" customHeight="1" outlineLevel="2">
      <c r="A2395" s="791" t="s">
        <v>776</v>
      </c>
      <c r="B2395" s="791" t="s">
        <v>1032</v>
      </c>
      <c r="C2395" s="791" t="s">
        <v>1009</v>
      </c>
      <c r="D2395" s="792" t="s">
        <v>779</v>
      </c>
      <c r="E2395" s="793" t="s">
        <v>662</v>
      </c>
      <c r="F2395" s="793" t="s">
        <v>825</v>
      </c>
      <c r="G2395" s="793" t="s">
        <v>791</v>
      </c>
      <c r="H2395" s="793" t="s">
        <v>826</v>
      </c>
      <c r="I2395" s="794">
        <v>5.340059264180646E-4</v>
      </c>
      <c r="J2395" s="794">
        <v>0.32474115610737087</v>
      </c>
      <c r="K2395" s="771"/>
    </row>
    <row r="2396" spans="1:11" ht="18.75" customHeight="1" outlineLevel="2">
      <c r="A2396" s="791" t="s">
        <v>776</v>
      </c>
      <c r="B2396" s="791" t="s">
        <v>1032</v>
      </c>
      <c r="C2396" s="791" t="s">
        <v>1009</v>
      </c>
      <c r="D2396" s="792" t="s">
        <v>779</v>
      </c>
      <c r="E2396" s="793" t="s">
        <v>662</v>
      </c>
      <c r="F2396" s="793" t="s">
        <v>827</v>
      </c>
      <c r="G2396" s="793" t="s">
        <v>794</v>
      </c>
      <c r="H2396" s="793" t="s">
        <v>828</v>
      </c>
      <c r="I2396" s="794">
        <v>1.9865452929281553E-2</v>
      </c>
      <c r="J2396" s="794">
        <v>9.8355678866570209</v>
      </c>
      <c r="K2396" s="771"/>
    </row>
    <row r="2397" spans="1:11" ht="18.75" customHeight="1" outlineLevel="2">
      <c r="A2397" s="791" t="s">
        <v>776</v>
      </c>
      <c r="B2397" s="791" t="s">
        <v>1032</v>
      </c>
      <c r="C2397" s="791" t="s">
        <v>1009</v>
      </c>
      <c r="D2397" s="792" t="s">
        <v>779</v>
      </c>
      <c r="E2397" s="793" t="s">
        <v>662</v>
      </c>
      <c r="F2397" s="793" t="s">
        <v>829</v>
      </c>
      <c r="G2397" s="793" t="s">
        <v>794</v>
      </c>
      <c r="H2397" s="793" t="s">
        <v>828</v>
      </c>
      <c r="I2397" s="794">
        <v>0.12677314985618465</v>
      </c>
      <c r="J2397" s="794">
        <v>65.614263780357788</v>
      </c>
      <c r="K2397" s="771"/>
    </row>
    <row r="2398" spans="1:11" ht="18.75" customHeight="1" outlineLevel="2">
      <c r="A2398" s="791" t="s">
        <v>776</v>
      </c>
      <c r="B2398" s="791" t="s">
        <v>1032</v>
      </c>
      <c r="C2398" s="791" t="s">
        <v>1009</v>
      </c>
      <c r="D2398" s="792" t="s">
        <v>779</v>
      </c>
      <c r="E2398" s="793" t="s">
        <v>662</v>
      </c>
      <c r="F2398" s="793" t="s">
        <v>830</v>
      </c>
      <c r="G2398" s="793" t="s">
        <v>794</v>
      </c>
      <c r="H2398" s="793" t="s">
        <v>828</v>
      </c>
      <c r="I2398" s="794">
        <v>5.0848494312411334E-5</v>
      </c>
      <c r="J2398" s="794">
        <v>2.2757062012764076E-2</v>
      </c>
      <c r="K2398" s="771"/>
    </row>
    <row r="2399" spans="1:11" ht="18.75" customHeight="1" outlineLevel="2">
      <c r="A2399" s="791" t="s">
        <v>776</v>
      </c>
      <c r="B2399" s="791" t="s">
        <v>1032</v>
      </c>
      <c r="C2399" s="791" t="s">
        <v>1009</v>
      </c>
      <c r="D2399" s="792" t="s">
        <v>779</v>
      </c>
      <c r="E2399" s="793" t="s">
        <v>662</v>
      </c>
      <c r="F2399" s="793" t="s">
        <v>831</v>
      </c>
      <c r="G2399" s="793" t="s">
        <v>794</v>
      </c>
      <c r="H2399" s="793" t="s">
        <v>828</v>
      </c>
      <c r="I2399" s="794">
        <v>8.8695791104640234E-4</v>
      </c>
      <c r="J2399" s="794">
        <v>0.3969553351237895</v>
      </c>
      <c r="K2399" s="771"/>
    </row>
    <row r="2400" spans="1:11" ht="18.75" customHeight="1" outlineLevel="2">
      <c r="A2400" s="791" t="s">
        <v>776</v>
      </c>
      <c r="B2400" s="791" t="s">
        <v>1032</v>
      </c>
      <c r="C2400" s="791" t="s">
        <v>1009</v>
      </c>
      <c r="D2400" s="792" t="s">
        <v>779</v>
      </c>
      <c r="E2400" s="793" t="s">
        <v>662</v>
      </c>
      <c r="F2400" s="793" t="s">
        <v>832</v>
      </c>
      <c r="G2400" s="793" t="s">
        <v>833</v>
      </c>
      <c r="H2400" s="793" t="s">
        <v>834</v>
      </c>
      <c r="I2400" s="794">
        <v>1.0319051835241701E-2</v>
      </c>
      <c r="J2400" s="794">
        <v>5.9574973805555196</v>
      </c>
      <c r="K2400" s="771"/>
    </row>
    <row r="2401" spans="1:11" ht="18.75" customHeight="1" outlineLevel="2">
      <c r="A2401" s="791" t="s">
        <v>776</v>
      </c>
      <c r="B2401" s="791" t="s">
        <v>1032</v>
      </c>
      <c r="C2401" s="791" t="s">
        <v>1009</v>
      </c>
      <c r="D2401" s="792" t="s">
        <v>779</v>
      </c>
      <c r="E2401" s="793" t="s">
        <v>662</v>
      </c>
      <c r="F2401" s="793" t="s">
        <v>835</v>
      </c>
      <c r="G2401" s="793" t="s">
        <v>799</v>
      </c>
      <c r="H2401" s="793" t="s">
        <v>800</v>
      </c>
      <c r="I2401" s="794">
        <v>0.19813128419172713</v>
      </c>
      <c r="J2401" s="794">
        <v>140.05681947903344</v>
      </c>
      <c r="K2401" s="771"/>
    </row>
    <row r="2402" spans="1:11" ht="18.75" customHeight="1" outlineLevel="2">
      <c r="A2402" s="791" t="s">
        <v>776</v>
      </c>
      <c r="B2402" s="791" t="s">
        <v>1032</v>
      </c>
      <c r="C2402" s="791" t="s">
        <v>1009</v>
      </c>
      <c r="D2402" s="792" t="s">
        <v>779</v>
      </c>
      <c r="E2402" s="793" t="s">
        <v>662</v>
      </c>
      <c r="F2402" s="793" t="s">
        <v>836</v>
      </c>
      <c r="G2402" s="793" t="s">
        <v>799</v>
      </c>
      <c r="H2402" s="793" t="s">
        <v>800</v>
      </c>
      <c r="I2402" s="794">
        <v>1.4600340195939578</v>
      </c>
      <c r="J2402" s="794">
        <v>1331.4899696750972</v>
      </c>
      <c r="K2402" s="771"/>
    </row>
    <row r="2403" spans="1:11" ht="18.75" customHeight="1" outlineLevel="2">
      <c r="A2403" s="791" t="s">
        <v>776</v>
      </c>
      <c r="B2403" s="791" t="s">
        <v>1032</v>
      </c>
      <c r="C2403" s="791" t="s">
        <v>1009</v>
      </c>
      <c r="D2403" s="792" t="s">
        <v>779</v>
      </c>
      <c r="E2403" s="793" t="s">
        <v>662</v>
      </c>
      <c r="F2403" s="793" t="s">
        <v>837</v>
      </c>
      <c r="G2403" s="793" t="s">
        <v>799</v>
      </c>
      <c r="H2403" s="793" t="s">
        <v>800</v>
      </c>
      <c r="I2403" s="794">
        <v>0.61714539401936397</v>
      </c>
      <c r="J2403" s="794">
        <v>819.8350844788572</v>
      </c>
      <c r="K2403" s="771"/>
    </row>
    <row r="2404" spans="1:11" ht="18.75" customHeight="1" outlineLevel="2">
      <c r="A2404" s="791" t="s">
        <v>776</v>
      </c>
      <c r="B2404" s="791" t="s">
        <v>1032</v>
      </c>
      <c r="C2404" s="791" t="s">
        <v>1009</v>
      </c>
      <c r="D2404" s="792" t="s">
        <v>779</v>
      </c>
      <c r="E2404" s="793" t="s">
        <v>662</v>
      </c>
      <c r="F2404" s="793" t="s">
        <v>838</v>
      </c>
      <c r="G2404" s="793" t="s">
        <v>799</v>
      </c>
      <c r="H2404" s="793" t="s">
        <v>800</v>
      </c>
      <c r="I2404" s="794">
        <v>0.19617975366464435</v>
      </c>
      <c r="J2404" s="794">
        <v>178.58674084854252</v>
      </c>
      <c r="K2404" s="771"/>
    </row>
    <row r="2405" spans="1:11" ht="18.75" customHeight="1" outlineLevel="2">
      <c r="A2405" s="791" t="s">
        <v>776</v>
      </c>
      <c r="B2405" s="791" t="s">
        <v>1032</v>
      </c>
      <c r="C2405" s="791" t="s">
        <v>1009</v>
      </c>
      <c r="D2405" s="792" t="s">
        <v>779</v>
      </c>
      <c r="E2405" s="793" t="s">
        <v>662</v>
      </c>
      <c r="F2405" s="793" t="s">
        <v>839</v>
      </c>
      <c r="G2405" s="793" t="s">
        <v>782</v>
      </c>
      <c r="H2405" s="793" t="s">
        <v>804</v>
      </c>
      <c r="I2405" s="794">
        <v>1.5815997988839203E-2</v>
      </c>
      <c r="J2405" s="794">
        <v>25.754707431589321</v>
      </c>
      <c r="K2405" s="771"/>
    </row>
    <row r="2406" spans="1:11" ht="18.75" customHeight="1" outlineLevel="2">
      <c r="A2406" s="791" t="s">
        <v>776</v>
      </c>
      <c r="B2406" s="791" t="s">
        <v>1032</v>
      </c>
      <c r="C2406" s="791" t="s">
        <v>1009</v>
      </c>
      <c r="D2406" s="792" t="s">
        <v>779</v>
      </c>
      <c r="E2406" s="793" t="s">
        <v>662</v>
      </c>
      <c r="F2406" s="793" t="s">
        <v>840</v>
      </c>
      <c r="G2406" s="793" t="s">
        <v>782</v>
      </c>
      <c r="H2406" s="793" t="s">
        <v>804</v>
      </c>
      <c r="I2406" s="794">
        <v>1.2638440756722132E-4</v>
      </c>
      <c r="J2406" s="794">
        <v>0.19223657892784163</v>
      </c>
      <c r="K2406" s="771"/>
    </row>
    <row r="2407" spans="1:11" ht="18.75" customHeight="1" outlineLevel="2">
      <c r="A2407" s="791" t="s">
        <v>776</v>
      </c>
      <c r="B2407" s="791" t="s">
        <v>1032</v>
      </c>
      <c r="C2407" s="791" t="s">
        <v>1009</v>
      </c>
      <c r="D2407" s="792" t="s">
        <v>779</v>
      </c>
      <c r="E2407" s="793" t="s">
        <v>662</v>
      </c>
      <c r="F2407" s="793" t="s">
        <v>841</v>
      </c>
      <c r="G2407" s="793" t="s">
        <v>782</v>
      </c>
      <c r="H2407" s="793" t="s">
        <v>804</v>
      </c>
      <c r="I2407" s="794">
        <v>3.4172400267162367E-2</v>
      </c>
      <c r="J2407" s="794">
        <v>48.383341965614392</v>
      </c>
      <c r="K2407" s="771"/>
    </row>
    <row r="2408" spans="1:11" ht="18.75" customHeight="1" outlineLevel="2">
      <c r="A2408" s="791" t="s">
        <v>776</v>
      </c>
      <c r="B2408" s="791" t="s">
        <v>1032</v>
      </c>
      <c r="C2408" s="791" t="s">
        <v>1009</v>
      </c>
      <c r="D2408" s="792" t="s">
        <v>779</v>
      </c>
      <c r="E2408" s="793" t="s">
        <v>662</v>
      </c>
      <c r="F2408" s="793" t="s">
        <v>842</v>
      </c>
      <c r="G2408" s="793" t="s">
        <v>782</v>
      </c>
      <c r="H2408" s="793" t="s">
        <v>804</v>
      </c>
      <c r="I2408" s="794">
        <v>2.7885826238248243E-2</v>
      </c>
      <c r="J2408" s="794">
        <v>45.552138943983529</v>
      </c>
      <c r="K2408" s="771"/>
    </row>
    <row r="2409" spans="1:11" ht="18.75" customHeight="1" outlineLevel="2">
      <c r="A2409" s="791" t="s">
        <v>776</v>
      </c>
      <c r="B2409" s="791" t="s">
        <v>1032</v>
      </c>
      <c r="C2409" s="791" t="s">
        <v>1009</v>
      </c>
      <c r="D2409" s="792" t="s">
        <v>779</v>
      </c>
      <c r="E2409" s="793" t="s">
        <v>662</v>
      </c>
      <c r="F2409" s="793" t="s">
        <v>843</v>
      </c>
      <c r="G2409" s="793" t="s">
        <v>782</v>
      </c>
      <c r="H2409" s="793" t="s">
        <v>804</v>
      </c>
      <c r="I2409" s="794">
        <v>6.2361716467481058E-2</v>
      </c>
      <c r="J2409" s="794">
        <v>90.908015274656151</v>
      </c>
      <c r="K2409" s="771"/>
    </row>
    <row r="2410" spans="1:11" ht="18.75" customHeight="1" outlineLevel="2">
      <c r="A2410" s="791" t="s">
        <v>776</v>
      </c>
      <c r="B2410" s="791" t="s">
        <v>1032</v>
      </c>
      <c r="C2410" s="791" t="s">
        <v>1009</v>
      </c>
      <c r="D2410" s="792" t="s">
        <v>779</v>
      </c>
      <c r="E2410" s="793" t="s">
        <v>662</v>
      </c>
      <c r="F2410" s="793" t="s">
        <v>844</v>
      </c>
      <c r="G2410" s="793" t="s">
        <v>782</v>
      </c>
      <c r="H2410" s="793" t="s">
        <v>804</v>
      </c>
      <c r="I2410" s="794">
        <v>2.7054008236810697E-2</v>
      </c>
      <c r="J2410" s="794">
        <v>38.279001670135102</v>
      </c>
      <c r="K2410" s="771"/>
    </row>
    <row r="2411" spans="1:11" ht="18.75" customHeight="1" outlineLevel="2">
      <c r="A2411" s="791" t="s">
        <v>776</v>
      </c>
      <c r="B2411" s="791" t="s">
        <v>1032</v>
      </c>
      <c r="C2411" s="791" t="s">
        <v>1009</v>
      </c>
      <c r="D2411" s="792" t="s">
        <v>779</v>
      </c>
      <c r="E2411" s="793" t="s">
        <v>662</v>
      </c>
      <c r="F2411" s="793" t="s">
        <v>845</v>
      </c>
      <c r="G2411" s="793" t="s">
        <v>782</v>
      </c>
      <c r="H2411" s="793" t="s">
        <v>804</v>
      </c>
      <c r="I2411" s="794">
        <v>1.4734086747031994E-3</v>
      </c>
      <c r="J2411" s="794">
        <v>1.9950312187914789</v>
      </c>
      <c r="K2411" s="771"/>
    </row>
    <row r="2412" spans="1:11" ht="18.75" customHeight="1" outlineLevel="2">
      <c r="A2412" s="791" t="s">
        <v>776</v>
      </c>
      <c r="B2412" s="791" t="s">
        <v>1032</v>
      </c>
      <c r="C2412" s="791" t="s">
        <v>1009</v>
      </c>
      <c r="D2412" s="792" t="s">
        <v>779</v>
      </c>
      <c r="E2412" s="793" t="s">
        <v>662</v>
      </c>
      <c r="F2412" s="793" t="s">
        <v>846</v>
      </c>
      <c r="G2412" s="793" t="s">
        <v>782</v>
      </c>
      <c r="H2412" s="793" t="s">
        <v>804</v>
      </c>
      <c r="I2412" s="794">
        <v>5.1273684956577567E-2</v>
      </c>
      <c r="J2412" s="794">
        <v>80.106169143336089</v>
      </c>
      <c r="K2412" s="771"/>
    </row>
    <row r="2413" spans="1:11" ht="18.75" customHeight="1" outlineLevel="2">
      <c r="A2413" s="791" t="s">
        <v>776</v>
      </c>
      <c r="B2413" s="791" t="s">
        <v>1032</v>
      </c>
      <c r="C2413" s="791" t="s">
        <v>1009</v>
      </c>
      <c r="D2413" s="792" t="s">
        <v>779</v>
      </c>
      <c r="E2413" s="793" t="s">
        <v>662</v>
      </c>
      <c r="F2413" s="793" t="s">
        <v>847</v>
      </c>
      <c r="G2413" s="793" t="s">
        <v>782</v>
      </c>
      <c r="H2413" s="793" t="s">
        <v>804</v>
      </c>
      <c r="I2413" s="794">
        <v>2.4438400151215706E-2</v>
      </c>
      <c r="J2413" s="794">
        <v>29.709942020311292</v>
      </c>
      <c r="K2413" s="771"/>
    </row>
    <row r="2414" spans="1:11" ht="18.75" customHeight="1" outlineLevel="2">
      <c r="A2414" s="791" t="s">
        <v>776</v>
      </c>
      <c r="B2414" s="791" t="s">
        <v>1032</v>
      </c>
      <c r="C2414" s="791" t="s">
        <v>1009</v>
      </c>
      <c r="D2414" s="792" t="s">
        <v>779</v>
      </c>
      <c r="E2414" s="793" t="s">
        <v>662</v>
      </c>
      <c r="F2414" s="793" t="s">
        <v>848</v>
      </c>
      <c r="G2414" s="793" t="s">
        <v>782</v>
      </c>
      <c r="H2414" s="793" t="s">
        <v>804</v>
      </c>
      <c r="I2414" s="794">
        <v>0.11551134244513919</v>
      </c>
      <c r="J2414" s="794">
        <v>166.92376452202978</v>
      </c>
      <c r="K2414" s="771"/>
    </row>
    <row r="2415" spans="1:11" ht="18.75" customHeight="1" outlineLevel="2">
      <c r="A2415" s="791" t="s">
        <v>776</v>
      </c>
      <c r="B2415" s="791" t="s">
        <v>1032</v>
      </c>
      <c r="C2415" s="791" t="s">
        <v>1009</v>
      </c>
      <c r="D2415" s="792" t="s">
        <v>779</v>
      </c>
      <c r="E2415" s="793" t="s">
        <v>662</v>
      </c>
      <c r="F2415" s="793" t="s">
        <v>849</v>
      </c>
      <c r="G2415" s="793" t="s">
        <v>782</v>
      </c>
      <c r="H2415" s="793" t="s">
        <v>804</v>
      </c>
      <c r="I2415" s="794">
        <v>5.8554977814978162E-2</v>
      </c>
      <c r="J2415" s="794">
        <v>80.161372956133675</v>
      </c>
      <c r="K2415" s="771"/>
    </row>
    <row r="2416" spans="1:11" ht="18.75" customHeight="1" outlineLevel="2">
      <c r="A2416" s="791" t="s">
        <v>776</v>
      </c>
      <c r="B2416" s="791" t="s">
        <v>1032</v>
      </c>
      <c r="C2416" s="791" t="s">
        <v>1009</v>
      </c>
      <c r="D2416" s="792" t="s">
        <v>779</v>
      </c>
      <c r="E2416" s="793" t="s">
        <v>662</v>
      </c>
      <c r="F2416" s="793" t="s">
        <v>850</v>
      </c>
      <c r="G2416" s="793" t="s">
        <v>782</v>
      </c>
      <c r="H2416" s="793" t="s">
        <v>804</v>
      </c>
      <c r="I2416" s="794">
        <v>4.6278268968161489E-3</v>
      </c>
      <c r="J2416" s="794">
        <v>6.4568972693241911</v>
      </c>
      <c r="K2416" s="771"/>
    </row>
    <row r="2417" spans="1:11" ht="18.75" customHeight="1" outlineLevel="2">
      <c r="A2417" s="791" t="s">
        <v>776</v>
      </c>
      <c r="B2417" s="791" t="s">
        <v>1032</v>
      </c>
      <c r="C2417" s="791" t="s">
        <v>1009</v>
      </c>
      <c r="D2417" s="792" t="s">
        <v>779</v>
      </c>
      <c r="E2417" s="793" t="s">
        <v>662</v>
      </c>
      <c r="F2417" s="793" t="s">
        <v>851</v>
      </c>
      <c r="G2417" s="793" t="s">
        <v>782</v>
      </c>
      <c r="H2417" s="793" t="s">
        <v>804</v>
      </c>
      <c r="I2417" s="794">
        <v>7.5999964624997723E-3</v>
      </c>
      <c r="J2417" s="794">
        <v>10.842746471753463</v>
      </c>
      <c r="K2417" s="771"/>
    </row>
    <row r="2418" spans="1:11" ht="18.75" customHeight="1" outlineLevel="2">
      <c r="A2418" s="791" t="s">
        <v>776</v>
      </c>
      <c r="B2418" s="791" t="s">
        <v>1032</v>
      </c>
      <c r="C2418" s="791" t="s">
        <v>1009</v>
      </c>
      <c r="D2418" s="792" t="s">
        <v>779</v>
      </c>
      <c r="E2418" s="793" t="s">
        <v>662</v>
      </c>
      <c r="F2418" s="793" t="s">
        <v>852</v>
      </c>
      <c r="G2418" s="793" t="s">
        <v>782</v>
      </c>
      <c r="H2418" s="793" t="s">
        <v>804</v>
      </c>
      <c r="I2418" s="794">
        <v>3.3268743099202172E-3</v>
      </c>
      <c r="J2418" s="794">
        <v>9.6888855883700327</v>
      </c>
      <c r="K2418" s="771"/>
    </row>
    <row r="2419" spans="1:11" ht="18.75" customHeight="1" outlineLevel="2">
      <c r="A2419" s="791" t="s">
        <v>776</v>
      </c>
      <c r="B2419" s="791" t="s">
        <v>1032</v>
      </c>
      <c r="C2419" s="791" t="s">
        <v>1009</v>
      </c>
      <c r="D2419" s="792" t="s">
        <v>779</v>
      </c>
      <c r="E2419" s="793" t="s">
        <v>662</v>
      </c>
      <c r="F2419" s="793" t="s">
        <v>853</v>
      </c>
      <c r="G2419" s="793" t="s">
        <v>782</v>
      </c>
      <c r="H2419" s="793" t="s">
        <v>804</v>
      </c>
      <c r="I2419" s="794">
        <v>2.6780236708028159E-3</v>
      </c>
      <c r="J2419" s="794">
        <v>22.980362773997442</v>
      </c>
      <c r="K2419" s="771"/>
    </row>
    <row r="2420" spans="1:11" ht="18.75" customHeight="1" outlineLevel="2">
      <c r="A2420" s="791" t="s">
        <v>776</v>
      </c>
      <c r="B2420" s="791" t="s">
        <v>1032</v>
      </c>
      <c r="C2420" s="791" t="s">
        <v>1009</v>
      </c>
      <c r="D2420" s="792" t="s">
        <v>779</v>
      </c>
      <c r="E2420" s="793" t="s">
        <v>662</v>
      </c>
      <c r="F2420" s="793" t="s">
        <v>854</v>
      </c>
      <c r="G2420" s="793" t="s">
        <v>782</v>
      </c>
      <c r="H2420" s="793" t="s">
        <v>804</v>
      </c>
      <c r="I2420" s="794">
        <v>3.644427011260816E-2</v>
      </c>
      <c r="J2420" s="794">
        <v>54.795001809881462</v>
      </c>
      <c r="K2420" s="771"/>
    </row>
    <row r="2421" spans="1:11" ht="18.75" customHeight="1" outlineLevel="2">
      <c r="A2421" s="791" t="s">
        <v>776</v>
      </c>
      <c r="B2421" s="791" t="s">
        <v>1032</v>
      </c>
      <c r="C2421" s="791" t="s">
        <v>1009</v>
      </c>
      <c r="D2421" s="792" t="s">
        <v>779</v>
      </c>
      <c r="E2421" s="793" t="s">
        <v>662</v>
      </c>
      <c r="F2421" s="793" t="s">
        <v>855</v>
      </c>
      <c r="G2421" s="793" t="s">
        <v>782</v>
      </c>
      <c r="H2421" s="793" t="s">
        <v>804</v>
      </c>
      <c r="I2421" s="794">
        <v>2.6013414352987069E-2</v>
      </c>
      <c r="J2421" s="794">
        <v>38.189945212706384</v>
      </c>
      <c r="K2421" s="771"/>
    </row>
    <row r="2422" spans="1:11" ht="18.75" customHeight="1" outlineLevel="2">
      <c r="A2422" s="791" t="s">
        <v>776</v>
      </c>
      <c r="B2422" s="791" t="s">
        <v>1032</v>
      </c>
      <c r="C2422" s="791" t="s">
        <v>1009</v>
      </c>
      <c r="D2422" s="792" t="s">
        <v>779</v>
      </c>
      <c r="E2422" s="793" t="s">
        <v>662</v>
      </c>
      <c r="F2422" s="793" t="s">
        <v>856</v>
      </c>
      <c r="G2422" s="793" t="s">
        <v>782</v>
      </c>
      <c r="H2422" s="793" t="s">
        <v>804</v>
      </c>
      <c r="I2422" s="794">
        <v>1.0219103792179503E-2</v>
      </c>
      <c r="J2422" s="794">
        <v>12.5134808235652</v>
      </c>
      <c r="K2422" s="771"/>
    </row>
    <row r="2423" spans="1:11" ht="18.75" customHeight="1" outlineLevel="2">
      <c r="A2423" s="791" t="s">
        <v>776</v>
      </c>
      <c r="B2423" s="791" t="s">
        <v>1032</v>
      </c>
      <c r="C2423" s="791" t="s">
        <v>1009</v>
      </c>
      <c r="D2423" s="792" t="s">
        <v>779</v>
      </c>
      <c r="E2423" s="793" t="s">
        <v>662</v>
      </c>
      <c r="F2423" s="793" t="s">
        <v>857</v>
      </c>
      <c r="G2423" s="793" t="s">
        <v>782</v>
      </c>
      <c r="H2423" s="793" t="s">
        <v>804</v>
      </c>
      <c r="I2423" s="794">
        <v>8.5024643691380894E-3</v>
      </c>
      <c r="J2423" s="794">
        <v>9.1436290978314414</v>
      </c>
      <c r="K2423" s="771"/>
    </row>
    <row r="2424" spans="1:11" ht="18.75" customHeight="1" outlineLevel="2">
      <c r="A2424" s="791" t="s">
        <v>776</v>
      </c>
      <c r="B2424" s="791" t="s">
        <v>1032</v>
      </c>
      <c r="C2424" s="791" t="s">
        <v>1009</v>
      </c>
      <c r="D2424" s="792" t="s">
        <v>779</v>
      </c>
      <c r="E2424" s="793" t="s">
        <v>662</v>
      </c>
      <c r="F2424" s="793" t="s">
        <v>858</v>
      </c>
      <c r="G2424" s="793" t="s">
        <v>785</v>
      </c>
      <c r="H2424" s="793" t="s">
        <v>727</v>
      </c>
      <c r="I2424" s="794">
        <v>6.1286229262628902E-2</v>
      </c>
      <c r="J2424" s="794">
        <v>122.65490832343534</v>
      </c>
      <c r="K2424" s="771"/>
    </row>
    <row r="2425" spans="1:11" ht="18.75" customHeight="1" outlineLevel="2">
      <c r="A2425" s="791" t="s">
        <v>776</v>
      </c>
      <c r="B2425" s="791" t="s">
        <v>1032</v>
      </c>
      <c r="C2425" s="791" t="s">
        <v>1009</v>
      </c>
      <c r="D2425" s="792" t="s">
        <v>779</v>
      </c>
      <c r="E2425" s="793" t="s">
        <v>662</v>
      </c>
      <c r="F2425" s="793" t="s">
        <v>859</v>
      </c>
      <c r="G2425" s="793" t="s">
        <v>785</v>
      </c>
      <c r="H2425" s="793" t="s">
        <v>727</v>
      </c>
      <c r="I2425" s="794">
        <v>4.4038109106399527E-2</v>
      </c>
      <c r="J2425" s="794">
        <v>464.18746561529758</v>
      </c>
      <c r="K2425" s="771"/>
    </row>
    <row r="2426" spans="1:11" ht="18.75" customHeight="1" outlineLevel="2">
      <c r="A2426" s="791" t="s">
        <v>776</v>
      </c>
      <c r="B2426" s="791" t="s">
        <v>1032</v>
      </c>
      <c r="C2426" s="791" t="s">
        <v>1009</v>
      </c>
      <c r="D2426" s="792" t="s">
        <v>779</v>
      </c>
      <c r="E2426" s="793" t="s">
        <v>662</v>
      </c>
      <c r="F2426" s="793" t="s">
        <v>860</v>
      </c>
      <c r="G2426" s="793" t="s">
        <v>785</v>
      </c>
      <c r="H2426" s="793" t="s">
        <v>727</v>
      </c>
      <c r="I2426" s="794">
        <v>3.6545073542797422E-2</v>
      </c>
      <c r="J2426" s="794">
        <v>99.745523960182538</v>
      </c>
      <c r="K2426" s="771"/>
    </row>
    <row r="2427" spans="1:11" ht="18.75" customHeight="1" outlineLevel="2">
      <c r="A2427" s="791" t="s">
        <v>776</v>
      </c>
      <c r="B2427" s="791" t="s">
        <v>1032</v>
      </c>
      <c r="C2427" s="791" t="s">
        <v>1009</v>
      </c>
      <c r="D2427" s="792" t="s">
        <v>779</v>
      </c>
      <c r="E2427" s="793" t="s">
        <v>662</v>
      </c>
      <c r="F2427" s="793" t="s">
        <v>861</v>
      </c>
      <c r="G2427" s="793" t="s">
        <v>785</v>
      </c>
      <c r="H2427" s="793" t="s">
        <v>727</v>
      </c>
      <c r="I2427" s="794">
        <v>0.14057386347984788</v>
      </c>
      <c r="J2427" s="794">
        <v>187.34949874296581</v>
      </c>
      <c r="K2427" s="771"/>
    </row>
    <row r="2428" spans="1:11" ht="18.75" customHeight="1" outlineLevel="2">
      <c r="A2428" s="791" t="s">
        <v>776</v>
      </c>
      <c r="B2428" s="791" t="s">
        <v>1032</v>
      </c>
      <c r="C2428" s="791" t="s">
        <v>1009</v>
      </c>
      <c r="D2428" s="792" t="s">
        <v>779</v>
      </c>
      <c r="E2428" s="793" t="s">
        <v>662</v>
      </c>
      <c r="F2428" s="793" t="s">
        <v>862</v>
      </c>
      <c r="G2428" s="793" t="s">
        <v>785</v>
      </c>
      <c r="H2428" s="793" t="s">
        <v>727</v>
      </c>
      <c r="I2428" s="794">
        <v>3.9653156590546716E-3</v>
      </c>
      <c r="J2428" s="794">
        <v>8.5963921160523711</v>
      </c>
      <c r="K2428" s="771"/>
    </row>
    <row r="2429" spans="1:11" ht="18.75" customHeight="1" outlineLevel="2">
      <c r="A2429" s="791" t="s">
        <v>776</v>
      </c>
      <c r="B2429" s="791" t="s">
        <v>1032</v>
      </c>
      <c r="C2429" s="791" t="s">
        <v>1009</v>
      </c>
      <c r="D2429" s="792" t="s">
        <v>779</v>
      </c>
      <c r="E2429" s="793" t="s">
        <v>662</v>
      </c>
      <c r="F2429" s="793" t="s">
        <v>863</v>
      </c>
      <c r="G2429" s="793" t="s">
        <v>785</v>
      </c>
      <c r="H2429" s="793" t="s">
        <v>727</v>
      </c>
      <c r="I2429" s="794">
        <v>5.0275501250741225E-3</v>
      </c>
      <c r="J2429" s="794">
        <v>7.4516147092422527</v>
      </c>
      <c r="K2429" s="771"/>
    </row>
    <row r="2430" spans="1:11" ht="18.75" customHeight="1" outlineLevel="2">
      <c r="A2430" s="791" t="s">
        <v>776</v>
      </c>
      <c r="B2430" s="791" t="s">
        <v>1032</v>
      </c>
      <c r="C2430" s="791" t="s">
        <v>1009</v>
      </c>
      <c r="D2430" s="792" t="s">
        <v>779</v>
      </c>
      <c r="E2430" s="793" t="s">
        <v>662</v>
      </c>
      <c r="F2430" s="793" t="s">
        <v>864</v>
      </c>
      <c r="G2430" s="793" t="s">
        <v>785</v>
      </c>
      <c r="H2430" s="793" t="s">
        <v>727</v>
      </c>
      <c r="I2430" s="794">
        <v>2.8874276288835261E-3</v>
      </c>
      <c r="J2430" s="794">
        <v>40.994965649925447</v>
      </c>
      <c r="K2430" s="771"/>
    </row>
    <row r="2431" spans="1:11" ht="18.75" customHeight="1" outlineLevel="2">
      <c r="A2431" s="791" t="s">
        <v>776</v>
      </c>
      <c r="B2431" s="791" t="s">
        <v>1032</v>
      </c>
      <c r="C2431" s="791" t="s">
        <v>1009</v>
      </c>
      <c r="D2431" s="792" t="s">
        <v>779</v>
      </c>
      <c r="E2431" s="793" t="s">
        <v>662</v>
      </c>
      <c r="F2431" s="793" t="s">
        <v>865</v>
      </c>
      <c r="G2431" s="793" t="s">
        <v>813</v>
      </c>
      <c r="H2431" s="793" t="s">
        <v>814</v>
      </c>
      <c r="I2431" s="794">
        <v>1.1898574996896623</v>
      </c>
      <c r="J2431" s="794">
        <v>1270.7674643017799</v>
      </c>
      <c r="K2431" s="771"/>
    </row>
    <row r="2432" spans="1:11" ht="18.75" customHeight="1" outlineLevel="2">
      <c r="A2432" s="791" t="s">
        <v>776</v>
      </c>
      <c r="B2432" s="791" t="s">
        <v>1032</v>
      </c>
      <c r="C2432" s="791" t="s">
        <v>1009</v>
      </c>
      <c r="D2432" s="792" t="s">
        <v>779</v>
      </c>
      <c r="E2432" s="793" t="s">
        <v>662</v>
      </c>
      <c r="F2432" s="793" t="s">
        <v>866</v>
      </c>
      <c r="G2432" s="793" t="s">
        <v>813</v>
      </c>
      <c r="H2432" s="793" t="s">
        <v>814</v>
      </c>
      <c r="I2432" s="794">
        <v>0.82506461469688275</v>
      </c>
      <c r="J2432" s="794">
        <v>1117.8924596202005</v>
      </c>
      <c r="K2432" s="771"/>
    </row>
    <row r="2433" spans="1:11" ht="18.75" customHeight="1" outlineLevel="2">
      <c r="A2433" s="791" t="s">
        <v>776</v>
      </c>
      <c r="B2433" s="791" t="s">
        <v>1032</v>
      </c>
      <c r="C2433" s="791" t="s">
        <v>1009</v>
      </c>
      <c r="D2433" s="792" t="s">
        <v>779</v>
      </c>
      <c r="E2433" s="793" t="s">
        <v>662</v>
      </c>
      <c r="F2433" s="793" t="s">
        <v>867</v>
      </c>
      <c r="G2433" s="793" t="s">
        <v>813</v>
      </c>
      <c r="H2433" s="793" t="s">
        <v>814</v>
      </c>
      <c r="I2433" s="794">
        <v>0.10242848873912658</v>
      </c>
      <c r="J2433" s="794">
        <v>109.35169766064323</v>
      </c>
      <c r="K2433" s="771"/>
    </row>
    <row r="2434" spans="1:11" ht="18.75" customHeight="1" outlineLevel="2">
      <c r="A2434" s="791" t="s">
        <v>776</v>
      </c>
      <c r="B2434" s="791" t="s">
        <v>1032</v>
      </c>
      <c r="C2434" s="791" t="s">
        <v>1009</v>
      </c>
      <c r="D2434" s="792" t="s">
        <v>779</v>
      </c>
      <c r="E2434" s="793" t="s">
        <v>662</v>
      </c>
      <c r="F2434" s="793" t="s">
        <v>868</v>
      </c>
      <c r="G2434" s="793" t="s">
        <v>813</v>
      </c>
      <c r="H2434" s="793" t="s">
        <v>814</v>
      </c>
      <c r="I2434" s="794">
        <v>0.52579013196901636</v>
      </c>
      <c r="J2434" s="794">
        <v>663.09331033878095</v>
      </c>
      <c r="K2434" s="771"/>
    </row>
    <row r="2435" spans="1:11" ht="18.75" customHeight="1" outlineLevel="2">
      <c r="A2435" s="791" t="s">
        <v>776</v>
      </c>
      <c r="B2435" s="791" t="s">
        <v>1032</v>
      </c>
      <c r="C2435" s="791" t="s">
        <v>1009</v>
      </c>
      <c r="D2435" s="792" t="s">
        <v>779</v>
      </c>
      <c r="E2435" s="793" t="s">
        <v>662</v>
      </c>
      <c r="F2435" s="793" t="s">
        <v>869</v>
      </c>
      <c r="G2435" s="793" t="s">
        <v>813</v>
      </c>
      <c r="H2435" s="793" t="s">
        <v>814</v>
      </c>
      <c r="I2435" s="794">
        <v>5.579854658653567E-3</v>
      </c>
      <c r="J2435" s="794">
        <v>7.063836840362443</v>
      </c>
      <c r="K2435" s="771"/>
    </row>
    <row r="2436" spans="1:11" ht="18.75" customHeight="1" outlineLevel="2">
      <c r="A2436" s="791" t="s">
        <v>776</v>
      </c>
      <c r="B2436" s="791" t="s">
        <v>1032</v>
      </c>
      <c r="C2436" s="791" t="s">
        <v>1009</v>
      </c>
      <c r="D2436" s="792" t="s">
        <v>779</v>
      </c>
      <c r="E2436" s="793" t="s">
        <v>662</v>
      </c>
      <c r="F2436" s="793" t="s">
        <v>870</v>
      </c>
      <c r="G2436" s="793" t="s">
        <v>813</v>
      </c>
      <c r="H2436" s="793" t="s">
        <v>814</v>
      </c>
      <c r="I2436" s="794">
        <v>1.8317500832538337E-2</v>
      </c>
      <c r="J2436" s="794">
        <v>25.893194510472828</v>
      </c>
      <c r="K2436" s="771"/>
    </row>
    <row r="2437" spans="1:11" ht="18.75" customHeight="1" outlineLevel="2">
      <c r="A2437" s="791" t="s">
        <v>776</v>
      </c>
      <c r="B2437" s="791" t="s">
        <v>1032</v>
      </c>
      <c r="C2437" s="791" t="s">
        <v>1009</v>
      </c>
      <c r="D2437" s="792" t="s">
        <v>779</v>
      </c>
      <c r="E2437" s="793" t="s">
        <v>662</v>
      </c>
      <c r="F2437" s="793" t="s">
        <v>871</v>
      </c>
      <c r="G2437" s="793" t="s">
        <v>813</v>
      </c>
      <c r="H2437" s="793" t="s">
        <v>814</v>
      </c>
      <c r="I2437" s="794">
        <v>1.0626992965269845E-2</v>
      </c>
      <c r="J2437" s="794">
        <v>13.476208083079568</v>
      </c>
      <c r="K2437" s="771"/>
    </row>
    <row r="2438" spans="1:11" ht="18.75" customHeight="1" outlineLevel="2">
      <c r="A2438" s="791" t="s">
        <v>776</v>
      </c>
      <c r="B2438" s="791" t="s">
        <v>1032</v>
      </c>
      <c r="C2438" s="791" t="s">
        <v>1009</v>
      </c>
      <c r="D2438" s="792" t="s">
        <v>779</v>
      </c>
      <c r="E2438" s="793" t="s">
        <v>662</v>
      </c>
      <c r="F2438" s="793" t="s">
        <v>872</v>
      </c>
      <c r="G2438" s="793" t="s">
        <v>813</v>
      </c>
      <c r="H2438" s="793" t="s">
        <v>814</v>
      </c>
      <c r="I2438" s="794">
        <v>0.62600976506163375</v>
      </c>
      <c r="J2438" s="794">
        <v>1062.5172096452973</v>
      </c>
      <c r="K2438" s="771"/>
    </row>
    <row r="2439" spans="1:11" ht="18.75" customHeight="1" outlineLevel="2">
      <c r="A2439" s="791" t="s">
        <v>776</v>
      </c>
      <c r="B2439" s="791" t="s">
        <v>1032</v>
      </c>
      <c r="C2439" s="791" t="s">
        <v>1009</v>
      </c>
      <c r="D2439" s="792" t="s">
        <v>779</v>
      </c>
      <c r="E2439" s="793" t="s">
        <v>662</v>
      </c>
      <c r="F2439" s="793" t="s">
        <v>873</v>
      </c>
      <c r="G2439" s="793" t="s">
        <v>813</v>
      </c>
      <c r="H2439" s="793" t="s">
        <v>814</v>
      </c>
      <c r="I2439" s="794">
        <v>0.27084902445381387</v>
      </c>
      <c r="J2439" s="794">
        <v>143.81901539187311</v>
      </c>
      <c r="K2439" s="771"/>
    </row>
    <row r="2440" spans="1:11" ht="18.75" customHeight="1" outlineLevel="2">
      <c r="A2440" s="791" t="s">
        <v>776</v>
      </c>
      <c r="B2440" s="791" t="s">
        <v>1032</v>
      </c>
      <c r="C2440" s="791" t="s">
        <v>1009</v>
      </c>
      <c r="D2440" s="792" t="s">
        <v>779</v>
      </c>
      <c r="E2440" s="793" t="s">
        <v>662</v>
      </c>
      <c r="F2440" s="793" t="s">
        <v>874</v>
      </c>
      <c r="G2440" s="793" t="s">
        <v>813</v>
      </c>
      <c r="H2440" s="793" t="s">
        <v>814</v>
      </c>
      <c r="I2440" s="794">
        <v>0.7917324282644107</v>
      </c>
      <c r="J2440" s="794">
        <v>420.35489661861789</v>
      </c>
      <c r="K2440" s="771"/>
    </row>
    <row r="2441" spans="1:11" ht="18.75" customHeight="1" outlineLevel="2">
      <c r="A2441" s="791" t="s">
        <v>776</v>
      </c>
      <c r="B2441" s="791" t="s">
        <v>1032</v>
      </c>
      <c r="C2441" s="791" t="s">
        <v>1009</v>
      </c>
      <c r="D2441" s="792" t="s">
        <v>779</v>
      </c>
      <c r="E2441" s="793" t="s">
        <v>662</v>
      </c>
      <c r="F2441" s="793" t="s">
        <v>875</v>
      </c>
      <c r="G2441" s="793" t="s">
        <v>813</v>
      </c>
      <c r="H2441" s="793" t="s">
        <v>814</v>
      </c>
      <c r="I2441" s="794">
        <v>0.17729013112531511</v>
      </c>
      <c r="J2441" s="794">
        <v>258.09676420401968</v>
      </c>
      <c r="K2441" s="771"/>
    </row>
    <row r="2442" spans="1:11" ht="18.75" customHeight="1" outlineLevel="2">
      <c r="A2442" s="791" t="s">
        <v>776</v>
      </c>
      <c r="B2442" s="791" t="s">
        <v>1032</v>
      </c>
      <c r="C2442" s="791" t="s">
        <v>1009</v>
      </c>
      <c r="D2442" s="792" t="s">
        <v>779</v>
      </c>
      <c r="E2442" s="793" t="s">
        <v>662</v>
      </c>
      <c r="F2442" s="793" t="s">
        <v>876</v>
      </c>
      <c r="G2442" s="793" t="s">
        <v>813</v>
      </c>
      <c r="H2442" s="793" t="s">
        <v>814</v>
      </c>
      <c r="I2442" s="794">
        <v>9.4222601981331033E-2</v>
      </c>
      <c r="J2442" s="794">
        <v>142.02777966080689</v>
      </c>
      <c r="K2442" s="771"/>
    </row>
    <row r="2443" spans="1:11" ht="18.75" customHeight="1" outlineLevel="2">
      <c r="A2443" s="791" t="s">
        <v>776</v>
      </c>
      <c r="B2443" s="791" t="s">
        <v>1032</v>
      </c>
      <c r="C2443" s="791" t="s">
        <v>1009</v>
      </c>
      <c r="D2443" s="792" t="s">
        <v>779</v>
      </c>
      <c r="E2443" s="793" t="s">
        <v>662</v>
      </c>
      <c r="F2443" s="793" t="s">
        <v>877</v>
      </c>
      <c r="G2443" s="793" t="s">
        <v>813</v>
      </c>
      <c r="H2443" s="793" t="s">
        <v>814</v>
      </c>
      <c r="I2443" s="794">
        <v>0.12431161811934663</v>
      </c>
      <c r="J2443" s="794">
        <v>160.76142916309007</v>
      </c>
      <c r="K2443" s="771"/>
    </row>
    <row r="2444" spans="1:11" ht="18.75" customHeight="1" outlineLevel="2">
      <c r="A2444" s="791" t="s">
        <v>776</v>
      </c>
      <c r="B2444" s="791" t="s">
        <v>1032</v>
      </c>
      <c r="C2444" s="791" t="s">
        <v>1009</v>
      </c>
      <c r="D2444" s="792" t="s">
        <v>779</v>
      </c>
      <c r="E2444" s="793" t="s">
        <v>662</v>
      </c>
      <c r="F2444" s="793" t="s">
        <v>878</v>
      </c>
      <c r="G2444" s="793" t="s">
        <v>813</v>
      </c>
      <c r="H2444" s="793" t="s">
        <v>814</v>
      </c>
      <c r="I2444" s="794">
        <v>6.3431986850949945E-2</v>
      </c>
      <c r="J2444" s="794">
        <v>76.328595239435913</v>
      </c>
      <c r="K2444" s="771"/>
    </row>
    <row r="2445" spans="1:11" ht="18.75" customHeight="1" outlineLevel="2">
      <c r="A2445" s="791" t="s">
        <v>776</v>
      </c>
      <c r="B2445" s="791" t="s">
        <v>1032</v>
      </c>
      <c r="C2445" s="791" t="s">
        <v>1009</v>
      </c>
      <c r="D2445" s="792" t="s">
        <v>779</v>
      </c>
      <c r="E2445" s="793" t="s">
        <v>662</v>
      </c>
      <c r="F2445" s="793" t="s">
        <v>879</v>
      </c>
      <c r="G2445" s="793" t="s">
        <v>813</v>
      </c>
      <c r="H2445" s="793" t="s">
        <v>814</v>
      </c>
      <c r="I2445" s="794">
        <v>2.3710311471474523</v>
      </c>
      <c r="J2445" s="794">
        <v>3459.5784099722132</v>
      </c>
      <c r="K2445" s="771"/>
    </row>
    <row r="2446" spans="1:11" ht="18.75" customHeight="1" outlineLevel="2">
      <c r="A2446" s="791" t="s">
        <v>776</v>
      </c>
      <c r="B2446" s="791" t="s">
        <v>1032</v>
      </c>
      <c r="C2446" s="791" t="s">
        <v>1009</v>
      </c>
      <c r="D2446" s="792" t="s">
        <v>779</v>
      </c>
      <c r="E2446" s="793" t="s">
        <v>662</v>
      </c>
      <c r="F2446" s="793" t="s">
        <v>880</v>
      </c>
      <c r="G2446" s="793" t="s">
        <v>813</v>
      </c>
      <c r="H2446" s="793" t="s">
        <v>814</v>
      </c>
      <c r="I2446" s="794">
        <v>1.2802004679977188</v>
      </c>
      <c r="J2446" s="794">
        <v>1930.1633736584947</v>
      </c>
      <c r="K2446" s="771"/>
    </row>
    <row r="2447" spans="1:11" ht="18.75" customHeight="1" outlineLevel="2">
      <c r="A2447" s="791" t="s">
        <v>776</v>
      </c>
      <c r="B2447" s="791" t="s">
        <v>1032</v>
      </c>
      <c r="C2447" s="791" t="s">
        <v>1009</v>
      </c>
      <c r="D2447" s="792" t="s">
        <v>779</v>
      </c>
      <c r="E2447" s="793" t="s">
        <v>662</v>
      </c>
      <c r="F2447" s="793" t="s">
        <v>881</v>
      </c>
      <c r="G2447" s="793" t="s">
        <v>813</v>
      </c>
      <c r="H2447" s="793" t="s">
        <v>814</v>
      </c>
      <c r="I2447" s="794">
        <v>0.1432518005964187</v>
      </c>
      <c r="J2447" s="794">
        <v>322.28680372984394</v>
      </c>
      <c r="K2447" s="771"/>
    </row>
    <row r="2448" spans="1:11" ht="18.75" customHeight="1" outlineLevel="2">
      <c r="A2448" s="791" t="s">
        <v>776</v>
      </c>
      <c r="B2448" s="791" t="s">
        <v>1032</v>
      </c>
      <c r="C2448" s="791" t="s">
        <v>1009</v>
      </c>
      <c r="D2448" s="792" t="s">
        <v>779</v>
      </c>
      <c r="E2448" s="793" t="s">
        <v>662</v>
      </c>
      <c r="F2448" s="793" t="s">
        <v>882</v>
      </c>
      <c r="G2448" s="793" t="s">
        <v>813</v>
      </c>
      <c r="H2448" s="793" t="s">
        <v>814</v>
      </c>
      <c r="I2448" s="794">
        <v>3.9430807455005765</v>
      </c>
      <c r="J2448" s="794">
        <v>6230.6901028875936</v>
      </c>
      <c r="K2448" s="771"/>
    </row>
    <row r="2449" spans="1:11" ht="18.75" customHeight="1" outlineLevel="2">
      <c r="A2449" s="791" t="s">
        <v>776</v>
      </c>
      <c r="B2449" s="791" t="s">
        <v>1032</v>
      </c>
      <c r="C2449" s="791" t="s">
        <v>1009</v>
      </c>
      <c r="D2449" s="792" t="s">
        <v>779</v>
      </c>
      <c r="E2449" s="793" t="s">
        <v>662</v>
      </c>
      <c r="F2449" s="793" t="s">
        <v>883</v>
      </c>
      <c r="G2449" s="793" t="s">
        <v>813</v>
      </c>
      <c r="H2449" s="793" t="s">
        <v>814</v>
      </c>
      <c r="I2449" s="794">
        <v>0.10794291436814847</v>
      </c>
      <c r="J2449" s="794">
        <v>122.97563088840931</v>
      </c>
      <c r="K2449" s="771"/>
    </row>
    <row r="2450" spans="1:11" ht="18.75" customHeight="1" outlineLevel="2">
      <c r="A2450" s="791" t="s">
        <v>776</v>
      </c>
      <c r="B2450" s="791" t="s">
        <v>1032</v>
      </c>
      <c r="C2450" s="791" t="s">
        <v>1009</v>
      </c>
      <c r="D2450" s="792" t="s">
        <v>779</v>
      </c>
      <c r="E2450" s="793" t="s">
        <v>662</v>
      </c>
      <c r="F2450" s="793" t="s">
        <v>884</v>
      </c>
      <c r="G2450" s="793" t="s">
        <v>813</v>
      </c>
      <c r="H2450" s="793" t="s">
        <v>814</v>
      </c>
      <c r="I2450" s="794">
        <v>0.16546796474537676</v>
      </c>
      <c r="J2450" s="794">
        <v>191.45874422692492</v>
      </c>
      <c r="K2450" s="771"/>
    </row>
    <row r="2451" spans="1:11" ht="18.75" customHeight="1" outlineLevel="2">
      <c r="A2451" s="791" t="s">
        <v>776</v>
      </c>
      <c r="B2451" s="791" t="s">
        <v>1032</v>
      </c>
      <c r="C2451" s="791" t="s">
        <v>1009</v>
      </c>
      <c r="D2451" s="792" t="s">
        <v>779</v>
      </c>
      <c r="E2451" s="793" t="s">
        <v>662</v>
      </c>
      <c r="F2451" s="793" t="s">
        <v>885</v>
      </c>
      <c r="G2451" s="793" t="s">
        <v>791</v>
      </c>
      <c r="H2451" s="793" t="s">
        <v>826</v>
      </c>
      <c r="I2451" s="794">
        <v>5.364594742925798E-4</v>
      </c>
      <c r="J2451" s="794">
        <v>0.78995884236156988</v>
      </c>
      <c r="K2451" s="771"/>
    </row>
    <row r="2452" spans="1:11" ht="18.75" customHeight="1" outlineLevel="2">
      <c r="A2452" s="791" t="s">
        <v>776</v>
      </c>
      <c r="B2452" s="791" t="s">
        <v>1032</v>
      </c>
      <c r="C2452" s="791" t="s">
        <v>1009</v>
      </c>
      <c r="D2452" s="792" t="s">
        <v>779</v>
      </c>
      <c r="E2452" s="793" t="s">
        <v>662</v>
      </c>
      <c r="F2452" s="793" t="s">
        <v>886</v>
      </c>
      <c r="G2452" s="793" t="s">
        <v>791</v>
      </c>
      <c r="H2452" s="793" t="s">
        <v>826</v>
      </c>
      <c r="I2452" s="794">
        <v>7.0199820688266899E-4</v>
      </c>
      <c r="J2452" s="794">
        <v>3.0568578608884573</v>
      </c>
      <c r="K2452" s="771"/>
    </row>
    <row r="2453" spans="1:11" ht="18.75" customHeight="1" outlineLevel="2">
      <c r="A2453" s="791" t="s">
        <v>776</v>
      </c>
      <c r="B2453" s="791" t="s">
        <v>1032</v>
      </c>
      <c r="C2453" s="791" t="s">
        <v>1009</v>
      </c>
      <c r="D2453" s="792" t="s">
        <v>779</v>
      </c>
      <c r="E2453" s="793" t="s">
        <v>662</v>
      </c>
      <c r="F2453" s="793" t="s">
        <v>887</v>
      </c>
      <c r="G2453" s="793" t="s">
        <v>791</v>
      </c>
      <c r="H2453" s="793" t="s">
        <v>826</v>
      </c>
      <c r="I2453" s="794">
        <v>2.617114573376858E-5</v>
      </c>
      <c r="J2453" s="794">
        <v>2.4521293012779263E-2</v>
      </c>
      <c r="K2453" s="771"/>
    </row>
    <row r="2454" spans="1:11" ht="18.75" customHeight="1" outlineLevel="2">
      <c r="A2454" s="791" t="s">
        <v>776</v>
      </c>
      <c r="B2454" s="791" t="s">
        <v>1032</v>
      </c>
      <c r="C2454" s="791" t="s">
        <v>1009</v>
      </c>
      <c r="D2454" s="792" t="s">
        <v>779</v>
      </c>
      <c r="E2454" s="793" t="s">
        <v>662</v>
      </c>
      <c r="F2454" s="793" t="s">
        <v>888</v>
      </c>
      <c r="G2454" s="793" t="s">
        <v>791</v>
      </c>
      <c r="H2454" s="793" t="s">
        <v>826</v>
      </c>
      <c r="I2454" s="794">
        <v>2.3475097994331844E-3</v>
      </c>
      <c r="J2454" s="794">
        <v>2.1951393269174657</v>
      </c>
      <c r="K2454" s="771"/>
    </row>
    <row r="2455" spans="1:11" ht="18.75" customHeight="1" outlineLevel="2">
      <c r="A2455" s="791" t="s">
        <v>776</v>
      </c>
      <c r="B2455" s="791" t="s">
        <v>1032</v>
      </c>
      <c r="C2455" s="791" t="s">
        <v>1009</v>
      </c>
      <c r="D2455" s="792" t="s">
        <v>779</v>
      </c>
      <c r="E2455" s="793" t="s">
        <v>662</v>
      </c>
      <c r="F2455" s="793" t="s">
        <v>889</v>
      </c>
      <c r="G2455" s="793" t="s">
        <v>791</v>
      </c>
      <c r="H2455" s="793" t="s">
        <v>826</v>
      </c>
      <c r="I2455" s="794">
        <v>4.5134402378593623E-4</v>
      </c>
      <c r="J2455" s="794">
        <v>0.64946626341169178</v>
      </c>
      <c r="K2455" s="771"/>
    </row>
    <row r="2456" spans="1:11" ht="18.75" customHeight="1" outlineLevel="2">
      <c r="A2456" s="791" t="s">
        <v>776</v>
      </c>
      <c r="B2456" s="791" t="s">
        <v>1032</v>
      </c>
      <c r="C2456" s="791" t="s">
        <v>1009</v>
      </c>
      <c r="D2456" s="792" t="s">
        <v>779</v>
      </c>
      <c r="E2456" s="793" t="s">
        <v>662</v>
      </c>
      <c r="F2456" s="793" t="s">
        <v>890</v>
      </c>
      <c r="G2456" s="793" t="s">
        <v>791</v>
      </c>
      <c r="H2456" s="793" t="s">
        <v>826</v>
      </c>
      <c r="I2456" s="794">
        <v>6.4489469151862997E-3</v>
      </c>
      <c r="J2456" s="794">
        <v>7.1960504832967667</v>
      </c>
      <c r="K2456" s="771"/>
    </row>
    <row r="2457" spans="1:11" ht="18.75" customHeight="1" outlineLevel="2">
      <c r="A2457" s="791" t="s">
        <v>776</v>
      </c>
      <c r="B2457" s="791" t="s">
        <v>1032</v>
      </c>
      <c r="C2457" s="791" t="s">
        <v>1009</v>
      </c>
      <c r="D2457" s="792" t="s">
        <v>779</v>
      </c>
      <c r="E2457" s="793" t="s">
        <v>662</v>
      </c>
      <c r="F2457" s="793" t="s">
        <v>891</v>
      </c>
      <c r="G2457" s="793" t="s">
        <v>791</v>
      </c>
      <c r="H2457" s="793" t="s">
        <v>826</v>
      </c>
      <c r="I2457" s="794">
        <v>3.3011274592933147E-2</v>
      </c>
      <c r="J2457" s="794">
        <v>16.132802393627774</v>
      </c>
      <c r="K2457" s="771"/>
    </row>
    <row r="2458" spans="1:11" ht="18.75" customHeight="1" outlineLevel="2">
      <c r="A2458" s="791" t="s">
        <v>776</v>
      </c>
      <c r="B2458" s="791" t="s">
        <v>1032</v>
      </c>
      <c r="C2458" s="791" t="s">
        <v>1009</v>
      </c>
      <c r="D2458" s="792" t="s">
        <v>779</v>
      </c>
      <c r="E2458" s="793" t="s">
        <v>662</v>
      </c>
      <c r="F2458" s="793" t="s">
        <v>892</v>
      </c>
      <c r="G2458" s="793" t="s">
        <v>791</v>
      </c>
      <c r="H2458" s="793" t="s">
        <v>826</v>
      </c>
      <c r="I2458" s="794">
        <v>3.7177330520001047E-3</v>
      </c>
      <c r="J2458" s="794">
        <v>3.4764259009055705</v>
      </c>
      <c r="K2458" s="771"/>
    </row>
    <row r="2459" spans="1:11" ht="18.75" customHeight="1" outlineLevel="2">
      <c r="A2459" s="791" t="s">
        <v>776</v>
      </c>
      <c r="B2459" s="791" t="s">
        <v>1032</v>
      </c>
      <c r="C2459" s="791" t="s">
        <v>1009</v>
      </c>
      <c r="D2459" s="792" t="s">
        <v>779</v>
      </c>
      <c r="E2459" s="793" t="s">
        <v>662</v>
      </c>
      <c r="F2459" s="793" t="s">
        <v>893</v>
      </c>
      <c r="G2459" s="793" t="s">
        <v>791</v>
      </c>
      <c r="H2459" s="793" t="s">
        <v>826</v>
      </c>
      <c r="I2459" s="794">
        <v>4.8810776150875219E-3</v>
      </c>
      <c r="J2459" s="794">
        <v>4.9609845851191166</v>
      </c>
      <c r="K2459" s="771"/>
    </row>
    <row r="2460" spans="1:11" ht="18.75" customHeight="1" outlineLevel="2">
      <c r="A2460" s="791" t="s">
        <v>776</v>
      </c>
      <c r="B2460" s="791" t="s">
        <v>1032</v>
      </c>
      <c r="C2460" s="791" t="s">
        <v>1009</v>
      </c>
      <c r="D2460" s="792" t="s">
        <v>779</v>
      </c>
      <c r="E2460" s="793" t="s">
        <v>662</v>
      </c>
      <c r="F2460" s="793" t="s">
        <v>894</v>
      </c>
      <c r="G2460" s="793" t="s">
        <v>791</v>
      </c>
      <c r="H2460" s="793" t="s">
        <v>826</v>
      </c>
      <c r="I2460" s="794">
        <v>5.8496383209095059E-4</v>
      </c>
      <c r="J2460" s="794">
        <v>5.3018352216502471</v>
      </c>
      <c r="K2460" s="771"/>
    </row>
    <row r="2461" spans="1:11" ht="18.75" customHeight="1" outlineLevel="2">
      <c r="A2461" s="791" t="s">
        <v>776</v>
      </c>
      <c r="B2461" s="791" t="s">
        <v>1032</v>
      </c>
      <c r="C2461" s="791" t="s">
        <v>1009</v>
      </c>
      <c r="D2461" s="792" t="s">
        <v>779</v>
      </c>
      <c r="E2461" s="793" t="s">
        <v>662</v>
      </c>
      <c r="F2461" s="793" t="s">
        <v>895</v>
      </c>
      <c r="G2461" s="793" t="s">
        <v>794</v>
      </c>
      <c r="H2461" s="793" t="s">
        <v>828</v>
      </c>
      <c r="I2461" s="794">
        <v>1.4625059770678277</v>
      </c>
      <c r="J2461" s="794">
        <v>2023.7875179619764</v>
      </c>
      <c r="K2461" s="771"/>
    </row>
    <row r="2462" spans="1:11" ht="18.75" customHeight="1" outlineLevel="2">
      <c r="A2462" s="791" t="s">
        <v>776</v>
      </c>
      <c r="B2462" s="791" t="s">
        <v>1032</v>
      </c>
      <c r="C2462" s="791" t="s">
        <v>1009</v>
      </c>
      <c r="D2462" s="792" t="s">
        <v>779</v>
      </c>
      <c r="E2462" s="793" t="s">
        <v>662</v>
      </c>
      <c r="F2462" s="793" t="s">
        <v>896</v>
      </c>
      <c r="G2462" s="793" t="s">
        <v>794</v>
      </c>
      <c r="H2462" s="793" t="s">
        <v>828</v>
      </c>
      <c r="I2462" s="794">
        <v>0.34351523551303981</v>
      </c>
      <c r="J2462" s="794">
        <v>506.33367218361792</v>
      </c>
      <c r="K2462" s="771"/>
    </row>
    <row r="2463" spans="1:11" ht="18.75" customHeight="1" outlineLevel="2">
      <c r="A2463" s="791" t="s">
        <v>776</v>
      </c>
      <c r="B2463" s="791" t="s">
        <v>1032</v>
      </c>
      <c r="C2463" s="791" t="s">
        <v>1009</v>
      </c>
      <c r="D2463" s="792" t="s">
        <v>779</v>
      </c>
      <c r="E2463" s="793" t="s">
        <v>662</v>
      </c>
      <c r="F2463" s="793" t="s">
        <v>897</v>
      </c>
      <c r="G2463" s="793" t="s">
        <v>794</v>
      </c>
      <c r="H2463" s="793" t="s">
        <v>828</v>
      </c>
      <c r="I2463" s="794">
        <v>0.1584723852855654</v>
      </c>
      <c r="J2463" s="794">
        <v>267.73238440431686</v>
      </c>
      <c r="K2463" s="771"/>
    </row>
    <row r="2464" spans="1:11" ht="18.75" customHeight="1" outlineLevel="2">
      <c r="A2464" s="791" t="s">
        <v>776</v>
      </c>
      <c r="B2464" s="791" t="s">
        <v>1032</v>
      </c>
      <c r="C2464" s="791" t="s">
        <v>1009</v>
      </c>
      <c r="D2464" s="792" t="s">
        <v>779</v>
      </c>
      <c r="E2464" s="793" t="s">
        <v>662</v>
      </c>
      <c r="F2464" s="793" t="s">
        <v>898</v>
      </c>
      <c r="G2464" s="793" t="s">
        <v>794</v>
      </c>
      <c r="H2464" s="793" t="s">
        <v>828</v>
      </c>
      <c r="I2464" s="794">
        <v>0.36515803188514445</v>
      </c>
      <c r="J2464" s="794">
        <v>575.55250575358923</v>
      </c>
      <c r="K2464" s="771"/>
    </row>
    <row r="2465" spans="1:11" ht="18.75" customHeight="1" outlineLevel="2">
      <c r="A2465" s="791" t="s">
        <v>776</v>
      </c>
      <c r="B2465" s="791" t="s">
        <v>1032</v>
      </c>
      <c r="C2465" s="791" t="s">
        <v>1009</v>
      </c>
      <c r="D2465" s="792" t="s">
        <v>779</v>
      </c>
      <c r="E2465" s="793" t="s">
        <v>662</v>
      </c>
      <c r="F2465" s="793" t="s">
        <v>899</v>
      </c>
      <c r="G2465" s="793" t="s">
        <v>794</v>
      </c>
      <c r="H2465" s="793" t="s">
        <v>828</v>
      </c>
      <c r="I2465" s="794">
        <v>0.64328473694404043</v>
      </c>
      <c r="J2465" s="794">
        <v>909.35733720030555</v>
      </c>
      <c r="K2465" s="771"/>
    </row>
    <row r="2466" spans="1:11" ht="18.75" customHeight="1" outlineLevel="2">
      <c r="A2466" s="791" t="s">
        <v>776</v>
      </c>
      <c r="B2466" s="791" t="s">
        <v>1032</v>
      </c>
      <c r="C2466" s="791" t="s">
        <v>1009</v>
      </c>
      <c r="D2466" s="792" t="s">
        <v>779</v>
      </c>
      <c r="E2466" s="793" t="s">
        <v>662</v>
      </c>
      <c r="F2466" s="793" t="s">
        <v>900</v>
      </c>
      <c r="G2466" s="793" t="s">
        <v>794</v>
      </c>
      <c r="H2466" s="793" t="s">
        <v>828</v>
      </c>
      <c r="I2466" s="794">
        <v>2.9801663182322972E-2</v>
      </c>
      <c r="J2466" s="794">
        <v>42.665560639536821</v>
      </c>
      <c r="K2466" s="771"/>
    </row>
    <row r="2467" spans="1:11" ht="18.75" customHeight="1" outlineLevel="2">
      <c r="A2467" s="791" t="s">
        <v>776</v>
      </c>
      <c r="B2467" s="791" t="s">
        <v>1032</v>
      </c>
      <c r="C2467" s="791" t="s">
        <v>1009</v>
      </c>
      <c r="D2467" s="792" t="s">
        <v>779</v>
      </c>
      <c r="E2467" s="793" t="s">
        <v>662</v>
      </c>
      <c r="F2467" s="793" t="s">
        <v>901</v>
      </c>
      <c r="G2467" s="793" t="s">
        <v>833</v>
      </c>
      <c r="H2467" s="793" t="s">
        <v>834</v>
      </c>
      <c r="I2467" s="794">
        <v>1.3783046212037253E-2</v>
      </c>
      <c r="J2467" s="794">
        <v>14.356639510673219</v>
      </c>
      <c r="K2467" s="771"/>
    </row>
    <row r="2468" spans="1:11" ht="18.75" customHeight="1" outlineLevel="2">
      <c r="A2468" s="791" t="s">
        <v>776</v>
      </c>
      <c r="B2468" s="791" t="s">
        <v>1032</v>
      </c>
      <c r="C2468" s="791" t="s">
        <v>1009</v>
      </c>
      <c r="D2468" s="792" t="s">
        <v>779</v>
      </c>
      <c r="E2468" s="793" t="s">
        <v>662</v>
      </c>
      <c r="F2468" s="793" t="s">
        <v>902</v>
      </c>
      <c r="G2468" s="793" t="s">
        <v>833</v>
      </c>
      <c r="H2468" s="793" t="s">
        <v>834</v>
      </c>
      <c r="I2468" s="794">
        <v>1.1997573917204813E-4</v>
      </c>
      <c r="J2468" s="794">
        <v>0.15300778544793542</v>
      </c>
      <c r="K2468" s="771"/>
    </row>
    <row r="2469" spans="1:11" ht="18.75" customHeight="1" outlineLevel="2">
      <c r="A2469" s="791" t="s">
        <v>776</v>
      </c>
      <c r="B2469" s="791" t="s">
        <v>1032</v>
      </c>
      <c r="C2469" s="791" t="s">
        <v>1009</v>
      </c>
      <c r="D2469" s="792" t="s">
        <v>779</v>
      </c>
      <c r="E2469" s="793" t="s">
        <v>662</v>
      </c>
      <c r="F2469" s="793" t="s">
        <v>1018</v>
      </c>
      <c r="G2469" s="793" t="s">
        <v>785</v>
      </c>
      <c r="H2469" s="793" t="s">
        <v>727</v>
      </c>
      <c r="I2469" s="794">
        <v>3.9860801113510069E-3</v>
      </c>
      <c r="J2469" s="794">
        <v>4.9173725832598691</v>
      </c>
      <c r="K2469" s="771"/>
    </row>
    <row r="2470" spans="1:11" ht="18.75" customHeight="1" outlineLevel="2">
      <c r="A2470" s="791" t="s">
        <v>776</v>
      </c>
      <c r="B2470" s="791" t="s">
        <v>1032</v>
      </c>
      <c r="C2470" s="791" t="s">
        <v>1009</v>
      </c>
      <c r="D2470" s="792" t="s">
        <v>779</v>
      </c>
      <c r="E2470" s="793" t="s">
        <v>662</v>
      </c>
      <c r="F2470" s="793" t="s">
        <v>903</v>
      </c>
      <c r="G2470" s="793" t="s">
        <v>904</v>
      </c>
      <c r="H2470" s="793" t="s">
        <v>905</v>
      </c>
      <c r="I2470" s="794">
        <v>4.0709229974090331</v>
      </c>
      <c r="J2470" s="794">
        <v>3463.617186082537</v>
      </c>
      <c r="K2470" s="771"/>
    </row>
    <row r="2471" spans="1:11" ht="18.75" customHeight="1" outlineLevel="2">
      <c r="A2471" s="791" t="s">
        <v>776</v>
      </c>
      <c r="B2471" s="791" t="s">
        <v>1032</v>
      </c>
      <c r="C2471" s="791" t="s">
        <v>1009</v>
      </c>
      <c r="D2471" s="792" t="s">
        <v>779</v>
      </c>
      <c r="E2471" s="793" t="s">
        <v>662</v>
      </c>
      <c r="F2471" s="793" t="s">
        <v>906</v>
      </c>
      <c r="G2471" s="793" t="s">
        <v>904</v>
      </c>
      <c r="H2471" s="793" t="s">
        <v>905</v>
      </c>
      <c r="I2471" s="794">
        <v>1.7135026286576813</v>
      </c>
      <c r="J2471" s="794">
        <v>1461.8073023609545</v>
      </c>
      <c r="K2471" s="771"/>
    </row>
    <row r="2472" spans="1:11" ht="18.75" customHeight="1" outlineLevel="2">
      <c r="A2472" s="791" t="s">
        <v>776</v>
      </c>
      <c r="B2472" s="791" t="s">
        <v>1032</v>
      </c>
      <c r="C2472" s="791" t="s">
        <v>1009</v>
      </c>
      <c r="D2472" s="792" t="s">
        <v>779</v>
      </c>
      <c r="E2472" s="793" t="s">
        <v>662</v>
      </c>
      <c r="F2472" s="793" t="s">
        <v>907</v>
      </c>
      <c r="G2472" s="793" t="s">
        <v>908</v>
      </c>
      <c r="H2472" s="793" t="s">
        <v>905</v>
      </c>
      <c r="I2472" s="794">
        <v>1.4509477843060312</v>
      </c>
      <c r="J2472" s="794">
        <v>2436.8694094577368</v>
      </c>
      <c r="K2472" s="771"/>
    </row>
    <row r="2473" spans="1:11" ht="18.75" customHeight="1" outlineLevel="2">
      <c r="A2473" s="791" t="s">
        <v>776</v>
      </c>
      <c r="B2473" s="791" t="s">
        <v>1032</v>
      </c>
      <c r="C2473" s="791" t="s">
        <v>1009</v>
      </c>
      <c r="D2473" s="792" t="s">
        <v>779</v>
      </c>
      <c r="E2473" s="793" t="s">
        <v>662</v>
      </c>
      <c r="F2473" s="793" t="s">
        <v>909</v>
      </c>
      <c r="G2473" s="793" t="s">
        <v>910</v>
      </c>
      <c r="H2473" s="793" t="s">
        <v>911</v>
      </c>
      <c r="I2473" s="794">
        <v>5.07703716267985E-3</v>
      </c>
      <c r="J2473" s="794">
        <v>7.5535775745382443</v>
      </c>
      <c r="K2473" s="771"/>
    </row>
    <row r="2474" spans="1:11" ht="18.75" customHeight="1" outlineLevel="2">
      <c r="A2474" s="791" t="s">
        <v>776</v>
      </c>
      <c r="B2474" s="791" t="s">
        <v>1032</v>
      </c>
      <c r="C2474" s="791" t="s">
        <v>1009</v>
      </c>
      <c r="D2474" s="792" t="s">
        <v>779</v>
      </c>
      <c r="E2474" s="793" t="s">
        <v>763</v>
      </c>
      <c r="F2474" s="793" t="s">
        <v>912</v>
      </c>
      <c r="G2474" s="793" t="s">
        <v>799</v>
      </c>
      <c r="H2474" s="793" t="s">
        <v>913</v>
      </c>
      <c r="I2474" s="794">
        <v>6.4088473016613405E-3</v>
      </c>
      <c r="J2474" s="794">
        <v>12.273256092384759</v>
      </c>
      <c r="K2474" s="771"/>
    </row>
    <row r="2475" spans="1:11" ht="18.75" customHeight="1" outlineLevel="2">
      <c r="A2475" s="791" t="s">
        <v>776</v>
      </c>
      <c r="B2475" s="791" t="s">
        <v>1032</v>
      </c>
      <c r="C2475" s="791" t="s">
        <v>1009</v>
      </c>
      <c r="D2475" s="792" t="s">
        <v>779</v>
      </c>
      <c r="E2475" s="793" t="s">
        <v>763</v>
      </c>
      <c r="F2475" s="793" t="s">
        <v>914</v>
      </c>
      <c r="G2475" s="793" t="s">
        <v>782</v>
      </c>
      <c r="H2475" s="793" t="s">
        <v>913</v>
      </c>
      <c r="I2475" s="794">
        <v>8.1143769771941591E-4</v>
      </c>
      <c r="J2475" s="794">
        <v>3.777238174506103</v>
      </c>
      <c r="K2475" s="771"/>
    </row>
    <row r="2476" spans="1:11" ht="18.75" customHeight="1" outlineLevel="2">
      <c r="A2476" s="791" t="s">
        <v>776</v>
      </c>
      <c r="B2476" s="791" t="s">
        <v>1032</v>
      </c>
      <c r="C2476" s="791" t="s">
        <v>1009</v>
      </c>
      <c r="D2476" s="792" t="s">
        <v>779</v>
      </c>
      <c r="E2476" s="793" t="s">
        <v>763</v>
      </c>
      <c r="F2476" s="793" t="s">
        <v>915</v>
      </c>
      <c r="G2476" s="793" t="s">
        <v>782</v>
      </c>
      <c r="H2476" s="793" t="s">
        <v>913</v>
      </c>
      <c r="I2476" s="794">
        <v>4.3519995813392701E-4</v>
      </c>
      <c r="J2476" s="794">
        <v>6.3168686936411023</v>
      </c>
      <c r="K2476" s="771"/>
    </row>
    <row r="2477" spans="1:11" ht="18.75" customHeight="1" outlineLevel="2">
      <c r="A2477" s="791" t="s">
        <v>776</v>
      </c>
      <c r="B2477" s="791" t="s">
        <v>1032</v>
      </c>
      <c r="C2477" s="791" t="s">
        <v>1009</v>
      </c>
      <c r="D2477" s="792" t="s">
        <v>779</v>
      </c>
      <c r="E2477" s="793" t="s">
        <v>763</v>
      </c>
      <c r="F2477" s="793" t="s">
        <v>916</v>
      </c>
      <c r="G2477" s="793" t="s">
        <v>782</v>
      </c>
      <c r="H2477" s="793" t="s">
        <v>913</v>
      </c>
      <c r="I2477" s="794">
        <v>6.4525203318326313E-4</v>
      </c>
      <c r="J2477" s="794">
        <v>1.1155529972538862</v>
      </c>
      <c r="K2477" s="771"/>
    </row>
    <row r="2478" spans="1:11" ht="18.75" customHeight="1" outlineLevel="2">
      <c r="A2478" s="791" t="s">
        <v>776</v>
      </c>
      <c r="B2478" s="791" t="s">
        <v>1032</v>
      </c>
      <c r="C2478" s="791" t="s">
        <v>1009</v>
      </c>
      <c r="D2478" s="792" t="s">
        <v>779</v>
      </c>
      <c r="E2478" s="793" t="s">
        <v>763</v>
      </c>
      <c r="F2478" s="793" t="s">
        <v>917</v>
      </c>
      <c r="G2478" s="793" t="s">
        <v>782</v>
      </c>
      <c r="H2478" s="793" t="s">
        <v>913</v>
      </c>
      <c r="I2478" s="794">
        <v>1.1813219631145028E-4</v>
      </c>
      <c r="J2478" s="794">
        <v>0.64673698791563905</v>
      </c>
      <c r="K2478" s="771"/>
    </row>
    <row r="2479" spans="1:11" ht="18.75" customHeight="1" outlineLevel="2">
      <c r="A2479" s="791" t="s">
        <v>776</v>
      </c>
      <c r="B2479" s="791" t="s">
        <v>1032</v>
      </c>
      <c r="C2479" s="791" t="s">
        <v>1009</v>
      </c>
      <c r="D2479" s="792" t="s">
        <v>779</v>
      </c>
      <c r="E2479" s="793" t="s">
        <v>763</v>
      </c>
      <c r="F2479" s="793" t="s">
        <v>918</v>
      </c>
      <c r="G2479" s="793" t="s">
        <v>782</v>
      </c>
      <c r="H2479" s="793" t="s">
        <v>913</v>
      </c>
      <c r="I2479" s="794">
        <v>2.6146743526272607E-3</v>
      </c>
      <c r="J2479" s="794">
        <v>11.681541244742693</v>
      </c>
      <c r="K2479" s="771"/>
    </row>
    <row r="2480" spans="1:11" ht="18.75" customHeight="1" outlineLevel="2">
      <c r="A2480" s="791" t="s">
        <v>776</v>
      </c>
      <c r="B2480" s="791" t="s">
        <v>1032</v>
      </c>
      <c r="C2480" s="791" t="s">
        <v>1009</v>
      </c>
      <c r="D2480" s="792" t="s">
        <v>779</v>
      </c>
      <c r="E2480" s="793" t="s">
        <v>763</v>
      </c>
      <c r="F2480" s="793" t="s">
        <v>919</v>
      </c>
      <c r="G2480" s="793" t="s">
        <v>782</v>
      </c>
      <c r="H2480" s="793" t="s">
        <v>913</v>
      </c>
      <c r="I2480" s="794">
        <v>5.0014038408585405E-3</v>
      </c>
      <c r="J2480" s="794">
        <v>5.8673911906790428</v>
      </c>
      <c r="K2480" s="771"/>
    </row>
    <row r="2481" spans="1:11" ht="18.75" customHeight="1" outlineLevel="2">
      <c r="A2481" s="791" t="s">
        <v>776</v>
      </c>
      <c r="B2481" s="791" t="s">
        <v>1032</v>
      </c>
      <c r="C2481" s="791" t="s">
        <v>1009</v>
      </c>
      <c r="D2481" s="792" t="s">
        <v>779</v>
      </c>
      <c r="E2481" s="793" t="s">
        <v>763</v>
      </c>
      <c r="F2481" s="793" t="s">
        <v>920</v>
      </c>
      <c r="G2481" s="793" t="s">
        <v>782</v>
      </c>
      <c r="H2481" s="793" t="s">
        <v>913</v>
      </c>
      <c r="I2481" s="794">
        <v>5.4321823404911086E-4</v>
      </c>
      <c r="J2481" s="794">
        <v>10.80757664948988</v>
      </c>
      <c r="K2481" s="771"/>
    </row>
    <row r="2482" spans="1:11" ht="18.75" customHeight="1" outlineLevel="2">
      <c r="A2482" s="791" t="s">
        <v>776</v>
      </c>
      <c r="B2482" s="791" t="s">
        <v>1032</v>
      </c>
      <c r="C2482" s="791" t="s">
        <v>1009</v>
      </c>
      <c r="D2482" s="792" t="s">
        <v>779</v>
      </c>
      <c r="E2482" s="793" t="s">
        <v>763</v>
      </c>
      <c r="F2482" s="793" t="s">
        <v>921</v>
      </c>
      <c r="G2482" s="793" t="s">
        <v>782</v>
      </c>
      <c r="H2482" s="793" t="s">
        <v>913</v>
      </c>
      <c r="I2482" s="794">
        <v>2.5212141689225464E-3</v>
      </c>
      <c r="J2482" s="794">
        <v>4.4037351890539425</v>
      </c>
      <c r="K2482" s="771"/>
    </row>
    <row r="2483" spans="1:11" ht="18.75" customHeight="1" outlineLevel="2">
      <c r="A2483" s="791" t="s">
        <v>776</v>
      </c>
      <c r="B2483" s="791" t="s">
        <v>1032</v>
      </c>
      <c r="C2483" s="791" t="s">
        <v>1009</v>
      </c>
      <c r="D2483" s="792" t="s">
        <v>779</v>
      </c>
      <c r="E2483" s="793" t="s">
        <v>763</v>
      </c>
      <c r="F2483" s="793" t="s">
        <v>922</v>
      </c>
      <c r="G2483" s="793" t="s">
        <v>782</v>
      </c>
      <c r="H2483" s="793" t="s">
        <v>913</v>
      </c>
      <c r="I2483" s="794">
        <v>3.7689257430250099E-4</v>
      </c>
      <c r="J2483" s="794">
        <v>0.72177208330510734</v>
      </c>
      <c r="K2483" s="771"/>
    </row>
    <row r="2484" spans="1:11" ht="18.75" customHeight="1" outlineLevel="2">
      <c r="A2484" s="791" t="s">
        <v>776</v>
      </c>
      <c r="B2484" s="791" t="s">
        <v>1032</v>
      </c>
      <c r="C2484" s="791" t="s">
        <v>1009</v>
      </c>
      <c r="D2484" s="792" t="s">
        <v>779</v>
      </c>
      <c r="E2484" s="793" t="s">
        <v>763</v>
      </c>
      <c r="F2484" s="793" t="s">
        <v>923</v>
      </c>
      <c r="G2484" s="793" t="s">
        <v>782</v>
      </c>
      <c r="H2484" s="793" t="s">
        <v>913</v>
      </c>
      <c r="I2484" s="794">
        <v>2.0655630415784628E-3</v>
      </c>
      <c r="J2484" s="794">
        <v>7.5051733090467954</v>
      </c>
      <c r="K2484" s="771"/>
    </row>
    <row r="2485" spans="1:11" ht="18.75" customHeight="1" outlineLevel="2">
      <c r="A2485" s="791" t="s">
        <v>776</v>
      </c>
      <c r="B2485" s="791" t="s">
        <v>1032</v>
      </c>
      <c r="C2485" s="791" t="s">
        <v>1009</v>
      </c>
      <c r="D2485" s="792" t="s">
        <v>779</v>
      </c>
      <c r="E2485" s="793" t="s">
        <v>763</v>
      </c>
      <c r="F2485" s="793" t="s">
        <v>924</v>
      </c>
      <c r="G2485" s="793" t="s">
        <v>782</v>
      </c>
      <c r="H2485" s="793" t="s">
        <v>913</v>
      </c>
      <c r="I2485" s="794">
        <v>1.7016875459431125E-3</v>
      </c>
      <c r="J2485" s="794">
        <v>18.123350837131571</v>
      </c>
      <c r="K2485" s="771"/>
    </row>
    <row r="2486" spans="1:11" ht="18.75" customHeight="1" outlineLevel="2">
      <c r="A2486" s="791" t="s">
        <v>776</v>
      </c>
      <c r="B2486" s="791" t="s">
        <v>1032</v>
      </c>
      <c r="C2486" s="791" t="s">
        <v>1009</v>
      </c>
      <c r="D2486" s="792" t="s">
        <v>779</v>
      </c>
      <c r="E2486" s="793" t="s">
        <v>763</v>
      </c>
      <c r="F2486" s="793" t="s">
        <v>925</v>
      </c>
      <c r="G2486" s="793" t="s">
        <v>782</v>
      </c>
      <c r="H2486" s="793" t="s">
        <v>913</v>
      </c>
      <c r="I2486" s="794">
        <v>1.1973841217022907E-4</v>
      </c>
      <c r="J2486" s="794">
        <v>1.9068131000746593</v>
      </c>
      <c r="K2486" s="771"/>
    </row>
    <row r="2487" spans="1:11" ht="18.75" customHeight="1" outlineLevel="2">
      <c r="A2487" s="791" t="s">
        <v>776</v>
      </c>
      <c r="B2487" s="791" t="s">
        <v>1032</v>
      </c>
      <c r="C2487" s="791" t="s">
        <v>1009</v>
      </c>
      <c r="D2487" s="792" t="s">
        <v>779</v>
      </c>
      <c r="E2487" s="793" t="s">
        <v>763</v>
      </c>
      <c r="F2487" s="793" t="s">
        <v>926</v>
      </c>
      <c r="G2487" s="793" t="s">
        <v>782</v>
      </c>
      <c r="H2487" s="793" t="s">
        <v>913</v>
      </c>
      <c r="I2487" s="794">
        <v>8.8797655312224822E-3</v>
      </c>
      <c r="J2487" s="794">
        <v>16.324592309900208</v>
      </c>
      <c r="K2487" s="771"/>
    </row>
    <row r="2488" spans="1:11" ht="18.75" customHeight="1" outlineLevel="2">
      <c r="A2488" s="791" t="s">
        <v>776</v>
      </c>
      <c r="B2488" s="791" t="s">
        <v>1032</v>
      </c>
      <c r="C2488" s="791" t="s">
        <v>1009</v>
      </c>
      <c r="D2488" s="792" t="s">
        <v>779</v>
      </c>
      <c r="E2488" s="793" t="s">
        <v>763</v>
      </c>
      <c r="F2488" s="793" t="s">
        <v>927</v>
      </c>
      <c r="G2488" s="793" t="s">
        <v>782</v>
      </c>
      <c r="H2488" s="793" t="s">
        <v>913</v>
      </c>
      <c r="I2488" s="794">
        <v>4.9495712308092535E-3</v>
      </c>
      <c r="J2488" s="794">
        <v>6.8509770354108674</v>
      </c>
      <c r="K2488" s="771"/>
    </row>
    <row r="2489" spans="1:11" ht="18.75" customHeight="1" outlineLevel="2">
      <c r="A2489" s="791" t="s">
        <v>776</v>
      </c>
      <c r="B2489" s="791" t="s">
        <v>1032</v>
      </c>
      <c r="C2489" s="791" t="s">
        <v>1009</v>
      </c>
      <c r="D2489" s="792" t="s">
        <v>779</v>
      </c>
      <c r="E2489" s="793" t="s">
        <v>763</v>
      </c>
      <c r="F2489" s="793" t="s">
        <v>928</v>
      </c>
      <c r="G2489" s="793" t="s">
        <v>785</v>
      </c>
      <c r="H2489" s="793" t="s">
        <v>913</v>
      </c>
      <c r="I2489" s="794">
        <v>2.1571977374680831E-2</v>
      </c>
      <c r="J2489" s="794">
        <v>66.406933698942012</v>
      </c>
      <c r="K2489" s="771"/>
    </row>
    <row r="2490" spans="1:11" ht="18.75" customHeight="1" outlineLevel="2">
      <c r="A2490" s="791" t="s">
        <v>776</v>
      </c>
      <c r="B2490" s="791" t="s">
        <v>1032</v>
      </c>
      <c r="C2490" s="791" t="s">
        <v>1009</v>
      </c>
      <c r="D2490" s="792" t="s">
        <v>779</v>
      </c>
      <c r="E2490" s="793" t="s">
        <v>763</v>
      </c>
      <c r="F2490" s="793" t="s">
        <v>929</v>
      </c>
      <c r="G2490" s="793" t="s">
        <v>785</v>
      </c>
      <c r="H2490" s="793" t="s">
        <v>913</v>
      </c>
      <c r="I2490" s="794">
        <v>0.42886536396274394</v>
      </c>
      <c r="J2490" s="794">
        <v>6040.4372936276368</v>
      </c>
      <c r="K2490" s="771"/>
    </row>
    <row r="2491" spans="1:11" ht="18.75" customHeight="1" outlineLevel="2">
      <c r="A2491" s="791" t="s">
        <v>776</v>
      </c>
      <c r="B2491" s="791" t="s">
        <v>1032</v>
      </c>
      <c r="C2491" s="791" t="s">
        <v>1009</v>
      </c>
      <c r="D2491" s="792" t="s">
        <v>779</v>
      </c>
      <c r="E2491" s="793" t="s">
        <v>763</v>
      </c>
      <c r="F2491" s="793" t="s">
        <v>930</v>
      </c>
      <c r="G2491" s="793" t="s">
        <v>785</v>
      </c>
      <c r="H2491" s="793" t="s">
        <v>913</v>
      </c>
      <c r="I2491" s="794">
        <v>2.553249773017967E-3</v>
      </c>
      <c r="J2491" s="794">
        <v>44.998925341244941</v>
      </c>
      <c r="K2491" s="771"/>
    </row>
    <row r="2492" spans="1:11" ht="18.75" customHeight="1" outlineLevel="2">
      <c r="A2492" s="791" t="s">
        <v>776</v>
      </c>
      <c r="B2492" s="791" t="s">
        <v>1032</v>
      </c>
      <c r="C2492" s="791" t="s">
        <v>1009</v>
      </c>
      <c r="D2492" s="792" t="s">
        <v>779</v>
      </c>
      <c r="E2492" s="793" t="s">
        <v>763</v>
      </c>
      <c r="F2492" s="793" t="s">
        <v>931</v>
      </c>
      <c r="G2492" s="793" t="s">
        <v>785</v>
      </c>
      <c r="H2492" s="793" t="s">
        <v>913</v>
      </c>
      <c r="I2492" s="794">
        <v>8.5411276126483348E-4</v>
      </c>
      <c r="J2492" s="794">
        <v>14.194267871363619</v>
      </c>
      <c r="K2492" s="771"/>
    </row>
    <row r="2493" spans="1:11" ht="18.75" customHeight="1" outlineLevel="2">
      <c r="A2493" s="791" t="s">
        <v>776</v>
      </c>
      <c r="B2493" s="791" t="s">
        <v>1032</v>
      </c>
      <c r="C2493" s="791" t="s">
        <v>1009</v>
      </c>
      <c r="D2493" s="792" t="s">
        <v>779</v>
      </c>
      <c r="E2493" s="793" t="s">
        <v>763</v>
      </c>
      <c r="F2493" s="793" t="s">
        <v>932</v>
      </c>
      <c r="G2493" s="793" t="s">
        <v>785</v>
      </c>
      <c r="H2493" s="793" t="s">
        <v>913</v>
      </c>
      <c r="I2493" s="794">
        <v>9.1197997759482838E-4</v>
      </c>
      <c r="J2493" s="794">
        <v>3.5055601834932091</v>
      </c>
      <c r="K2493" s="771"/>
    </row>
    <row r="2494" spans="1:11" ht="18.75" customHeight="1" outlineLevel="2">
      <c r="A2494" s="791" t="s">
        <v>776</v>
      </c>
      <c r="B2494" s="791" t="s">
        <v>1032</v>
      </c>
      <c r="C2494" s="791" t="s">
        <v>1009</v>
      </c>
      <c r="D2494" s="792" t="s">
        <v>779</v>
      </c>
      <c r="E2494" s="793" t="s">
        <v>763</v>
      </c>
      <c r="F2494" s="793" t="s">
        <v>933</v>
      </c>
      <c r="G2494" s="793" t="s">
        <v>785</v>
      </c>
      <c r="H2494" s="793" t="s">
        <v>913</v>
      </c>
      <c r="I2494" s="794">
        <v>1.2800770652950427E-3</v>
      </c>
      <c r="J2494" s="794">
        <v>27.878941376332044</v>
      </c>
      <c r="K2494" s="771"/>
    </row>
    <row r="2495" spans="1:11" ht="18.75" customHeight="1" outlineLevel="2">
      <c r="A2495" s="791" t="s">
        <v>776</v>
      </c>
      <c r="B2495" s="791" t="s">
        <v>1032</v>
      </c>
      <c r="C2495" s="791" t="s">
        <v>1009</v>
      </c>
      <c r="D2495" s="792" t="s">
        <v>779</v>
      </c>
      <c r="E2495" s="793" t="s">
        <v>763</v>
      </c>
      <c r="F2495" s="793" t="s">
        <v>934</v>
      </c>
      <c r="G2495" s="793" t="s">
        <v>813</v>
      </c>
      <c r="H2495" s="793" t="s">
        <v>913</v>
      </c>
      <c r="I2495" s="794">
        <v>7.0096686131905271E-3</v>
      </c>
      <c r="J2495" s="794">
        <v>106.22660248471976</v>
      </c>
      <c r="K2495" s="771"/>
    </row>
    <row r="2496" spans="1:11" ht="18.75" customHeight="1" outlineLevel="2">
      <c r="A2496" s="791" t="s">
        <v>776</v>
      </c>
      <c r="B2496" s="791" t="s">
        <v>1032</v>
      </c>
      <c r="C2496" s="791" t="s">
        <v>1009</v>
      </c>
      <c r="D2496" s="792" t="s">
        <v>779</v>
      </c>
      <c r="E2496" s="793" t="s">
        <v>763</v>
      </c>
      <c r="F2496" s="793" t="s">
        <v>935</v>
      </c>
      <c r="G2496" s="793" t="s">
        <v>791</v>
      </c>
      <c r="H2496" s="793" t="s">
        <v>913</v>
      </c>
      <c r="I2496" s="794">
        <v>2.4871748719364576E-5</v>
      </c>
      <c r="J2496" s="794">
        <v>3.1340460227817155E-2</v>
      </c>
      <c r="K2496" s="771"/>
    </row>
    <row r="2497" spans="1:11" ht="18.75" customHeight="1" outlineLevel="2">
      <c r="A2497" s="791" t="s">
        <v>776</v>
      </c>
      <c r="B2497" s="791" t="s">
        <v>1032</v>
      </c>
      <c r="C2497" s="791" t="s">
        <v>1009</v>
      </c>
      <c r="D2497" s="792" t="s">
        <v>779</v>
      </c>
      <c r="E2497" s="793" t="s">
        <v>763</v>
      </c>
      <c r="F2497" s="793" t="s">
        <v>936</v>
      </c>
      <c r="G2497" s="793" t="s">
        <v>791</v>
      </c>
      <c r="H2497" s="793" t="s">
        <v>913</v>
      </c>
      <c r="I2497" s="794">
        <v>3.603688767990184E-6</v>
      </c>
      <c r="J2497" s="794">
        <v>6.1042391872626514E-2</v>
      </c>
      <c r="K2497" s="771"/>
    </row>
    <row r="2498" spans="1:11" ht="18.75" customHeight="1" outlineLevel="2">
      <c r="A2498" s="791" t="s">
        <v>776</v>
      </c>
      <c r="B2498" s="791" t="s">
        <v>1032</v>
      </c>
      <c r="C2498" s="791" t="s">
        <v>1009</v>
      </c>
      <c r="D2498" s="792" t="s">
        <v>779</v>
      </c>
      <c r="E2498" s="793" t="s">
        <v>763</v>
      </c>
      <c r="F2498" s="793" t="s">
        <v>937</v>
      </c>
      <c r="G2498" s="793" t="s">
        <v>794</v>
      </c>
      <c r="H2498" s="793" t="s">
        <v>913</v>
      </c>
      <c r="I2498" s="794">
        <v>7.9210391859439427E-2</v>
      </c>
      <c r="J2498" s="794">
        <v>194.48706505731386</v>
      </c>
      <c r="K2498" s="771"/>
    </row>
    <row r="2499" spans="1:11" ht="18.75" customHeight="1" outlineLevel="2">
      <c r="A2499" s="791" t="s">
        <v>776</v>
      </c>
      <c r="B2499" s="791" t="s">
        <v>1032</v>
      </c>
      <c r="C2499" s="791" t="s">
        <v>1009</v>
      </c>
      <c r="D2499" s="792" t="s">
        <v>779</v>
      </c>
      <c r="E2499" s="793" t="s">
        <v>763</v>
      </c>
      <c r="F2499" s="793" t="s">
        <v>938</v>
      </c>
      <c r="G2499" s="793" t="s">
        <v>794</v>
      </c>
      <c r="H2499" s="793" t="s">
        <v>913</v>
      </c>
      <c r="I2499" s="794">
        <v>9.3203959834171415E-3</v>
      </c>
      <c r="J2499" s="794">
        <v>42.570773419547571</v>
      </c>
      <c r="K2499" s="771"/>
    </row>
    <row r="2500" spans="1:11" ht="18.75" customHeight="1" outlineLevel="2">
      <c r="A2500" s="791" t="s">
        <v>776</v>
      </c>
      <c r="B2500" s="791" t="s">
        <v>1032</v>
      </c>
      <c r="C2500" s="791" t="s">
        <v>1009</v>
      </c>
      <c r="D2500" s="792" t="s">
        <v>779</v>
      </c>
      <c r="E2500" s="793" t="s">
        <v>763</v>
      </c>
      <c r="F2500" s="793" t="s">
        <v>939</v>
      </c>
      <c r="G2500" s="793" t="s">
        <v>794</v>
      </c>
      <c r="H2500" s="793" t="s">
        <v>913</v>
      </c>
      <c r="I2500" s="794">
        <v>4.8597369781880678E-3</v>
      </c>
      <c r="J2500" s="794">
        <v>49.708773486223158</v>
      </c>
      <c r="K2500" s="771"/>
    </row>
    <row r="2501" spans="1:11" ht="18.75" customHeight="1" outlineLevel="2">
      <c r="A2501" s="791" t="s">
        <v>776</v>
      </c>
      <c r="B2501" s="791" t="s">
        <v>1032</v>
      </c>
      <c r="C2501" s="791" t="s">
        <v>1009</v>
      </c>
      <c r="D2501" s="792" t="s">
        <v>779</v>
      </c>
      <c r="E2501" s="793" t="s">
        <v>763</v>
      </c>
      <c r="F2501" s="793" t="s">
        <v>940</v>
      </c>
      <c r="G2501" s="793" t="s">
        <v>794</v>
      </c>
      <c r="H2501" s="793" t="s">
        <v>913</v>
      </c>
      <c r="I2501" s="794">
        <v>8.0452614557581219E-3</v>
      </c>
      <c r="J2501" s="794">
        <v>61.780744033512271</v>
      </c>
      <c r="K2501" s="771"/>
    </row>
    <row r="2502" spans="1:11" ht="18.75" customHeight="1" outlineLevel="2">
      <c r="A2502" s="791" t="s">
        <v>776</v>
      </c>
      <c r="B2502" s="791" t="s">
        <v>1032</v>
      </c>
      <c r="C2502" s="791" t="s">
        <v>1009</v>
      </c>
      <c r="D2502" s="792" t="s">
        <v>779</v>
      </c>
      <c r="E2502" s="793" t="s">
        <v>763</v>
      </c>
      <c r="F2502" s="793" t="s">
        <v>941</v>
      </c>
      <c r="G2502" s="793" t="s">
        <v>794</v>
      </c>
      <c r="H2502" s="793" t="s">
        <v>913</v>
      </c>
      <c r="I2502" s="794">
        <v>2.7849606687606879E-4</v>
      </c>
      <c r="J2502" s="794">
        <v>0.84025245364169276</v>
      </c>
      <c r="K2502" s="771"/>
    </row>
    <row r="2503" spans="1:11" ht="18.75" customHeight="1" outlineLevel="2">
      <c r="A2503" s="791" t="s">
        <v>776</v>
      </c>
      <c r="B2503" s="791" t="s">
        <v>1032</v>
      </c>
      <c r="C2503" s="791" t="s">
        <v>1009</v>
      </c>
      <c r="D2503" s="792" t="s">
        <v>779</v>
      </c>
      <c r="E2503" s="793" t="s">
        <v>763</v>
      </c>
      <c r="F2503" s="793" t="s">
        <v>942</v>
      </c>
      <c r="G2503" s="793" t="s">
        <v>794</v>
      </c>
      <c r="H2503" s="793" t="s">
        <v>913</v>
      </c>
      <c r="I2503" s="794">
        <v>6.6016939422581947E-5</v>
      </c>
      <c r="J2503" s="794">
        <v>0.76287668961085819</v>
      </c>
      <c r="K2503" s="771"/>
    </row>
    <row r="2504" spans="1:11" ht="18.75" customHeight="1" outlineLevel="2">
      <c r="A2504" s="791" t="s">
        <v>776</v>
      </c>
      <c r="B2504" s="791" t="s">
        <v>1032</v>
      </c>
      <c r="C2504" s="791" t="s">
        <v>1009</v>
      </c>
      <c r="D2504" s="792" t="s">
        <v>779</v>
      </c>
      <c r="E2504" s="793" t="s">
        <v>763</v>
      </c>
      <c r="F2504" s="793" t="s">
        <v>943</v>
      </c>
      <c r="G2504" s="793" t="s">
        <v>944</v>
      </c>
      <c r="H2504" s="793" t="s">
        <v>913</v>
      </c>
      <c r="I2504" s="794">
        <v>5.3072877003613817E-5</v>
      </c>
      <c r="J2504" s="794">
        <v>0.22929307723739301</v>
      </c>
      <c r="K2504" s="771"/>
    </row>
    <row r="2505" spans="1:11" ht="18.75" customHeight="1" outlineLevel="2">
      <c r="A2505" s="791" t="s">
        <v>776</v>
      </c>
      <c r="B2505" s="791" t="s">
        <v>1032</v>
      </c>
      <c r="C2505" s="791" t="s">
        <v>1009</v>
      </c>
      <c r="D2505" s="792" t="s">
        <v>779</v>
      </c>
      <c r="E2505" s="793" t="s">
        <v>764</v>
      </c>
      <c r="F2505" s="793" t="s">
        <v>945</v>
      </c>
      <c r="G2505" s="793" t="s">
        <v>244</v>
      </c>
      <c r="H2505" s="793" t="s">
        <v>905</v>
      </c>
      <c r="I2505" s="794">
        <v>5.1448392002458987E-2</v>
      </c>
      <c r="J2505" s="794">
        <v>1851.6674811096934</v>
      </c>
      <c r="K2505" s="771"/>
    </row>
    <row r="2506" spans="1:11" ht="18.75" customHeight="1" outlineLevel="2">
      <c r="A2506" s="791" t="s">
        <v>776</v>
      </c>
      <c r="B2506" s="791" t="s">
        <v>1032</v>
      </c>
      <c r="C2506" s="791" t="s">
        <v>1009</v>
      </c>
      <c r="D2506" s="792" t="s">
        <v>779</v>
      </c>
      <c r="E2506" s="793" t="s">
        <v>764</v>
      </c>
      <c r="F2506" s="793" t="s">
        <v>946</v>
      </c>
      <c r="G2506" s="793" t="s">
        <v>244</v>
      </c>
      <c r="H2506" s="793" t="s">
        <v>905</v>
      </c>
      <c r="I2506" s="794">
        <v>3.612963233984945E-4</v>
      </c>
      <c r="J2506" s="794">
        <v>6.8535887843543133</v>
      </c>
      <c r="K2506" s="771"/>
    </row>
    <row r="2507" spans="1:11" ht="18.75" customHeight="1" outlineLevel="2">
      <c r="A2507" s="791" t="s">
        <v>776</v>
      </c>
      <c r="B2507" s="791" t="s">
        <v>1032</v>
      </c>
      <c r="C2507" s="791" t="s">
        <v>1009</v>
      </c>
      <c r="D2507" s="792" t="s">
        <v>779</v>
      </c>
      <c r="E2507" s="793" t="s">
        <v>947</v>
      </c>
      <c r="F2507" s="793" t="s">
        <v>948</v>
      </c>
      <c r="G2507" s="793" t="s">
        <v>799</v>
      </c>
      <c r="H2507" s="793" t="s">
        <v>800</v>
      </c>
      <c r="I2507" s="794">
        <v>7.769544114533255E-3</v>
      </c>
      <c r="J2507" s="794">
        <v>192.07412531560615</v>
      </c>
      <c r="K2507" s="771"/>
    </row>
    <row r="2508" spans="1:11" ht="18.75" customHeight="1" outlineLevel="2">
      <c r="A2508" s="791" t="s">
        <v>776</v>
      </c>
      <c r="B2508" s="791" t="s">
        <v>1032</v>
      </c>
      <c r="C2508" s="791" t="s">
        <v>1009</v>
      </c>
      <c r="D2508" s="792" t="s">
        <v>779</v>
      </c>
      <c r="E2508" s="793" t="s">
        <v>947</v>
      </c>
      <c r="F2508" s="793" t="s">
        <v>949</v>
      </c>
      <c r="G2508" s="793" t="s">
        <v>782</v>
      </c>
      <c r="H2508" s="793" t="s">
        <v>804</v>
      </c>
      <c r="I2508" s="794">
        <v>7.7460966860788951E-3</v>
      </c>
      <c r="J2508" s="794">
        <v>451.75567288034165</v>
      </c>
      <c r="K2508" s="771"/>
    </row>
    <row r="2509" spans="1:11" ht="18.75" customHeight="1" outlineLevel="2">
      <c r="A2509" s="791" t="s">
        <v>776</v>
      </c>
      <c r="B2509" s="791" t="s">
        <v>1032</v>
      </c>
      <c r="C2509" s="791" t="s">
        <v>1009</v>
      </c>
      <c r="D2509" s="792" t="s">
        <v>779</v>
      </c>
      <c r="E2509" s="793" t="s">
        <v>947</v>
      </c>
      <c r="F2509" s="793" t="s">
        <v>950</v>
      </c>
      <c r="G2509" s="793" t="s">
        <v>782</v>
      </c>
      <c r="H2509" s="793" t="s">
        <v>804</v>
      </c>
      <c r="I2509" s="794">
        <v>6.6603224787478195E-5</v>
      </c>
      <c r="J2509" s="794">
        <v>0.73567433880549782</v>
      </c>
      <c r="K2509" s="771"/>
    </row>
    <row r="2510" spans="1:11" ht="18.75" customHeight="1" outlineLevel="2">
      <c r="A2510" s="791" t="s">
        <v>776</v>
      </c>
      <c r="B2510" s="791" t="s">
        <v>1032</v>
      </c>
      <c r="C2510" s="791" t="s">
        <v>1009</v>
      </c>
      <c r="D2510" s="792" t="s">
        <v>779</v>
      </c>
      <c r="E2510" s="793" t="s">
        <v>947</v>
      </c>
      <c r="F2510" s="793" t="s">
        <v>951</v>
      </c>
      <c r="G2510" s="793" t="s">
        <v>782</v>
      </c>
      <c r="H2510" s="793" t="s">
        <v>804</v>
      </c>
      <c r="I2510" s="794">
        <v>9.6591832437357831E-4</v>
      </c>
      <c r="J2510" s="794">
        <v>12.118564694436328</v>
      </c>
      <c r="K2510" s="771"/>
    </row>
    <row r="2511" spans="1:11" ht="18.75" customHeight="1" outlineLevel="2">
      <c r="A2511" s="791" t="s">
        <v>776</v>
      </c>
      <c r="B2511" s="791" t="s">
        <v>1032</v>
      </c>
      <c r="C2511" s="791" t="s">
        <v>1009</v>
      </c>
      <c r="D2511" s="792" t="s">
        <v>779</v>
      </c>
      <c r="E2511" s="793" t="s">
        <v>947</v>
      </c>
      <c r="F2511" s="793" t="s">
        <v>952</v>
      </c>
      <c r="G2511" s="793" t="s">
        <v>782</v>
      </c>
      <c r="H2511" s="793" t="s">
        <v>804</v>
      </c>
      <c r="I2511" s="794">
        <v>2.2057744075475512E-2</v>
      </c>
      <c r="J2511" s="794">
        <v>1130.8126391965218</v>
      </c>
      <c r="K2511" s="771"/>
    </row>
    <row r="2512" spans="1:11" ht="18.75" customHeight="1" outlineLevel="2">
      <c r="A2512" s="791" t="s">
        <v>776</v>
      </c>
      <c r="B2512" s="791" t="s">
        <v>1032</v>
      </c>
      <c r="C2512" s="791" t="s">
        <v>1009</v>
      </c>
      <c r="D2512" s="792" t="s">
        <v>779</v>
      </c>
      <c r="E2512" s="793" t="s">
        <v>947</v>
      </c>
      <c r="F2512" s="793" t="s">
        <v>953</v>
      </c>
      <c r="G2512" s="793" t="s">
        <v>782</v>
      </c>
      <c r="H2512" s="793" t="s">
        <v>804</v>
      </c>
      <c r="I2512" s="794">
        <v>1.674463120226214E-2</v>
      </c>
      <c r="J2512" s="794">
        <v>1230.4007929768761</v>
      </c>
      <c r="K2512" s="771"/>
    </row>
    <row r="2513" spans="1:11" ht="18.75" customHeight="1" outlineLevel="2">
      <c r="A2513" s="791" t="s">
        <v>776</v>
      </c>
      <c r="B2513" s="791" t="s">
        <v>1032</v>
      </c>
      <c r="C2513" s="791" t="s">
        <v>1009</v>
      </c>
      <c r="D2513" s="792" t="s">
        <v>779</v>
      </c>
      <c r="E2513" s="793" t="s">
        <v>947</v>
      </c>
      <c r="F2513" s="793" t="s">
        <v>954</v>
      </c>
      <c r="G2513" s="793" t="s">
        <v>782</v>
      </c>
      <c r="H2513" s="793" t="s">
        <v>804</v>
      </c>
      <c r="I2513" s="794">
        <v>1.89179367100773E-3</v>
      </c>
      <c r="J2513" s="794">
        <v>67.940434603976541</v>
      </c>
      <c r="K2513" s="771"/>
    </row>
    <row r="2514" spans="1:11" ht="18.75" customHeight="1" outlineLevel="2">
      <c r="A2514" s="791" t="s">
        <v>776</v>
      </c>
      <c r="B2514" s="791" t="s">
        <v>1032</v>
      </c>
      <c r="C2514" s="791" t="s">
        <v>1009</v>
      </c>
      <c r="D2514" s="792" t="s">
        <v>779</v>
      </c>
      <c r="E2514" s="793" t="s">
        <v>947</v>
      </c>
      <c r="F2514" s="793" t="s">
        <v>955</v>
      </c>
      <c r="G2514" s="793" t="s">
        <v>782</v>
      </c>
      <c r="H2514" s="793" t="s">
        <v>804</v>
      </c>
      <c r="I2514" s="794">
        <v>1.0062279294660277E-3</v>
      </c>
      <c r="J2514" s="794">
        <v>46.264505442939921</v>
      </c>
      <c r="K2514" s="771"/>
    </row>
    <row r="2515" spans="1:11" ht="18.75" customHeight="1" outlineLevel="2">
      <c r="A2515" s="791" t="s">
        <v>776</v>
      </c>
      <c r="B2515" s="791" t="s">
        <v>1032</v>
      </c>
      <c r="C2515" s="791" t="s">
        <v>1009</v>
      </c>
      <c r="D2515" s="792" t="s">
        <v>779</v>
      </c>
      <c r="E2515" s="793" t="s">
        <v>947</v>
      </c>
      <c r="F2515" s="793" t="s">
        <v>956</v>
      </c>
      <c r="G2515" s="793" t="s">
        <v>782</v>
      </c>
      <c r="H2515" s="793" t="s">
        <v>804</v>
      </c>
      <c r="I2515" s="794">
        <v>5.3480628817223911E-3</v>
      </c>
      <c r="J2515" s="794">
        <v>127.04679783245096</v>
      </c>
      <c r="K2515" s="771"/>
    </row>
    <row r="2516" spans="1:11" ht="18.75" customHeight="1" outlineLevel="2">
      <c r="A2516" s="791" t="s">
        <v>776</v>
      </c>
      <c r="B2516" s="791" t="s">
        <v>1032</v>
      </c>
      <c r="C2516" s="791" t="s">
        <v>1009</v>
      </c>
      <c r="D2516" s="792" t="s">
        <v>779</v>
      </c>
      <c r="E2516" s="793" t="s">
        <v>947</v>
      </c>
      <c r="F2516" s="793" t="s">
        <v>957</v>
      </c>
      <c r="G2516" s="793" t="s">
        <v>782</v>
      </c>
      <c r="H2516" s="793" t="s">
        <v>804</v>
      </c>
      <c r="I2516" s="794">
        <v>1.5331364611041728E-2</v>
      </c>
      <c r="J2516" s="794">
        <v>543.66688373134809</v>
      </c>
      <c r="K2516" s="771"/>
    </row>
    <row r="2517" spans="1:11" ht="18.75" customHeight="1" outlineLevel="2">
      <c r="A2517" s="791" t="s">
        <v>776</v>
      </c>
      <c r="B2517" s="791" t="s">
        <v>1032</v>
      </c>
      <c r="C2517" s="791" t="s">
        <v>1009</v>
      </c>
      <c r="D2517" s="792" t="s">
        <v>779</v>
      </c>
      <c r="E2517" s="793" t="s">
        <v>947</v>
      </c>
      <c r="F2517" s="793" t="s">
        <v>958</v>
      </c>
      <c r="G2517" s="793" t="s">
        <v>782</v>
      </c>
      <c r="H2517" s="793" t="s">
        <v>804</v>
      </c>
      <c r="I2517" s="794">
        <v>1.0838770545822501E-2</v>
      </c>
      <c r="J2517" s="794">
        <v>596.91250931369245</v>
      </c>
      <c r="K2517" s="771"/>
    </row>
    <row r="2518" spans="1:11" ht="18.75" customHeight="1" outlineLevel="2">
      <c r="A2518" s="791" t="s">
        <v>776</v>
      </c>
      <c r="B2518" s="791" t="s">
        <v>1032</v>
      </c>
      <c r="C2518" s="791" t="s">
        <v>1009</v>
      </c>
      <c r="D2518" s="792" t="s">
        <v>779</v>
      </c>
      <c r="E2518" s="793" t="s">
        <v>947</v>
      </c>
      <c r="F2518" s="793" t="s">
        <v>959</v>
      </c>
      <c r="G2518" s="793" t="s">
        <v>782</v>
      </c>
      <c r="H2518" s="793" t="s">
        <v>804</v>
      </c>
      <c r="I2518" s="794">
        <v>5.9423174577841596E-2</v>
      </c>
      <c r="J2518" s="794">
        <v>4583.3785701614852</v>
      </c>
      <c r="K2518" s="771"/>
    </row>
    <row r="2519" spans="1:11" ht="18.75" customHeight="1" outlineLevel="2">
      <c r="A2519" s="791" t="s">
        <v>776</v>
      </c>
      <c r="B2519" s="791" t="s">
        <v>1032</v>
      </c>
      <c r="C2519" s="791" t="s">
        <v>1009</v>
      </c>
      <c r="D2519" s="792" t="s">
        <v>779</v>
      </c>
      <c r="E2519" s="793" t="s">
        <v>947</v>
      </c>
      <c r="F2519" s="793" t="s">
        <v>960</v>
      </c>
      <c r="G2519" s="793" t="s">
        <v>782</v>
      </c>
      <c r="H2519" s="793" t="s">
        <v>804</v>
      </c>
      <c r="I2519" s="794">
        <v>1.2568448633459499E-3</v>
      </c>
      <c r="J2519" s="794">
        <v>38.111338822934258</v>
      </c>
      <c r="K2519" s="771"/>
    </row>
    <row r="2520" spans="1:11" ht="18.75" customHeight="1" outlineLevel="2">
      <c r="A2520" s="791" t="s">
        <v>776</v>
      </c>
      <c r="B2520" s="791" t="s">
        <v>1032</v>
      </c>
      <c r="C2520" s="791" t="s">
        <v>1009</v>
      </c>
      <c r="D2520" s="792" t="s">
        <v>779</v>
      </c>
      <c r="E2520" s="793" t="s">
        <v>947</v>
      </c>
      <c r="F2520" s="793" t="s">
        <v>961</v>
      </c>
      <c r="G2520" s="793" t="s">
        <v>782</v>
      </c>
      <c r="H2520" s="793" t="s">
        <v>804</v>
      </c>
      <c r="I2520" s="794">
        <v>4.9495929056376912E-4</v>
      </c>
      <c r="J2520" s="794">
        <v>23.335653059535126</v>
      </c>
      <c r="K2520" s="771"/>
    </row>
    <row r="2521" spans="1:11" ht="18.75" customHeight="1" outlineLevel="2">
      <c r="A2521" s="791" t="s">
        <v>776</v>
      </c>
      <c r="B2521" s="791" t="s">
        <v>1032</v>
      </c>
      <c r="C2521" s="791" t="s">
        <v>1009</v>
      </c>
      <c r="D2521" s="792" t="s">
        <v>779</v>
      </c>
      <c r="E2521" s="793" t="s">
        <v>947</v>
      </c>
      <c r="F2521" s="793" t="s">
        <v>962</v>
      </c>
      <c r="G2521" s="793" t="s">
        <v>782</v>
      </c>
      <c r="H2521" s="793" t="s">
        <v>804</v>
      </c>
      <c r="I2521" s="794">
        <v>1.7534853644420118E-2</v>
      </c>
      <c r="J2521" s="794">
        <v>1047.6428675636234</v>
      </c>
      <c r="K2521" s="771"/>
    </row>
    <row r="2522" spans="1:11" ht="18.75" customHeight="1" outlineLevel="2">
      <c r="A2522" s="791" t="s">
        <v>776</v>
      </c>
      <c r="B2522" s="791" t="s">
        <v>1032</v>
      </c>
      <c r="C2522" s="791" t="s">
        <v>1009</v>
      </c>
      <c r="D2522" s="792" t="s">
        <v>779</v>
      </c>
      <c r="E2522" s="793" t="s">
        <v>947</v>
      </c>
      <c r="F2522" s="793" t="s">
        <v>963</v>
      </c>
      <c r="G2522" s="793" t="s">
        <v>782</v>
      </c>
      <c r="H2522" s="793" t="s">
        <v>804</v>
      </c>
      <c r="I2522" s="794">
        <v>1.5074963103150167E-2</v>
      </c>
      <c r="J2522" s="794">
        <v>1140.3726623074397</v>
      </c>
      <c r="K2522" s="771"/>
    </row>
    <row r="2523" spans="1:11" ht="18.75" customHeight="1" outlineLevel="2">
      <c r="A2523" s="791" t="s">
        <v>776</v>
      </c>
      <c r="B2523" s="791" t="s">
        <v>1032</v>
      </c>
      <c r="C2523" s="791" t="s">
        <v>1009</v>
      </c>
      <c r="D2523" s="792" t="s">
        <v>779</v>
      </c>
      <c r="E2523" s="793" t="s">
        <v>947</v>
      </c>
      <c r="F2523" s="793" t="s">
        <v>964</v>
      </c>
      <c r="G2523" s="793" t="s">
        <v>782</v>
      </c>
      <c r="H2523" s="793" t="s">
        <v>804</v>
      </c>
      <c r="I2523" s="794">
        <v>5.5040110108408473E-2</v>
      </c>
      <c r="J2523" s="794">
        <v>3922.7201819035645</v>
      </c>
      <c r="K2523" s="771"/>
    </row>
    <row r="2524" spans="1:11" ht="18.75" customHeight="1" outlineLevel="2">
      <c r="A2524" s="791" t="s">
        <v>776</v>
      </c>
      <c r="B2524" s="791" t="s">
        <v>1032</v>
      </c>
      <c r="C2524" s="791" t="s">
        <v>1009</v>
      </c>
      <c r="D2524" s="792" t="s">
        <v>779</v>
      </c>
      <c r="E2524" s="793" t="s">
        <v>947</v>
      </c>
      <c r="F2524" s="793" t="s">
        <v>965</v>
      </c>
      <c r="G2524" s="793" t="s">
        <v>782</v>
      </c>
      <c r="H2524" s="793" t="s">
        <v>804</v>
      </c>
      <c r="I2524" s="794">
        <v>3.7886920456648931E-3</v>
      </c>
      <c r="J2524" s="794">
        <v>184.453211634707</v>
      </c>
      <c r="K2524" s="771"/>
    </row>
    <row r="2525" spans="1:11" ht="18.75" customHeight="1" outlineLevel="2">
      <c r="A2525" s="791" t="s">
        <v>776</v>
      </c>
      <c r="B2525" s="791" t="s">
        <v>1032</v>
      </c>
      <c r="C2525" s="791" t="s">
        <v>1009</v>
      </c>
      <c r="D2525" s="792" t="s">
        <v>779</v>
      </c>
      <c r="E2525" s="793" t="s">
        <v>947</v>
      </c>
      <c r="F2525" s="793" t="s">
        <v>966</v>
      </c>
      <c r="G2525" s="793" t="s">
        <v>782</v>
      </c>
      <c r="H2525" s="793" t="s">
        <v>804</v>
      </c>
      <c r="I2525" s="794">
        <v>3.1858040884139023E-2</v>
      </c>
      <c r="J2525" s="794">
        <v>1467.2258445015154</v>
      </c>
      <c r="K2525" s="771"/>
    </row>
    <row r="2526" spans="1:11" ht="18.75" customHeight="1" outlineLevel="2">
      <c r="A2526" s="791" t="s">
        <v>776</v>
      </c>
      <c r="B2526" s="791" t="s">
        <v>1032</v>
      </c>
      <c r="C2526" s="791" t="s">
        <v>1009</v>
      </c>
      <c r="D2526" s="792" t="s">
        <v>779</v>
      </c>
      <c r="E2526" s="793" t="s">
        <v>947</v>
      </c>
      <c r="F2526" s="793" t="s">
        <v>967</v>
      </c>
      <c r="G2526" s="793" t="s">
        <v>782</v>
      </c>
      <c r="H2526" s="793" t="s">
        <v>804</v>
      </c>
      <c r="I2526" s="794">
        <v>7.783895256455374E-2</v>
      </c>
      <c r="J2526" s="794">
        <v>4988.288260954806</v>
      </c>
      <c r="K2526" s="771"/>
    </row>
    <row r="2527" spans="1:11" ht="18.75" customHeight="1" outlineLevel="2">
      <c r="A2527" s="791" t="s">
        <v>776</v>
      </c>
      <c r="B2527" s="791" t="s">
        <v>1032</v>
      </c>
      <c r="C2527" s="791" t="s">
        <v>1009</v>
      </c>
      <c r="D2527" s="792" t="s">
        <v>779</v>
      </c>
      <c r="E2527" s="793" t="s">
        <v>947</v>
      </c>
      <c r="F2527" s="793" t="s">
        <v>968</v>
      </c>
      <c r="G2527" s="793" t="s">
        <v>782</v>
      </c>
      <c r="H2527" s="793" t="s">
        <v>804</v>
      </c>
      <c r="I2527" s="794">
        <v>0.17048648342802339</v>
      </c>
      <c r="J2527" s="794">
        <v>3346.4592560164901</v>
      </c>
      <c r="K2527" s="771"/>
    </row>
    <row r="2528" spans="1:11" ht="18.75" customHeight="1" outlineLevel="2">
      <c r="A2528" s="791" t="s">
        <v>776</v>
      </c>
      <c r="B2528" s="791" t="s">
        <v>1032</v>
      </c>
      <c r="C2528" s="791" t="s">
        <v>1009</v>
      </c>
      <c r="D2528" s="792" t="s">
        <v>779</v>
      </c>
      <c r="E2528" s="793" t="s">
        <v>947</v>
      </c>
      <c r="F2528" s="793" t="s">
        <v>969</v>
      </c>
      <c r="G2528" s="793" t="s">
        <v>782</v>
      </c>
      <c r="H2528" s="793" t="s">
        <v>804</v>
      </c>
      <c r="I2528" s="794">
        <v>6.2683815687272368E-2</v>
      </c>
      <c r="J2528" s="794">
        <v>4563.2288328416207</v>
      </c>
      <c r="K2528" s="771"/>
    </row>
    <row r="2529" spans="1:11" ht="18.75" customHeight="1" outlineLevel="2">
      <c r="A2529" s="791" t="s">
        <v>776</v>
      </c>
      <c r="B2529" s="791" t="s">
        <v>1032</v>
      </c>
      <c r="C2529" s="791" t="s">
        <v>1009</v>
      </c>
      <c r="D2529" s="792" t="s">
        <v>779</v>
      </c>
      <c r="E2529" s="793" t="s">
        <v>947</v>
      </c>
      <c r="F2529" s="793" t="s">
        <v>970</v>
      </c>
      <c r="G2529" s="793" t="s">
        <v>782</v>
      </c>
      <c r="H2529" s="793" t="s">
        <v>804</v>
      </c>
      <c r="I2529" s="794">
        <v>0.114135031352408</v>
      </c>
      <c r="J2529" s="794">
        <v>2626.7996458365333</v>
      </c>
      <c r="K2529" s="771"/>
    </row>
    <row r="2530" spans="1:11" ht="18.75" customHeight="1" outlineLevel="2">
      <c r="A2530" s="791" t="s">
        <v>776</v>
      </c>
      <c r="B2530" s="791" t="s">
        <v>1032</v>
      </c>
      <c r="C2530" s="791" t="s">
        <v>1009</v>
      </c>
      <c r="D2530" s="792" t="s">
        <v>779</v>
      </c>
      <c r="E2530" s="793" t="s">
        <v>947</v>
      </c>
      <c r="F2530" s="793" t="s">
        <v>971</v>
      </c>
      <c r="G2530" s="793" t="s">
        <v>782</v>
      </c>
      <c r="H2530" s="793" t="s">
        <v>804</v>
      </c>
      <c r="I2530" s="794">
        <v>6.6999486191425565E-3</v>
      </c>
      <c r="J2530" s="794">
        <v>489.64003746647768</v>
      </c>
      <c r="K2530" s="771"/>
    </row>
    <row r="2531" spans="1:11" ht="18.75" customHeight="1" outlineLevel="2">
      <c r="A2531" s="791" t="s">
        <v>776</v>
      </c>
      <c r="B2531" s="791" t="s">
        <v>1032</v>
      </c>
      <c r="C2531" s="791" t="s">
        <v>1009</v>
      </c>
      <c r="D2531" s="792" t="s">
        <v>779</v>
      </c>
      <c r="E2531" s="793" t="s">
        <v>947</v>
      </c>
      <c r="F2531" s="793" t="s">
        <v>972</v>
      </c>
      <c r="G2531" s="793" t="s">
        <v>782</v>
      </c>
      <c r="H2531" s="793" t="s">
        <v>804</v>
      </c>
      <c r="I2531" s="794">
        <v>3.4798974004190123E-4</v>
      </c>
      <c r="J2531" s="794">
        <v>8.0331928065884348</v>
      </c>
      <c r="K2531" s="771"/>
    </row>
    <row r="2532" spans="1:11" ht="18.75" customHeight="1" outlineLevel="2">
      <c r="A2532" s="791" t="s">
        <v>776</v>
      </c>
      <c r="B2532" s="791" t="s">
        <v>1032</v>
      </c>
      <c r="C2532" s="791" t="s">
        <v>1009</v>
      </c>
      <c r="D2532" s="792" t="s">
        <v>779</v>
      </c>
      <c r="E2532" s="793" t="s">
        <v>947</v>
      </c>
      <c r="F2532" s="793" t="s">
        <v>973</v>
      </c>
      <c r="G2532" s="793" t="s">
        <v>782</v>
      </c>
      <c r="H2532" s="793" t="s">
        <v>804</v>
      </c>
      <c r="I2532" s="794">
        <v>9.5004415800191734E-3</v>
      </c>
      <c r="J2532" s="794">
        <v>510.74264059830091</v>
      </c>
      <c r="K2532" s="771"/>
    </row>
    <row r="2533" spans="1:11" ht="18.75" customHeight="1" outlineLevel="2">
      <c r="A2533" s="791" t="s">
        <v>776</v>
      </c>
      <c r="B2533" s="791" t="s">
        <v>1032</v>
      </c>
      <c r="C2533" s="791" t="s">
        <v>1009</v>
      </c>
      <c r="D2533" s="792" t="s">
        <v>779</v>
      </c>
      <c r="E2533" s="793" t="s">
        <v>947</v>
      </c>
      <c r="F2533" s="793" t="s">
        <v>974</v>
      </c>
      <c r="G2533" s="793" t="s">
        <v>785</v>
      </c>
      <c r="H2533" s="793" t="s">
        <v>727</v>
      </c>
      <c r="I2533" s="794">
        <v>4.4883994313686931E-3</v>
      </c>
      <c r="J2533" s="794">
        <v>108.58633576679944</v>
      </c>
      <c r="K2533" s="771"/>
    </row>
    <row r="2534" spans="1:11" ht="18.75" customHeight="1" outlineLevel="2">
      <c r="A2534" s="791" t="s">
        <v>776</v>
      </c>
      <c r="B2534" s="791" t="s">
        <v>1032</v>
      </c>
      <c r="C2534" s="791" t="s">
        <v>1009</v>
      </c>
      <c r="D2534" s="792" t="s">
        <v>779</v>
      </c>
      <c r="E2534" s="793" t="s">
        <v>947</v>
      </c>
      <c r="F2534" s="793" t="s">
        <v>975</v>
      </c>
      <c r="G2534" s="793" t="s">
        <v>785</v>
      </c>
      <c r="H2534" s="793" t="s">
        <v>727</v>
      </c>
      <c r="I2534" s="794">
        <v>2.2337111359363618E-2</v>
      </c>
      <c r="J2534" s="794">
        <v>1575.3270293840367</v>
      </c>
      <c r="K2534" s="771"/>
    </row>
    <row r="2535" spans="1:11" ht="18.75" customHeight="1" outlineLevel="2">
      <c r="A2535" s="791" t="s">
        <v>776</v>
      </c>
      <c r="B2535" s="791" t="s">
        <v>1032</v>
      </c>
      <c r="C2535" s="791" t="s">
        <v>1009</v>
      </c>
      <c r="D2535" s="792" t="s">
        <v>779</v>
      </c>
      <c r="E2535" s="793" t="s">
        <v>947</v>
      </c>
      <c r="F2535" s="793" t="s">
        <v>976</v>
      </c>
      <c r="G2535" s="793" t="s">
        <v>785</v>
      </c>
      <c r="H2535" s="793" t="s">
        <v>727</v>
      </c>
      <c r="I2535" s="794">
        <v>1.312187315695567E-2</v>
      </c>
      <c r="J2535" s="794">
        <v>688.07035650670582</v>
      </c>
      <c r="K2535" s="771"/>
    </row>
    <row r="2536" spans="1:11" ht="18.75" customHeight="1" outlineLevel="2">
      <c r="A2536" s="791" t="s">
        <v>776</v>
      </c>
      <c r="B2536" s="791" t="s">
        <v>1032</v>
      </c>
      <c r="C2536" s="791" t="s">
        <v>1009</v>
      </c>
      <c r="D2536" s="792" t="s">
        <v>779</v>
      </c>
      <c r="E2536" s="793" t="s">
        <v>947</v>
      </c>
      <c r="F2536" s="793" t="s">
        <v>977</v>
      </c>
      <c r="G2536" s="793" t="s">
        <v>785</v>
      </c>
      <c r="H2536" s="793" t="s">
        <v>727</v>
      </c>
      <c r="I2536" s="794">
        <v>1.55320516282593E-2</v>
      </c>
      <c r="J2536" s="794">
        <v>697.7302436017294</v>
      </c>
      <c r="K2536" s="771"/>
    </row>
    <row r="2537" spans="1:11" ht="18.75" customHeight="1" outlineLevel="2">
      <c r="A2537" s="791" t="s">
        <v>776</v>
      </c>
      <c r="B2537" s="791" t="s">
        <v>1032</v>
      </c>
      <c r="C2537" s="791" t="s">
        <v>1009</v>
      </c>
      <c r="D2537" s="792" t="s">
        <v>779</v>
      </c>
      <c r="E2537" s="793" t="s">
        <v>947</v>
      </c>
      <c r="F2537" s="793" t="s">
        <v>978</v>
      </c>
      <c r="G2537" s="793" t="s">
        <v>785</v>
      </c>
      <c r="H2537" s="793" t="s">
        <v>727</v>
      </c>
      <c r="I2537" s="794">
        <v>9.8372918862768164E-4</v>
      </c>
      <c r="J2537" s="794">
        <v>26.908781570393522</v>
      </c>
      <c r="K2537" s="771"/>
    </row>
    <row r="2538" spans="1:11" ht="18.75" customHeight="1" outlineLevel="2">
      <c r="A2538" s="791" t="s">
        <v>776</v>
      </c>
      <c r="B2538" s="791" t="s">
        <v>1032</v>
      </c>
      <c r="C2538" s="791" t="s">
        <v>1009</v>
      </c>
      <c r="D2538" s="792" t="s">
        <v>779</v>
      </c>
      <c r="E2538" s="793" t="s">
        <v>947</v>
      </c>
      <c r="F2538" s="793" t="s">
        <v>979</v>
      </c>
      <c r="G2538" s="793" t="s">
        <v>785</v>
      </c>
      <c r="H2538" s="793" t="s">
        <v>727</v>
      </c>
      <c r="I2538" s="794">
        <v>0.12179496988477385</v>
      </c>
      <c r="J2538" s="794">
        <v>4002.9604940934764</v>
      </c>
      <c r="K2538" s="771"/>
    </row>
    <row r="2539" spans="1:11" ht="18.75" customHeight="1" outlineLevel="2">
      <c r="A2539" s="791" t="s">
        <v>776</v>
      </c>
      <c r="B2539" s="791" t="s">
        <v>1032</v>
      </c>
      <c r="C2539" s="791" t="s">
        <v>1009</v>
      </c>
      <c r="D2539" s="792" t="s">
        <v>779</v>
      </c>
      <c r="E2539" s="793" t="s">
        <v>947</v>
      </c>
      <c r="F2539" s="793" t="s">
        <v>980</v>
      </c>
      <c r="G2539" s="793" t="s">
        <v>785</v>
      </c>
      <c r="H2539" s="793" t="s">
        <v>727</v>
      </c>
      <c r="I2539" s="794">
        <v>1.2247536646840871E-2</v>
      </c>
      <c r="J2539" s="794">
        <v>992.87194725019651</v>
      </c>
      <c r="K2539" s="771"/>
    </row>
    <row r="2540" spans="1:11" ht="18.75" customHeight="1" outlineLevel="2">
      <c r="A2540" s="791" t="s">
        <v>776</v>
      </c>
      <c r="B2540" s="791" t="s">
        <v>1032</v>
      </c>
      <c r="C2540" s="791" t="s">
        <v>1009</v>
      </c>
      <c r="D2540" s="792" t="s">
        <v>779</v>
      </c>
      <c r="E2540" s="793" t="s">
        <v>947</v>
      </c>
      <c r="F2540" s="793" t="s">
        <v>981</v>
      </c>
      <c r="G2540" s="793" t="s">
        <v>813</v>
      </c>
      <c r="H2540" s="793" t="s">
        <v>814</v>
      </c>
      <c r="I2540" s="794">
        <v>4.9763172981108766E-6</v>
      </c>
      <c r="J2540" s="794">
        <v>0.12472579119390594</v>
      </c>
      <c r="K2540" s="771"/>
    </row>
    <row r="2541" spans="1:11" ht="18.75" customHeight="1" outlineLevel="2">
      <c r="A2541" s="791" t="s">
        <v>776</v>
      </c>
      <c r="B2541" s="791" t="s">
        <v>1032</v>
      </c>
      <c r="C2541" s="791" t="s">
        <v>1009</v>
      </c>
      <c r="D2541" s="792" t="s">
        <v>779</v>
      </c>
      <c r="E2541" s="793" t="s">
        <v>947</v>
      </c>
      <c r="F2541" s="793" t="s">
        <v>982</v>
      </c>
      <c r="G2541" s="793" t="s">
        <v>813</v>
      </c>
      <c r="H2541" s="793" t="s">
        <v>814</v>
      </c>
      <c r="I2541" s="794">
        <v>5.8486491197255644E-4</v>
      </c>
      <c r="J2541" s="794">
        <v>32.761742376764857</v>
      </c>
      <c r="K2541" s="771"/>
    </row>
    <row r="2542" spans="1:11" ht="18.75" customHeight="1" outlineLevel="2">
      <c r="A2542" s="791" t="s">
        <v>776</v>
      </c>
      <c r="B2542" s="791" t="s">
        <v>1032</v>
      </c>
      <c r="C2542" s="791" t="s">
        <v>1009</v>
      </c>
      <c r="D2542" s="792" t="s">
        <v>779</v>
      </c>
      <c r="E2542" s="793" t="s">
        <v>947</v>
      </c>
      <c r="F2542" s="793" t="s">
        <v>983</v>
      </c>
      <c r="G2542" s="793" t="s">
        <v>813</v>
      </c>
      <c r="H2542" s="793" t="s">
        <v>814</v>
      </c>
      <c r="I2542" s="794">
        <v>3.9355902058555541E-2</v>
      </c>
      <c r="J2542" s="794">
        <v>874.29702549556282</v>
      </c>
      <c r="K2542" s="771"/>
    </row>
    <row r="2543" spans="1:11" ht="18.75" customHeight="1" outlineLevel="2">
      <c r="A2543" s="791" t="s">
        <v>776</v>
      </c>
      <c r="B2543" s="791" t="s">
        <v>1032</v>
      </c>
      <c r="C2543" s="791" t="s">
        <v>1009</v>
      </c>
      <c r="D2543" s="792" t="s">
        <v>779</v>
      </c>
      <c r="E2543" s="793" t="s">
        <v>947</v>
      </c>
      <c r="F2543" s="793" t="s">
        <v>984</v>
      </c>
      <c r="G2543" s="793" t="s">
        <v>813</v>
      </c>
      <c r="H2543" s="793" t="s">
        <v>814</v>
      </c>
      <c r="I2543" s="794">
        <v>1.0349898893872509E-2</v>
      </c>
      <c r="J2543" s="794">
        <v>180.48275327290233</v>
      </c>
      <c r="K2543" s="771"/>
    </row>
    <row r="2544" spans="1:11" ht="18.75" customHeight="1" outlineLevel="2">
      <c r="A2544" s="791" t="s">
        <v>776</v>
      </c>
      <c r="B2544" s="791" t="s">
        <v>1032</v>
      </c>
      <c r="C2544" s="791" t="s">
        <v>1009</v>
      </c>
      <c r="D2544" s="792" t="s">
        <v>779</v>
      </c>
      <c r="E2544" s="793" t="s">
        <v>947</v>
      </c>
      <c r="F2544" s="793" t="s">
        <v>985</v>
      </c>
      <c r="G2544" s="793" t="s">
        <v>813</v>
      </c>
      <c r="H2544" s="793" t="s">
        <v>814</v>
      </c>
      <c r="I2544" s="794">
        <v>2.4463114603841402E-2</v>
      </c>
      <c r="J2544" s="794">
        <v>1191.8411512401633</v>
      </c>
      <c r="K2544" s="771"/>
    </row>
    <row r="2545" spans="1:11" ht="18.75" customHeight="1" outlineLevel="2">
      <c r="A2545" s="791" t="s">
        <v>776</v>
      </c>
      <c r="B2545" s="791" t="s">
        <v>1032</v>
      </c>
      <c r="C2545" s="791" t="s">
        <v>1009</v>
      </c>
      <c r="D2545" s="792" t="s">
        <v>779</v>
      </c>
      <c r="E2545" s="793" t="s">
        <v>947</v>
      </c>
      <c r="F2545" s="793" t="s">
        <v>986</v>
      </c>
      <c r="G2545" s="793" t="s">
        <v>813</v>
      </c>
      <c r="H2545" s="793" t="s">
        <v>814</v>
      </c>
      <c r="I2545" s="794">
        <v>4.1953196142809129E-3</v>
      </c>
      <c r="J2545" s="794">
        <v>140.42889640534531</v>
      </c>
      <c r="K2545" s="771"/>
    </row>
    <row r="2546" spans="1:11" ht="18.75" customHeight="1" outlineLevel="2">
      <c r="A2546" s="791" t="s">
        <v>776</v>
      </c>
      <c r="B2546" s="791" t="s">
        <v>1032</v>
      </c>
      <c r="C2546" s="791" t="s">
        <v>1009</v>
      </c>
      <c r="D2546" s="792" t="s">
        <v>779</v>
      </c>
      <c r="E2546" s="793" t="s">
        <v>947</v>
      </c>
      <c r="F2546" s="793" t="s">
        <v>987</v>
      </c>
      <c r="G2546" s="793" t="s">
        <v>813</v>
      </c>
      <c r="H2546" s="793" t="s">
        <v>814</v>
      </c>
      <c r="I2546" s="794">
        <v>1.1795084751083959E-4</v>
      </c>
      <c r="J2546" s="794">
        <v>3.5657981583298963</v>
      </c>
      <c r="K2546" s="771"/>
    </row>
    <row r="2547" spans="1:11" ht="18.75" customHeight="1" outlineLevel="2">
      <c r="A2547" s="791" t="s">
        <v>776</v>
      </c>
      <c r="B2547" s="791" t="s">
        <v>1032</v>
      </c>
      <c r="C2547" s="791" t="s">
        <v>1009</v>
      </c>
      <c r="D2547" s="792" t="s">
        <v>779</v>
      </c>
      <c r="E2547" s="793" t="s">
        <v>947</v>
      </c>
      <c r="F2547" s="793" t="s">
        <v>988</v>
      </c>
      <c r="G2547" s="793" t="s">
        <v>791</v>
      </c>
      <c r="H2547" s="793" t="s">
        <v>826</v>
      </c>
      <c r="I2547" s="794">
        <v>7.1561926007597619E-6</v>
      </c>
      <c r="J2547" s="794">
        <v>6.1166888712447826E-2</v>
      </c>
      <c r="K2547" s="771"/>
    </row>
    <row r="2548" spans="1:11" ht="18.75" customHeight="1" outlineLevel="2">
      <c r="A2548" s="791" t="s">
        <v>776</v>
      </c>
      <c r="B2548" s="791" t="s">
        <v>1032</v>
      </c>
      <c r="C2548" s="791" t="s">
        <v>1009</v>
      </c>
      <c r="D2548" s="792" t="s">
        <v>779</v>
      </c>
      <c r="E2548" s="793" t="s">
        <v>947</v>
      </c>
      <c r="F2548" s="793" t="s">
        <v>989</v>
      </c>
      <c r="G2548" s="793" t="s">
        <v>791</v>
      </c>
      <c r="H2548" s="793" t="s">
        <v>826</v>
      </c>
      <c r="I2548" s="794">
        <v>4.3287992271243449E-2</v>
      </c>
      <c r="J2548" s="794">
        <v>2539.7814360163043</v>
      </c>
      <c r="K2548" s="771"/>
    </row>
    <row r="2549" spans="1:11" ht="18.75" customHeight="1" outlineLevel="2">
      <c r="A2549" s="791" t="s">
        <v>776</v>
      </c>
      <c r="B2549" s="791" t="s">
        <v>1032</v>
      </c>
      <c r="C2549" s="791" t="s">
        <v>1009</v>
      </c>
      <c r="D2549" s="792" t="s">
        <v>779</v>
      </c>
      <c r="E2549" s="793" t="s">
        <v>947</v>
      </c>
      <c r="F2549" s="793" t="s">
        <v>990</v>
      </c>
      <c r="G2549" s="793" t="s">
        <v>791</v>
      </c>
      <c r="H2549" s="793" t="s">
        <v>826</v>
      </c>
      <c r="I2549" s="794">
        <v>2.0660924895181485E-3</v>
      </c>
      <c r="J2549" s="794">
        <v>227.71307237729806</v>
      </c>
      <c r="K2549" s="771"/>
    </row>
    <row r="2550" spans="1:11" ht="18.75" customHeight="1" outlineLevel="2">
      <c r="A2550" s="791" t="s">
        <v>776</v>
      </c>
      <c r="B2550" s="791" t="s">
        <v>1032</v>
      </c>
      <c r="C2550" s="791" t="s">
        <v>1009</v>
      </c>
      <c r="D2550" s="792" t="s">
        <v>779</v>
      </c>
      <c r="E2550" s="793" t="s">
        <v>947</v>
      </c>
      <c r="F2550" s="793" t="s">
        <v>991</v>
      </c>
      <c r="G2550" s="793" t="s">
        <v>791</v>
      </c>
      <c r="H2550" s="793" t="s">
        <v>826</v>
      </c>
      <c r="I2550" s="794">
        <v>1.6411123375908898E-5</v>
      </c>
      <c r="J2550" s="794">
        <v>1.2604076073242765</v>
      </c>
      <c r="K2550" s="771"/>
    </row>
    <row r="2551" spans="1:11" ht="18.75" customHeight="1" outlineLevel="2">
      <c r="A2551" s="791" t="s">
        <v>776</v>
      </c>
      <c r="B2551" s="791" t="s">
        <v>1032</v>
      </c>
      <c r="C2551" s="791" t="s">
        <v>1009</v>
      </c>
      <c r="D2551" s="792" t="s">
        <v>779</v>
      </c>
      <c r="E2551" s="793" t="s">
        <v>947</v>
      </c>
      <c r="F2551" s="793" t="s">
        <v>992</v>
      </c>
      <c r="G2551" s="793" t="s">
        <v>791</v>
      </c>
      <c r="H2551" s="793" t="s">
        <v>826</v>
      </c>
      <c r="I2551" s="794">
        <v>3.1991130035961637E-6</v>
      </c>
      <c r="J2551" s="794">
        <v>0.26477326487491659</v>
      </c>
      <c r="K2551" s="771"/>
    </row>
    <row r="2552" spans="1:11" ht="18.75" customHeight="1" outlineLevel="2">
      <c r="A2552" s="791" t="s">
        <v>776</v>
      </c>
      <c r="B2552" s="791" t="s">
        <v>1032</v>
      </c>
      <c r="C2552" s="791" t="s">
        <v>1009</v>
      </c>
      <c r="D2552" s="792" t="s">
        <v>779</v>
      </c>
      <c r="E2552" s="793" t="s">
        <v>947</v>
      </c>
      <c r="F2552" s="793" t="s">
        <v>993</v>
      </c>
      <c r="G2552" s="793" t="s">
        <v>791</v>
      </c>
      <c r="H2552" s="793" t="s">
        <v>826</v>
      </c>
      <c r="I2552" s="794">
        <v>2.100214302328422E-4</v>
      </c>
      <c r="J2552" s="794">
        <v>19.311060800076405</v>
      </c>
      <c r="K2552" s="771"/>
    </row>
    <row r="2553" spans="1:11" ht="18.75" customHeight="1" outlineLevel="2">
      <c r="A2553" s="791" t="s">
        <v>776</v>
      </c>
      <c r="B2553" s="791" t="s">
        <v>1032</v>
      </c>
      <c r="C2553" s="791" t="s">
        <v>1009</v>
      </c>
      <c r="D2553" s="792" t="s">
        <v>779</v>
      </c>
      <c r="E2553" s="793" t="s">
        <v>947</v>
      </c>
      <c r="F2553" s="793" t="s">
        <v>994</v>
      </c>
      <c r="G2553" s="793" t="s">
        <v>791</v>
      </c>
      <c r="H2553" s="793" t="s">
        <v>826</v>
      </c>
      <c r="I2553" s="794">
        <v>4.4403910949493818E-7</v>
      </c>
      <c r="J2553" s="794">
        <v>5.3427756851150789E-2</v>
      </c>
      <c r="K2553" s="771"/>
    </row>
    <row r="2554" spans="1:11" ht="18.75" customHeight="1" outlineLevel="2">
      <c r="A2554" s="791" t="s">
        <v>776</v>
      </c>
      <c r="B2554" s="791" t="s">
        <v>1032</v>
      </c>
      <c r="C2554" s="791" t="s">
        <v>1009</v>
      </c>
      <c r="D2554" s="792" t="s">
        <v>779</v>
      </c>
      <c r="E2554" s="793" t="s">
        <v>947</v>
      </c>
      <c r="F2554" s="793" t="s">
        <v>995</v>
      </c>
      <c r="G2554" s="793" t="s">
        <v>791</v>
      </c>
      <c r="H2554" s="793" t="s">
        <v>826</v>
      </c>
      <c r="I2554" s="794">
        <v>1.8903246742620731E-4</v>
      </c>
      <c r="J2554" s="794">
        <v>17.85562959222311</v>
      </c>
      <c r="K2554" s="771"/>
    </row>
    <row r="2555" spans="1:11" ht="18.75" customHeight="1" outlineLevel="2">
      <c r="A2555" s="791" t="s">
        <v>776</v>
      </c>
      <c r="B2555" s="791" t="s">
        <v>1032</v>
      </c>
      <c r="C2555" s="791" t="s">
        <v>1009</v>
      </c>
      <c r="D2555" s="792" t="s">
        <v>779</v>
      </c>
      <c r="E2555" s="793" t="s">
        <v>947</v>
      </c>
      <c r="F2555" s="793" t="s">
        <v>996</v>
      </c>
      <c r="G2555" s="793" t="s">
        <v>791</v>
      </c>
      <c r="H2555" s="793" t="s">
        <v>826</v>
      </c>
      <c r="I2555" s="794">
        <v>5.5890801930396695E-4</v>
      </c>
      <c r="J2555" s="794">
        <v>49.68927805980536</v>
      </c>
      <c r="K2555" s="771"/>
    </row>
    <row r="2556" spans="1:11" ht="18.75" customHeight="1" outlineLevel="2">
      <c r="A2556" s="791" t="s">
        <v>776</v>
      </c>
      <c r="B2556" s="791" t="s">
        <v>1032</v>
      </c>
      <c r="C2556" s="791" t="s">
        <v>1009</v>
      </c>
      <c r="D2556" s="792" t="s">
        <v>779</v>
      </c>
      <c r="E2556" s="793" t="s">
        <v>947</v>
      </c>
      <c r="F2556" s="793" t="s">
        <v>997</v>
      </c>
      <c r="G2556" s="793" t="s">
        <v>791</v>
      </c>
      <c r="H2556" s="793" t="s">
        <v>826</v>
      </c>
      <c r="I2556" s="794">
        <v>8.4765034089084867E-4</v>
      </c>
      <c r="J2556" s="794">
        <v>36.639464658826206</v>
      </c>
      <c r="K2556" s="771"/>
    </row>
    <row r="2557" spans="1:11" ht="18.75" customHeight="1" outlineLevel="2">
      <c r="A2557" s="791" t="s">
        <v>776</v>
      </c>
      <c r="B2557" s="791" t="s">
        <v>1032</v>
      </c>
      <c r="C2557" s="791" t="s">
        <v>1009</v>
      </c>
      <c r="D2557" s="792" t="s">
        <v>779</v>
      </c>
      <c r="E2557" s="793" t="s">
        <v>947</v>
      </c>
      <c r="F2557" s="793" t="s">
        <v>998</v>
      </c>
      <c r="G2557" s="793" t="s">
        <v>794</v>
      </c>
      <c r="H2557" s="793" t="s">
        <v>828</v>
      </c>
      <c r="I2557" s="794">
        <v>4.0444328758753555E-2</v>
      </c>
      <c r="J2557" s="794">
        <v>1478.9261475084836</v>
      </c>
      <c r="K2557" s="771"/>
    </row>
    <row r="2558" spans="1:11" ht="18.75" customHeight="1" outlineLevel="2">
      <c r="A2558" s="791" t="s">
        <v>776</v>
      </c>
      <c r="B2558" s="791" t="s">
        <v>1032</v>
      </c>
      <c r="C2558" s="791" t="s">
        <v>1009</v>
      </c>
      <c r="D2558" s="792" t="s">
        <v>779</v>
      </c>
      <c r="E2558" s="793" t="s">
        <v>947</v>
      </c>
      <c r="F2558" s="793" t="s">
        <v>999</v>
      </c>
      <c r="G2558" s="793" t="s">
        <v>794</v>
      </c>
      <c r="H2558" s="793" t="s">
        <v>828</v>
      </c>
      <c r="I2558" s="794">
        <v>9.5380153797043482E-3</v>
      </c>
      <c r="J2558" s="794">
        <v>349.0535528665452</v>
      </c>
      <c r="K2558" s="771"/>
    </row>
    <row r="2559" spans="1:11" ht="18.75" customHeight="1" outlineLevel="2">
      <c r="A2559" s="791" t="s">
        <v>776</v>
      </c>
      <c r="B2559" s="791" t="s">
        <v>1032</v>
      </c>
      <c r="C2559" s="791" t="s">
        <v>1009</v>
      </c>
      <c r="D2559" s="792" t="s">
        <v>779</v>
      </c>
      <c r="E2559" s="793" t="s">
        <v>947</v>
      </c>
      <c r="F2559" s="793" t="s">
        <v>1000</v>
      </c>
      <c r="G2559" s="793" t="s">
        <v>794</v>
      </c>
      <c r="H2559" s="793" t="s">
        <v>828</v>
      </c>
      <c r="I2559" s="794">
        <v>2.6769193076551651E-2</v>
      </c>
      <c r="J2559" s="794">
        <v>968.40662874486395</v>
      </c>
      <c r="K2559" s="771"/>
    </row>
    <row r="2560" spans="1:11" ht="18.75" customHeight="1" outlineLevel="2">
      <c r="A2560" s="791" t="s">
        <v>776</v>
      </c>
      <c r="B2560" s="791" t="s">
        <v>1032</v>
      </c>
      <c r="C2560" s="791" t="s">
        <v>1009</v>
      </c>
      <c r="D2560" s="792" t="s">
        <v>779</v>
      </c>
      <c r="E2560" s="793" t="s">
        <v>947</v>
      </c>
      <c r="F2560" s="793" t="s">
        <v>1001</v>
      </c>
      <c r="G2560" s="793" t="s">
        <v>794</v>
      </c>
      <c r="H2560" s="793" t="s">
        <v>828</v>
      </c>
      <c r="I2560" s="794">
        <v>2.2604359280418249E-2</v>
      </c>
      <c r="J2560" s="794">
        <v>491.68955270433605</v>
      </c>
      <c r="K2560" s="771"/>
    </row>
    <row r="2561" spans="1:11" ht="18.75" customHeight="1" outlineLevel="2">
      <c r="A2561" s="791" t="s">
        <v>776</v>
      </c>
      <c r="B2561" s="791" t="s">
        <v>1032</v>
      </c>
      <c r="C2561" s="791" t="s">
        <v>1009</v>
      </c>
      <c r="D2561" s="792" t="s">
        <v>779</v>
      </c>
      <c r="E2561" s="793" t="s">
        <v>947</v>
      </c>
      <c r="F2561" s="793" t="s">
        <v>1002</v>
      </c>
      <c r="G2561" s="793" t="s">
        <v>794</v>
      </c>
      <c r="H2561" s="793" t="s">
        <v>828</v>
      </c>
      <c r="I2561" s="794">
        <v>1.1244397792123312E-3</v>
      </c>
      <c r="J2561" s="794">
        <v>47.288200079550052</v>
      </c>
      <c r="K2561" s="771"/>
    </row>
    <row r="2562" spans="1:11" ht="18.75" customHeight="1" outlineLevel="2">
      <c r="A2562" s="791" t="s">
        <v>776</v>
      </c>
      <c r="B2562" s="791" t="s">
        <v>1032</v>
      </c>
      <c r="C2562" s="791" t="s">
        <v>1009</v>
      </c>
      <c r="D2562" s="792" t="s">
        <v>779</v>
      </c>
      <c r="E2562" s="793" t="s">
        <v>947</v>
      </c>
      <c r="F2562" s="793" t="s">
        <v>1003</v>
      </c>
      <c r="G2562" s="793" t="s">
        <v>794</v>
      </c>
      <c r="H2562" s="793" t="s">
        <v>828</v>
      </c>
      <c r="I2562" s="794">
        <v>1.3008488014427872E-3</v>
      </c>
      <c r="J2562" s="794">
        <v>41.853849674520305</v>
      </c>
      <c r="K2562" s="771"/>
    </row>
    <row r="2563" spans="1:11" ht="18.75" customHeight="1" outlineLevel="2">
      <c r="A2563" s="791" t="s">
        <v>776</v>
      </c>
      <c r="B2563" s="791" t="s">
        <v>1032</v>
      </c>
      <c r="C2563" s="791" t="s">
        <v>1009</v>
      </c>
      <c r="D2563" s="792" t="s">
        <v>779</v>
      </c>
      <c r="E2563" s="793" t="s">
        <v>947</v>
      </c>
      <c r="F2563" s="793" t="s">
        <v>1004</v>
      </c>
      <c r="G2563" s="793" t="s">
        <v>833</v>
      </c>
      <c r="H2563" s="793" t="s">
        <v>834</v>
      </c>
      <c r="I2563" s="794">
        <v>5.0018567783962232E-3</v>
      </c>
      <c r="J2563" s="794">
        <v>327.81101489876795</v>
      </c>
      <c r="K2563" s="771"/>
    </row>
    <row r="2564" spans="1:11" ht="18.75" customHeight="1" outlineLevel="2">
      <c r="A2564" s="791" t="s">
        <v>776</v>
      </c>
      <c r="B2564" s="791" t="s">
        <v>1032</v>
      </c>
      <c r="C2564" s="791" t="s">
        <v>1009</v>
      </c>
      <c r="D2564" s="792" t="s">
        <v>779</v>
      </c>
      <c r="E2564" s="793" t="s">
        <v>947</v>
      </c>
      <c r="F2564" s="793" t="s">
        <v>1019</v>
      </c>
      <c r="G2564" s="793" t="s">
        <v>785</v>
      </c>
      <c r="H2564" s="793" t="s">
        <v>727</v>
      </c>
      <c r="I2564" s="794">
        <v>2.0974756277691003E-3</v>
      </c>
      <c r="J2564" s="794">
        <v>66.630071969968583</v>
      </c>
      <c r="K2564" s="771"/>
    </row>
    <row r="2565" spans="1:11" ht="18.75" customHeight="1" outlineLevel="2">
      <c r="A2565" s="791" t="s">
        <v>776</v>
      </c>
      <c r="B2565" s="791" t="s">
        <v>1032</v>
      </c>
      <c r="C2565" s="791" t="s">
        <v>1009</v>
      </c>
      <c r="D2565" s="792" t="s">
        <v>779</v>
      </c>
      <c r="E2565" s="793" t="s">
        <v>947</v>
      </c>
      <c r="F2565" s="793" t="s">
        <v>1007</v>
      </c>
      <c r="G2565" s="793" t="s">
        <v>244</v>
      </c>
      <c r="H2565" s="793" t="s">
        <v>911</v>
      </c>
      <c r="I2565" s="794">
        <v>5.7326592996675869E-3</v>
      </c>
      <c r="J2565" s="794">
        <v>127.80490938764416</v>
      </c>
      <c r="K2565" s="771"/>
    </row>
    <row r="2566" spans="1:11" ht="18.75" customHeight="1" outlineLevel="2">
      <c r="A2566" s="791" t="s">
        <v>776</v>
      </c>
      <c r="B2566" s="791" t="s">
        <v>1033</v>
      </c>
      <c r="C2566" s="791" t="s">
        <v>1009</v>
      </c>
      <c r="D2566" s="792" t="s">
        <v>779</v>
      </c>
      <c r="E2566" s="793" t="s">
        <v>780</v>
      </c>
      <c r="F2566" s="793" t="s">
        <v>781</v>
      </c>
      <c r="G2566" s="793" t="s">
        <v>782</v>
      </c>
      <c r="H2566" s="793" t="s">
        <v>783</v>
      </c>
      <c r="I2566" s="794">
        <v>1.0873265503811918E-2</v>
      </c>
      <c r="J2566" s="794">
        <v>0.15994825466744636</v>
      </c>
      <c r="K2566" s="771"/>
    </row>
    <row r="2567" spans="1:11" ht="18.75" customHeight="1" outlineLevel="2">
      <c r="A2567" s="791" t="s">
        <v>776</v>
      </c>
      <c r="B2567" s="791" t="s">
        <v>1033</v>
      </c>
      <c r="C2567" s="791" t="s">
        <v>1009</v>
      </c>
      <c r="D2567" s="792" t="s">
        <v>779</v>
      </c>
      <c r="E2567" s="793" t="s">
        <v>780</v>
      </c>
      <c r="F2567" s="793" t="s">
        <v>784</v>
      </c>
      <c r="G2567" s="793" t="s">
        <v>785</v>
      </c>
      <c r="H2567" s="793" t="s">
        <v>783</v>
      </c>
      <c r="I2567" s="794">
        <v>3.3905408454865591</v>
      </c>
      <c r="J2567" s="794">
        <v>550.6036651894326</v>
      </c>
      <c r="K2567" s="771"/>
    </row>
    <row r="2568" spans="1:11" ht="18.75" customHeight="1" outlineLevel="2">
      <c r="A2568" s="791" t="s">
        <v>776</v>
      </c>
      <c r="B2568" s="791" t="s">
        <v>1033</v>
      </c>
      <c r="C2568" s="791" t="s">
        <v>1009</v>
      </c>
      <c r="D2568" s="792" t="s">
        <v>779</v>
      </c>
      <c r="E2568" s="793" t="s">
        <v>780</v>
      </c>
      <c r="F2568" s="793" t="s">
        <v>786</v>
      </c>
      <c r="G2568" s="793" t="s">
        <v>785</v>
      </c>
      <c r="H2568" s="793" t="s">
        <v>783</v>
      </c>
      <c r="I2568" s="794">
        <v>2.7534551023465355E-3</v>
      </c>
      <c r="J2568" s="794">
        <v>0.46645910115145728</v>
      </c>
      <c r="K2568" s="771"/>
    </row>
    <row r="2569" spans="1:11" ht="18.75" customHeight="1" outlineLevel="2">
      <c r="A2569" s="791" t="s">
        <v>776</v>
      </c>
      <c r="B2569" s="791" t="s">
        <v>1033</v>
      </c>
      <c r="C2569" s="791" t="s">
        <v>1009</v>
      </c>
      <c r="D2569" s="792" t="s">
        <v>779</v>
      </c>
      <c r="E2569" s="793" t="s">
        <v>780</v>
      </c>
      <c r="F2569" s="793" t="s">
        <v>787</v>
      </c>
      <c r="G2569" s="793" t="s">
        <v>785</v>
      </c>
      <c r="H2569" s="793" t="s">
        <v>783</v>
      </c>
      <c r="I2569" s="794">
        <v>1.3836839111227607E-3</v>
      </c>
      <c r="J2569" s="794">
        <v>0.25418831191227503</v>
      </c>
      <c r="K2569" s="771"/>
    </row>
    <row r="2570" spans="1:11" ht="18.75" customHeight="1" outlineLevel="2">
      <c r="A2570" s="791" t="s">
        <v>776</v>
      </c>
      <c r="B2570" s="791" t="s">
        <v>1033</v>
      </c>
      <c r="C2570" s="791" t="s">
        <v>1009</v>
      </c>
      <c r="D2570" s="792" t="s">
        <v>779</v>
      </c>
      <c r="E2570" s="793" t="s">
        <v>780</v>
      </c>
      <c r="F2570" s="793" t="s">
        <v>788</v>
      </c>
      <c r="G2570" s="793" t="s">
        <v>785</v>
      </c>
      <c r="H2570" s="793" t="s">
        <v>783</v>
      </c>
      <c r="I2570" s="794">
        <v>1.100534152826497E-2</v>
      </c>
      <c r="J2570" s="794">
        <v>1.7530529531032235</v>
      </c>
      <c r="K2570" s="771"/>
    </row>
    <row r="2571" spans="1:11" ht="18.75" customHeight="1" outlineLevel="2">
      <c r="A2571" s="791" t="s">
        <v>776</v>
      </c>
      <c r="B2571" s="791" t="s">
        <v>1033</v>
      </c>
      <c r="C2571" s="791" t="s">
        <v>1009</v>
      </c>
      <c r="D2571" s="792" t="s">
        <v>779</v>
      </c>
      <c r="E2571" s="793" t="s">
        <v>780</v>
      </c>
      <c r="F2571" s="793" t="s">
        <v>789</v>
      </c>
      <c r="G2571" s="793" t="s">
        <v>785</v>
      </c>
      <c r="H2571" s="793" t="s">
        <v>783</v>
      </c>
      <c r="I2571" s="794">
        <v>1.2665192355294496E-2</v>
      </c>
      <c r="J2571" s="794">
        <v>3.1155303904820864</v>
      </c>
      <c r="K2571" s="771"/>
    </row>
    <row r="2572" spans="1:11" ht="18.75" customHeight="1" outlineLevel="2">
      <c r="A2572" s="791" t="s">
        <v>776</v>
      </c>
      <c r="B2572" s="791" t="s">
        <v>1033</v>
      </c>
      <c r="C2572" s="791" t="s">
        <v>1009</v>
      </c>
      <c r="D2572" s="792" t="s">
        <v>779</v>
      </c>
      <c r="E2572" s="793" t="s">
        <v>780</v>
      </c>
      <c r="F2572" s="793" t="s">
        <v>790</v>
      </c>
      <c r="G2572" s="793" t="s">
        <v>791</v>
      </c>
      <c r="H2572" s="793" t="s">
        <v>783</v>
      </c>
      <c r="I2572" s="794">
        <v>1.950653516157612E-3</v>
      </c>
      <c r="J2572" s="794">
        <v>2.5910353129726622E-2</v>
      </c>
      <c r="K2572" s="771"/>
    </row>
    <row r="2573" spans="1:11" ht="18.75" customHeight="1" outlineLevel="2">
      <c r="A2573" s="791" t="s">
        <v>776</v>
      </c>
      <c r="B2573" s="791" t="s">
        <v>1033</v>
      </c>
      <c r="C2573" s="791" t="s">
        <v>1009</v>
      </c>
      <c r="D2573" s="792" t="s">
        <v>779</v>
      </c>
      <c r="E2573" s="793" t="s">
        <v>780</v>
      </c>
      <c r="F2573" s="793" t="s">
        <v>792</v>
      </c>
      <c r="G2573" s="793" t="s">
        <v>791</v>
      </c>
      <c r="H2573" s="793" t="s">
        <v>783</v>
      </c>
      <c r="I2573" s="794">
        <v>1.4479389759989469E-2</v>
      </c>
      <c r="J2573" s="794">
        <v>2.8120371567656668</v>
      </c>
      <c r="K2573" s="771"/>
    </row>
    <row r="2574" spans="1:11" ht="18.75" customHeight="1" outlineLevel="2">
      <c r="A2574" s="791" t="s">
        <v>776</v>
      </c>
      <c r="B2574" s="791" t="s">
        <v>1033</v>
      </c>
      <c r="C2574" s="791" t="s">
        <v>1009</v>
      </c>
      <c r="D2574" s="792" t="s">
        <v>779</v>
      </c>
      <c r="E2574" s="793" t="s">
        <v>780</v>
      </c>
      <c r="F2574" s="793" t="s">
        <v>793</v>
      </c>
      <c r="G2574" s="793" t="s">
        <v>794</v>
      </c>
      <c r="H2574" s="793" t="s">
        <v>783</v>
      </c>
      <c r="I2574" s="794">
        <v>5.9910866635485371</v>
      </c>
      <c r="J2574" s="794">
        <v>155.48459816212053</v>
      </c>
      <c r="K2574" s="771"/>
    </row>
    <row r="2575" spans="1:11" ht="18.75" customHeight="1" outlineLevel="2">
      <c r="A2575" s="791" t="s">
        <v>776</v>
      </c>
      <c r="B2575" s="791" t="s">
        <v>1033</v>
      </c>
      <c r="C2575" s="791" t="s">
        <v>1009</v>
      </c>
      <c r="D2575" s="792" t="s">
        <v>779</v>
      </c>
      <c r="E2575" s="793" t="s">
        <v>780</v>
      </c>
      <c r="F2575" s="793" t="s">
        <v>795</v>
      </c>
      <c r="G2575" s="793" t="s">
        <v>794</v>
      </c>
      <c r="H2575" s="793" t="s">
        <v>783</v>
      </c>
      <c r="I2575" s="794">
        <v>0.18116957239519157</v>
      </c>
      <c r="J2575" s="794">
        <v>7.4231018266383284</v>
      </c>
      <c r="K2575" s="771"/>
    </row>
    <row r="2576" spans="1:11" ht="18.75" customHeight="1" outlineLevel="2">
      <c r="A2576" s="791" t="s">
        <v>776</v>
      </c>
      <c r="B2576" s="791" t="s">
        <v>1033</v>
      </c>
      <c r="C2576" s="791" t="s">
        <v>1009</v>
      </c>
      <c r="D2576" s="792" t="s">
        <v>779</v>
      </c>
      <c r="E2576" s="793" t="s">
        <v>780</v>
      </c>
      <c r="F2576" s="793" t="s">
        <v>796</v>
      </c>
      <c r="G2576" s="793" t="s">
        <v>794</v>
      </c>
      <c r="H2576" s="793" t="s">
        <v>783</v>
      </c>
      <c r="I2576" s="794">
        <v>9.4167550816619122E-2</v>
      </c>
      <c r="J2576" s="794">
        <v>10.851730461572144</v>
      </c>
      <c r="K2576" s="771"/>
    </row>
    <row r="2577" spans="1:11" ht="18.75" customHeight="1" outlineLevel="2">
      <c r="A2577" s="791" t="s">
        <v>776</v>
      </c>
      <c r="B2577" s="791" t="s">
        <v>1033</v>
      </c>
      <c r="C2577" s="791" t="s">
        <v>1009</v>
      </c>
      <c r="D2577" s="792" t="s">
        <v>779</v>
      </c>
      <c r="E2577" s="793" t="s">
        <v>780</v>
      </c>
      <c r="F2577" s="793" t="s">
        <v>797</v>
      </c>
      <c r="G2577" s="793" t="s">
        <v>794</v>
      </c>
      <c r="H2577" s="793" t="s">
        <v>783</v>
      </c>
      <c r="I2577" s="794">
        <v>1.8414950339161991</v>
      </c>
      <c r="J2577" s="794">
        <v>385.36136126999781</v>
      </c>
      <c r="K2577" s="771"/>
    </row>
    <row r="2578" spans="1:11" ht="18.75" customHeight="1" outlineLevel="2">
      <c r="A2578" s="791" t="s">
        <v>776</v>
      </c>
      <c r="B2578" s="791" t="s">
        <v>1033</v>
      </c>
      <c r="C2578" s="791" t="s">
        <v>1009</v>
      </c>
      <c r="D2578" s="792" t="s">
        <v>779</v>
      </c>
      <c r="E2578" s="793" t="s">
        <v>780</v>
      </c>
      <c r="F2578" s="793" t="s">
        <v>1017</v>
      </c>
      <c r="G2578" s="793" t="s">
        <v>785</v>
      </c>
      <c r="H2578" s="793" t="s">
        <v>783</v>
      </c>
      <c r="I2578" s="794">
        <v>1.1744744855408173E-2</v>
      </c>
      <c r="J2578" s="794">
        <v>2.6689742937990051</v>
      </c>
      <c r="K2578" s="771"/>
    </row>
    <row r="2579" spans="1:11" ht="18.75" customHeight="1" outlineLevel="2">
      <c r="A2579" s="791" t="s">
        <v>776</v>
      </c>
      <c r="B2579" s="791" t="s">
        <v>1033</v>
      </c>
      <c r="C2579" s="791" t="s">
        <v>1009</v>
      </c>
      <c r="D2579" s="792" t="s">
        <v>779</v>
      </c>
      <c r="E2579" s="793" t="s">
        <v>662</v>
      </c>
      <c r="F2579" s="793" t="s">
        <v>798</v>
      </c>
      <c r="G2579" s="793" t="s">
        <v>799</v>
      </c>
      <c r="H2579" s="793" t="s">
        <v>800</v>
      </c>
      <c r="I2579" s="794">
        <v>0.20903075802497786</v>
      </c>
      <c r="J2579" s="794">
        <v>60.061292887743086</v>
      </c>
      <c r="K2579" s="771"/>
    </row>
    <row r="2580" spans="1:11" ht="18.75" customHeight="1" outlineLevel="2">
      <c r="A2580" s="791" t="s">
        <v>776</v>
      </c>
      <c r="B2580" s="791" t="s">
        <v>1033</v>
      </c>
      <c r="C2580" s="791" t="s">
        <v>1009</v>
      </c>
      <c r="D2580" s="792" t="s">
        <v>779</v>
      </c>
      <c r="E2580" s="793" t="s">
        <v>662</v>
      </c>
      <c r="F2580" s="793" t="s">
        <v>801</v>
      </c>
      <c r="G2580" s="793" t="s">
        <v>799</v>
      </c>
      <c r="H2580" s="793" t="s">
        <v>800</v>
      </c>
      <c r="I2580" s="794">
        <v>6.3850669377146632E-2</v>
      </c>
      <c r="J2580" s="794">
        <v>25.793929618426521</v>
      </c>
      <c r="K2580" s="771"/>
    </row>
    <row r="2581" spans="1:11" ht="18.75" customHeight="1" outlineLevel="2">
      <c r="A2581" s="791" t="s">
        <v>776</v>
      </c>
      <c r="B2581" s="791" t="s">
        <v>1033</v>
      </c>
      <c r="C2581" s="791" t="s">
        <v>1009</v>
      </c>
      <c r="D2581" s="792" t="s">
        <v>779</v>
      </c>
      <c r="E2581" s="793" t="s">
        <v>662</v>
      </c>
      <c r="F2581" s="793" t="s">
        <v>802</v>
      </c>
      <c r="G2581" s="793" t="s">
        <v>799</v>
      </c>
      <c r="H2581" s="793" t="s">
        <v>800</v>
      </c>
      <c r="I2581" s="794">
        <v>2.9061876710574617E-2</v>
      </c>
      <c r="J2581" s="794">
        <v>37.375746762583105</v>
      </c>
      <c r="K2581" s="771"/>
    </row>
    <row r="2582" spans="1:11" ht="18.75" customHeight="1" outlineLevel="2">
      <c r="A2582" s="791" t="s">
        <v>776</v>
      </c>
      <c r="B2582" s="791" t="s">
        <v>1033</v>
      </c>
      <c r="C2582" s="791" t="s">
        <v>1009</v>
      </c>
      <c r="D2582" s="792" t="s">
        <v>779</v>
      </c>
      <c r="E2582" s="793" t="s">
        <v>662</v>
      </c>
      <c r="F2582" s="793" t="s">
        <v>803</v>
      </c>
      <c r="G2582" s="793" t="s">
        <v>782</v>
      </c>
      <c r="H2582" s="793" t="s">
        <v>804</v>
      </c>
      <c r="I2582" s="794">
        <v>3.3609851232483619E-2</v>
      </c>
      <c r="J2582" s="794">
        <v>20.854232675360524</v>
      </c>
      <c r="K2582" s="771"/>
    </row>
    <row r="2583" spans="1:11" ht="18.75" customHeight="1" outlineLevel="2">
      <c r="A2583" s="791" t="s">
        <v>776</v>
      </c>
      <c r="B2583" s="791" t="s">
        <v>1033</v>
      </c>
      <c r="C2583" s="791" t="s">
        <v>1009</v>
      </c>
      <c r="D2583" s="792" t="s">
        <v>779</v>
      </c>
      <c r="E2583" s="793" t="s">
        <v>662</v>
      </c>
      <c r="F2583" s="793" t="s">
        <v>805</v>
      </c>
      <c r="G2583" s="793" t="s">
        <v>782</v>
      </c>
      <c r="H2583" s="793" t="s">
        <v>804</v>
      </c>
      <c r="I2583" s="794">
        <v>2.7892620639160559E-3</v>
      </c>
      <c r="J2583" s="794">
        <v>1.3508569404894211</v>
      </c>
      <c r="K2583" s="771"/>
    </row>
    <row r="2584" spans="1:11" ht="18.75" customHeight="1" outlineLevel="2">
      <c r="A2584" s="791" t="s">
        <v>776</v>
      </c>
      <c r="B2584" s="791" t="s">
        <v>1033</v>
      </c>
      <c r="C2584" s="791" t="s">
        <v>1009</v>
      </c>
      <c r="D2584" s="792" t="s">
        <v>779</v>
      </c>
      <c r="E2584" s="793" t="s">
        <v>662</v>
      </c>
      <c r="F2584" s="793" t="s">
        <v>806</v>
      </c>
      <c r="G2584" s="793" t="s">
        <v>782</v>
      </c>
      <c r="H2584" s="793" t="s">
        <v>804</v>
      </c>
      <c r="I2584" s="794">
        <v>3.3802200034502902E-3</v>
      </c>
      <c r="J2584" s="794">
        <v>1.614658269747651</v>
      </c>
      <c r="K2584" s="771"/>
    </row>
    <row r="2585" spans="1:11" ht="18.75" customHeight="1" outlineLevel="2">
      <c r="A2585" s="791" t="s">
        <v>776</v>
      </c>
      <c r="B2585" s="791" t="s">
        <v>1033</v>
      </c>
      <c r="C2585" s="791" t="s">
        <v>1009</v>
      </c>
      <c r="D2585" s="792" t="s">
        <v>779</v>
      </c>
      <c r="E2585" s="793" t="s">
        <v>662</v>
      </c>
      <c r="F2585" s="793" t="s">
        <v>807</v>
      </c>
      <c r="G2585" s="793" t="s">
        <v>782</v>
      </c>
      <c r="H2585" s="793" t="s">
        <v>804</v>
      </c>
      <c r="I2585" s="794">
        <v>2.4998179298754192E-5</v>
      </c>
      <c r="J2585" s="794">
        <v>1.1187849030398121E-2</v>
      </c>
      <c r="K2585" s="771"/>
    </row>
    <row r="2586" spans="1:11" ht="18.75" customHeight="1" outlineLevel="2">
      <c r="A2586" s="791" t="s">
        <v>776</v>
      </c>
      <c r="B2586" s="791" t="s">
        <v>1033</v>
      </c>
      <c r="C2586" s="791" t="s">
        <v>1009</v>
      </c>
      <c r="D2586" s="792" t="s">
        <v>779</v>
      </c>
      <c r="E2586" s="793" t="s">
        <v>662</v>
      </c>
      <c r="F2586" s="793" t="s">
        <v>808</v>
      </c>
      <c r="G2586" s="793" t="s">
        <v>782</v>
      </c>
      <c r="H2586" s="793" t="s">
        <v>804</v>
      </c>
      <c r="I2586" s="794">
        <v>9.6355850698682313E-2</v>
      </c>
      <c r="J2586" s="794">
        <v>53.803629341775022</v>
      </c>
      <c r="K2586" s="771"/>
    </row>
    <row r="2587" spans="1:11" ht="18.75" customHeight="1" outlineLevel="2">
      <c r="A2587" s="791" t="s">
        <v>776</v>
      </c>
      <c r="B2587" s="791" t="s">
        <v>1033</v>
      </c>
      <c r="C2587" s="791" t="s">
        <v>1009</v>
      </c>
      <c r="D2587" s="792" t="s">
        <v>779</v>
      </c>
      <c r="E2587" s="793" t="s">
        <v>662</v>
      </c>
      <c r="F2587" s="793" t="s">
        <v>809</v>
      </c>
      <c r="G2587" s="793" t="s">
        <v>782</v>
      </c>
      <c r="H2587" s="793" t="s">
        <v>804</v>
      </c>
      <c r="I2587" s="794">
        <v>7.0452313644311438E-4</v>
      </c>
      <c r="J2587" s="794">
        <v>0.31530676208866049</v>
      </c>
      <c r="K2587" s="771"/>
    </row>
    <row r="2588" spans="1:11" ht="18.75" customHeight="1" outlineLevel="2">
      <c r="A2588" s="791" t="s">
        <v>776</v>
      </c>
      <c r="B2588" s="791" t="s">
        <v>1033</v>
      </c>
      <c r="C2588" s="791" t="s">
        <v>1009</v>
      </c>
      <c r="D2588" s="792" t="s">
        <v>779</v>
      </c>
      <c r="E2588" s="793" t="s">
        <v>662</v>
      </c>
      <c r="F2588" s="793" t="s">
        <v>810</v>
      </c>
      <c r="G2588" s="793" t="s">
        <v>785</v>
      </c>
      <c r="H2588" s="793" t="s">
        <v>727</v>
      </c>
      <c r="I2588" s="794">
        <v>3.3579924705358188E-3</v>
      </c>
      <c r="J2588" s="794">
        <v>1.5028571036518883</v>
      </c>
      <c r="K2588" s="771"/>
    </row>
    <row r="2589" spans="1:11" ht="18.75" customHeight="1" outlineLevel="2">
      <c r="A2589" s="791" t="s">
        <v>776</v>
      </c>
      <c r="B2589" s="791" t="s">
        <v>1033</v>
      </c>
      <c r="C2589" s="791" t="s">
        <v>1009</v>
      </c>
      <c r="D2589" s="792" t="s">
        <v>779</v>
      </c>
      <c r="E2589" s="793" t="s">
        <v>662</v>
      </c>
      <c r="F2589" s="793" t="s">
        <v>811</v>
      </c>
      <c r="G2589" s="793" t="s">
        <v>785</v>
      </c>
      <c r="H2589" s="793" t="s">
        <v>727</v>
      </c>
      <c r="I2589" s="794">
        <v>2.569580782552359E-4</v>
      </c>
      <c r="J2589" s="794">
        <v>0.11500072796084788</v>
      </c>
      <c r="K2589" s="771"/>
    </row>
    <row r="2590" spans="1:11" ht="18.75" customHeight="1" outlineLevel="2">
      <c r="A2590" s="791" t="s">
        <v>776</v>
      </c>
      <c r="B2590" s="791" t="s">
        <v>1033</v>
      </c>
      <c r="C2590" s="791" t="s">
        <v>1009</v>
      </c>
      <c r="D2590" s="792" t="s">
        <v>779</v>
      </c>
      <c r="E2590" s="793" t="s">
        <v>662</v>
      </c>
      <c r="F2590" s="793" t="s">
        <v>812</v>
      </c>
      <c r="G2590" s="793" t="s">
        <v>813</v>
      </c>
      <c r="H2590" s="793" t="s">
        <v>814</v>
      </c>
      <c r="I2590" s="794">
        <v>1.5333206183339401E-2</v>
      </c>
      <c r="J2590" s="794">
        <v>8.3974791617378148</v>
      </c>
      <c r="K2590" s="771"/>
    </row>
    <row r="2591" spans="1:11" ht="18.75" customHeight="1" outlineLevel="2">
      <c r="A2591" s="791" t="s">
        <v>776</v>
      </c>
      <c r="B2591" s="791" t="s">
        <v>1033</v>
      </c>
      <c r="C2591" s="791" t="s">
        <v>1009</v>
      </c>
      <c r="D2591" s="792" t="s">
        <v>779</v>
      </c>
      <c r="E2591" s="793" t="s">
        <v>662</v>
      </c>
      <c r="F2591" s="793" t="s">
        <v>815</v>
      </c>
      <c r="G2591" s="793" t="s">
        <v>813</v>
      </c>
      <c r="H2591" s="793" t="s">
        <v>814</v>
      </c>
      <c r="I2591" s="794">
        <v>0.24879753751636674</v>
      </c>
      <c r="J2591" s="794">
        <v>133.71508090799051</v>
      </c>
      <c r="K2591" s="771"/>
    </row>
    <row r="2592" spans="1:11" ht="18.75" customHeight="1" outlineLevel="2">
      <c r="A2592" s="791" t="s">
        <v>776</v>
      </c>
      <c r="B2592" s="791" t="s">
        <v>1033</v>
      </c>
      <c r="C2592" s="791" t="s">
        <v>1009</v>
      </c>
      <c r="D2592" s="792" t="s">
        <v>779</v>
      </c>
      <c r="E2592" s="793" t="s">
        <v>662</v>
      </c>
      <c r="F2592" s="793" t="s">
        <v>816</v>
      </c>
      <c r="G2592" s="793" t="s">
        <v>813</v>
      </c>
      <c r="H2592" s="793" t="s">
        <v>814</v>
      </c>
      <c r="I2592" s="794">
        <v>0.21580758960624982</v>
      </c>
      <c r="J2592" s="794">
        <v>112.12218104580029</v>
      </c>
      <c r="K2592" s="771"/>
    </row>
    <row r="2593" spans="1:11" ht="18.75" customHeight="1" outlineLevel="2">
      <c r="A2593" s="791" t="s">
        <v>776</v>
      </c>
      <c r="B2593" s="791" t="s">
        <v>1033</v>
      </c>
      <c r="C2593" s="791" t="s">
        <v>1009</v>
      </c>
      <c r="D2593" s="792" t="s">
        <v>779</v>
      </c>
      <c r="E2593" s="793" t="s">
        <v>662</v>
      </c>
      <c r="F2593" s="793" t="s">
        <v>817</v>
      </c>
      <c r="G2593" s="793" t="s">
        <v>813</v>
      </c>
      <c r="H2593" s="793" t="s">
        <v>814</v>
      </c>
      <c r="I2593" s="794">
        <v>2.3525217593399068</v>
      </c>
      <c r="J2593" s="794">
        <v>1287.7795761995064</v>
      </c>
      <c r="K2593" s="771"/>
    </row>
    <row r="2594" spans="1:11" ht="18.75" customHeight="1" outlineLevel="2">
      <c r="A2594" s="791" t="s">
        <v>776</v>
      </c>
      <c r="B2594" s="791" t="s">
        <v>1033</v>
      </c>
      <c r="C2594" s="791" t="s">
        <v>1009</v>
      </c>
      <c r="D2594" s="792" t="s">
        <v>779</v>
      </c>
      <c r="E2594" s="793" t="s">
        <v>662</v>
      </c>
      <c r="F2594" s="793" t="s">
        <v>818</v>
      </c>
      <c r="G2594" s="793" t="s">
        <v>813</v>
      </c>
      <c r="H2594" s="793" t="s">
        <v>814</v>
      </c>
      <c r="I2594" s="794">
        <v>0.26510742018795813</v>
      </c>
      <c r="J2594" s="794">
        <v>155.71343819992427</v>
      </c>
      <c r="K2594" s="771"/>
    </row>
    <row r="2595" spans="1:11" ht="18.75" customHeight="1" outlineLevel="2">
      <c r="A2595" s="791" t="s">
        <v>776</v>
      </c>
      <c r="B2595" s="791" t="s">
        <v>1033</v>
      </c>
      <c r="C2595" s="791" t="s">
        <v>1009</v>
      </c>
      <c r="D2595" s="792" t="s">
        <v>779</v>
      </c>
      <c r="E2595" s="793" t="s">
        <v>662</v>
      </c>
      <c r="F2595" s="793" t="s">
        <v>819</v>
      </c>
      <c r="G2595" s="793" t="s">
        <v>813</v>
      </c>
      <c r="H2595" s="793" t="s">
        <v>814</v>
      </c>
      <c r="I2595" s="794">
        <v>2.2260423968144005</v>
      </c>
      <c r="J2595" s="794">
        <v>1125.3468631467883</v>
      </c>
      <c r="K2595" s="771"/>
    </row>
    <row r="2596" spans="1:11" ht="18.75" customHeight="1" outlineLevel="2">
      <c r="A2596" s="791" t="s">
        <v>776</v>
      </c>
      <c r="B2596" s="791" t="s">
        <v>1033</v>
      </c>
      <c r="C2596" s="791" t="s">
        <v>1009</v>
      </c>
      <c r="D2596" s="792" t="s">
        <v>779</v>
      </c>
      <c r="E2596" s="793" t="s">
        <v>662</v>
      </c>
      <c r="F2596" s="793" t="s">
        <v>820</v>
      </c>
      <c r="G2596" s="793" t="s">
        <v>813</v>
      </c>
      <c r="H2596" s="793" t="s">
        <v>814</v>
      </c>
      <c r="I2596" s="794">
        <v>0.18685983728108835</v>
      </c>
      <c r="J2596" s="794">
        <v>100.21679274859666</v>
      </c>
      <c r="K2596" s="771"/>
    </row>
    <row r="2597" spans="1:11" ht="18.75" customHeight="1" outlineLevel="2">
      <c r="A2597" s="791" t="s">
        <v>776</v>
      </c>
      <c r="B2597" s="791" t="s">
        <v>1033</v>
      </c>
      <c r="C2597" s="791" t="s">
        <v>1009</v>
      </c>
      <c r="D2597" s="792" t="s">
        <v>779</v>
      </c>
      <c r="E2597" s="793" t="s">
        <v>662</v>
      </c>
      <c r="F2597" s="793" t="s">
        <v>821</v>
      </c>
      <c r="G2597" s="793" t="s">
        <v>813</v>
      </c>
      <c r="H2597" s="793" t="s">
        <v>814</v>
      </c>
      <c r="I2597" s="794">
        <v>1.9646892713427957</v>
      </c>
      <c r="J2597" s="794">
        <v>1050.8047896175685</v>
      </c>
      <c r="K2597" s="771"/>
    </row>
    <row r="2598" spans="1:11" ht="18.75" customHeight="1" outlineLevel="2">
      <c r="A2598" s="791" t="s">
        <v>776</v>
      </c>
      <c r="B2598" s="791" t="s">
        <v>1033</v>
      </c>
      <c r="C2598" s="791" t="s">
        <v>1009</v>
      </c>
      <c r="D2598" s="792" t="s">
        <v>779</v>
      </c>
      <c r="E2598" s="793" t="s">
        <v>662</v>
      </c>
      <c r="F2598" s="793" t="s">
        <v>822</v>
      </c>
      <c r="G2598" s="793" t="s">
        <v>813</v>
      </c>
      <c r="H2598" s="793" t="s">
        <v>814</v>
      </c>
      <c r="I2598" s="794">
        <v>0.33866393555285629</v>
      </c>
      <c r="J2598" s="794">
        <v>49.584853001130547</v>
      </c>
      <c r="K2598" s="771"/>
    </row>
    <row r="2599" spans="1:11" ht="18.75" customHeight="1" outlineLevel="2">
      <c r="A2599" s="791" t="s">
        <v>776</v>
      </c>
      <c r="B2599" s="791" t="s">
        <v>1033</v>
      </c>
      <c r="C2599" s="791" t="s">
        <v>1009</v>
      </c>
      <c r="D2599" s="792" t="s">
        <v>779</v>
      </c>
      <c r="E2599" s="793" t="s">
        <v>662</v>
      </c>
      <c r="F2599" s="793" t="s">
        <v>823</v>
      </c>
      <c r="G2599" s="793" t="s">
        <v>813</v>
      </c>
      <c r="H2599" s="793" t="s">
        <v>814</v>
      </c>
      <c r="I2599" s="794">
        <v>2.6132842724036287</v>
      </c>
      <c r="J2599" s="794">
        <v>382.60849446991909</v>
      </c>
      <c r="K2599" s="771"/>
    </row>
    <row r="2600" spans="1:11" ht="18.75" customHeight="1" outlineLevel="2">
      <c r="A2600" s="791" t="s">
        <v>776</v>
      </c>
      <c r="B2600" s="791" t="s">
        <v>1033</v>
      </c>
      <c r="C2600" s="791" t="s">
        <v>1009</v>
      </c>
      <c r="D2600" s="792" t="s">
        <v>779</v>
      </c>
      <c r="E2600" s="793" t="s">
        <v>662</v>
      </c>
      <c r="F2600" s="793" t="s">
        <v>824</v>
      </c>
      <c r="G2600" s="793" t="s">
        <v>813</v>
      </c>
      <c r="H2600" s="793" t="s">
        <v>814</v>
      </c>
      <c r="I2600" s="794">
        <v>1.1237259011720434E-3</v>
      </c>
      <c r="J2600" s="794">
        <v>0.56071744913742561</v>
      </c>
      <c r="K2600" s="771"/>
    </row>
    <row r="2601" spans="1:11" ht="18.75" customHeight="1" outlineLevel="2">
      <c r="A2601" s="791" t="s">
        <v>776</v>
      </c>
      <c r="B2601" s="791" t="s">
        <v>1033</v>
      </c>
      <c r="C2601" s="791" t="s">
        <v>1009</v>
      </c>
      <c r="D2601" s="792" t="s">
        <v>779</v>
      </c>
      <c r="E2601" s="793" t="s">
        <v>662</v>
      </c>
      <c r="F2601" s="793" t="s">
        <v>825</v>
      </c>
      <c r="G2601" s="793" t="s">
        <v>791</v>
      </c>
      <c r="H2601" s="793" t="s">
        <v>826</v>
      </c>
      <c r="I2601" s="794">
        <v>2.4224514496069583E-4</v>
      </c>
      <c r="J2601" s="794">
        <v>0.14731472358047587</v>
      </c>
      <c r="K2601" s="771"/>
    </row>
    <row r="2602" spans="1:11" ht="18.75" customHeight="1" outlineLevel="2">
      <c r="A2602" s="791" t="s">
        <v>776</v>
      </c>
      <c r="B2602" s="791" t="s">
        <v>1033</v>
      </c>
      <c r="C2602" s="791" t="s">
        <v>1009</v>
      </c>
      <c r="D2602" s="792" t="s">
        <v>779</v>
      </c>
      <c r="E2602" s="793" t="s">
        <v>662</v>
      </c>
      <c r="F2602" s="793" t="s">
        <v>827</v>
      </c>
      <c r="G2602" s="793" t="s">
        <v>794</v>
      </c>
      <c r="H2602" s="793" t="s">
        <v>828</v>
      </c>
      <c r="I2602" s="794">
        <v>5.2797876541430075E-2</v>
      </c>
      <c r="J2602" s="794">
        <v>26.140722545495169</v>
      </c>
      <c r="K2602" s="771"/>
    </row>
    <row r="2603" spans="1:11" ht="18.75" customHeight="1" outlineLevel="2">
      <c r="A2603" s="791" t="s">
        <v>776</v>
      </c>
      <c r="B2603" s="791" t="s">
        <v>1033</v>
      </c>
      <c r="C2603" s="791" t="s">
        <v>1009</v>
      </c>
      <c r="D2603" s="792" t="s">
        <v>779</v>
      </c>
      <c r="E2603" s="793" t="s">
        <v>662</v>
      </c>
      <c r="F2603" s="793" t="s">
        <v>829</v>
      </c>
      <c r="G2603" s="793" t="s">
        <v>794</v>
      </c>
      <c r="H2603" s="793" t="s">
        <v>828</v>
      </c>
      <c r="I2603" s="794">
        <v>0.33693459716978574</v>
      </c>
      <c r="J2603" s="794">
        <v>174.38813096017307</v>
      </c>
      <c r="K2603" s="771"/>
    </row>
    <row r="2604" spans="1:11" ht="18.75" customHeight="1" outlineLevel="2">
      <c r="A2604" s="791" t="s">
        <v>776</v>
      </c>
      <c r="B2604" s="791" t="s">
        <v>1033</v>
      </c>
      <c r="C2604" s="791" t="s">
        <v>1009</v>
      </c>
      <c r="D2604" s="792" t="s">
        <v>779</v>
      </c>
      <c r="E2604" s="793" t="s">
        <v>662</v>
      </c>
      <c r="F2604" s="793" t="s">
        <v>830</v>
      </c>
      <c r="G2604" s="793" t="s">
        <v>794</v>
      </c>
      <c r="H2604" s="793" t="s">
        <v>828</v>
      </c>
      <c r="I2604" s="794">
        <v>1.3514395966725525E-4</v>
      </c>
      <c r="J2604" s="794">
        <v>6.0483267622096062E-2</v>
      </c>
      <c r="K2604" s="771"/>
    </row>
    <row r="2605" spans="1:11" ht="18.75" customHeight="1" outlineLevel="2">
      <c r="A2605" s="791" t="s">
        <v>776</v>
      </c>
      <c r="B2605" s="791" t="s">
        <v>1033</v>
      </c>
      <c r="C2605" s="791" t="s">
        <v>1009</v>
      </c>
      <c r="D2605" s="792" t="s">
        <v>779</v>
      </c>
      <c r="E2605" s="793" t="s">
        <v>662</v>
      </c>
      <c r="F2605" s="793" t="s">
        <v>831</v>
      </c>
      <c r="G2605" s="793" t="s">
        <v>794</v>
      </c>
      <c r="H2605" s="793" t="s">
        <v>828</v>
      </c>
      <c r="I2605" s="794">
        <v>2.3573385946400313E-3</v>
      </c>
      <c r="J2605" s="794">
        <v>1.055018417390799</v>
      </c>
      <c r="K2605" s="771"/>
    </row>
    <row r="2606" spans="1:11" ht="18.75" customHeight="1" outlineLevel="2">
      <c r="A2606" s="791" t="s">
        <v>776</v>
      </c>
      <c r="B2606" s="791" t="s">
        <v>1033</v>
      </c>
      <c r="C2606" s="791" t="s">
        <v>1009</v>
      </c>
      <c r="D2606" s="792" t="s">
        <v>779</v>
      </c>
      <c r="E2606" s="793" t="s">
        <v>662</v>
      </c>
      <c r="F2606" s="793" t="s">
        <v>832</v>
      </c>
      <c r="G2606" s="793" t="s">
        <v>833</v>
      </c>
      <c r="H2606" s="793" t="s">
        <v>834</v>
      </c>
      <c r="I2606" s="794">
        <v>4.6544024308380243E-3</v>
      </c>
      <c r="J2606" s="794">
        <v>2.6871151606443204</v>
      </c>
      <c r="K2606" s="771"/>
    </row>
    <row r="2607" spans="1:11" ht="18.75" customHeight="1" outlineLevel="2">
      <c r="A2607" s="791" t="s">
        <v>776</v>
      </c>
      <c r="B2607" s="791" t="s">
        <v>1033</v>
      </c>
      <c r="C2607" s="791" t="s">
        <v>1009</v>
      </c>
      <c r="D2607" s="792" t="s">
        <v>779</v>
      </c>
      <c r="E2607" s="793" t="s">
        <v>662</v>
      </c>
      <c r="F2607" s="793" t="s">
        <v>835</v>
      </c>
      <c r="G2607" s="793" t="s">
        <v>799</v>
      </c>
      <c r="H2607" s="793" t="s">
        <v>800</v>
      </c>
      <c r="I2607" s="794">
        <v>3.9610716462608289E-2</v>
      </c>
      <c r="J2607" s="794">
        <v>28.011373480182467</v>
      </c>
      <c r="K2607" s="771"/>
    </row>
    <row r="2608" spans="1:11" ht="18.75" customHeight="1" outlineLevel="2">
      <c r="A2608" s="791" t="s">
        <v>776</v>
      </c>
      <c r="B2608" s="791" t="s">
        <v>1033</v>
      </c>
      <c r="C2608" s="791" t="s">
        <v>1009</v>
      </c>
      <c r="D2608" s="792" t="s">
        <v>779</v>
      </c>
      <c r="E2608" s="793" t="s">
        <v>662</v>
      </c>
      <c r="F2608" s="793" t="s">
        <v>836</v>
      </c>
      <c r="G2608" s="793" t="s">
        <v>799</v>
      </c>
      <c r="H2608" s="793" t="s">
        <v>800</v>
      </c>
      <c r="I2608" s="794">
        <v>0.29189333755861469</v>
      </c>
      <c r="J2608" s="794">
        <v>266.29801724204191</v>
      </c>
      <c r="K2608" s="771"/>
    </row>
    <row r="2609" spans="1:11" ht="18.75" customHeight="1" outlineLevel="2">
      <c r="A2609" s="791" t="s">
        <v>776</v>
      </c>
      <c r="B2609" s="791" t="s">
        <v>1033</v>
      </c>
      <c r="C2609" s="791" t="s">
        <v>1009</v>
      </c>
      <c r="D2609" s="792" t="s">
        <v>779</v>
      </c>
      <c r="E2609" s="793" t="s">
        <v>662</v>
      </c>
      <c r="F2609" s="793" t="s">
        <v>837</v>
      </c>
      <c r="G2609" s="793" t="s">
        <v>799</v>
      </c>
      <c r="H2609" s="793" t="s">
        <v>800</v>
      </c>
      <c r="I2609" s="794">
        <v>0.47981061007127757</v>
      </c>
      <c r="J2609" s="794">
        <v>637.64921600996865</v>
      </c>
      <c r="K2609" s="771"/>
    </row>
    <row r="2610" spans="1:11" ht="18.75" customHeight="1" outlineLevel="2">
      <c r="A2610" s="791" t="s">
        <v>776</v>
      </c>
      <c r="B2610" s="791" t="s">
        <v>1033</v>
      </c>
      <c r="C2610" s="791" t="s">
        <v>1009</v>
      </c>
      <c r="D2610" s="792" t="s">
        <v>779</v>
      </c>
      <c r="E2610" s="793" t="s">
        <v>662</v>
      </c>
      <c r="F2610" s="793" t="s">
        <v>838</v>
      </c>
      <c r="G2610" s="793" t="s">
        <v>799</v>
      </c>
      <c r="H2610" s="793" t="s">
        <v>800</v>
      </c>
      <c r="I2610" s="794">
        <v>3.9221575934222506E-2</v>
      </c>
      <c r="J2610" s="794">
        <v>35.717344048424302</v>
      </c>
      <c r="K2610" s="771"/>
    </row>
    <row r="2611" spans="1:11" ht="18.75" customHeight="1" outlineLevel="2">
      <c r="A2611" s="791" t="s">
        <v>776</v>
      </c>
      <c r="B2611" s="791" t="s">
        <v>1033</v>
      </c>
      <c r="C2611" s="791" t="s">
        <v>1009</v>
      </c>
      <c r="D2611" s="792" t="s">
        <v>779</v>
      </c>
      <c r="E2611" s="793" t="s">
        <v>662</v>
      </c>
      <c r="F2611" s="793" t="s">
        <v>839</v>
      </c>
      <c r="G2611" s="793" t="s">
        <v>782</v>
      </c>
      <c r="H2611" s="793" t="s">
        <v>804</v>
      </c>
      <c r="I2611" s="794">
        <v>1.1346968244115246E-2</v>
      </c>
      <c r="J2611" s="794">
        <v>18.486334190628433</v>
      </c>
      <c r="K2611" s="771"/>
    </row>
    <row r="2612" spans="1:11" ht="18.75" customHeight="1" outlineLevel="2">
      <c r="A2612" s="791" t="s">
        <v>776</v>
      </c>
      <c r="B2612" s="791" t="s">
        <v>1033</v>
      </c>
      <c r="C2612" s="791" t="s">
        <v>1009</v>
      </c>
      <c r="D2612" s="792" t="s">
        <v>779</v>
      </c>
      <c r="E2612" s="793" t="s">
        <v>662</v>
      </c>
      <c r="F2612" s="793" t="s">
        <v>840</v>
      </c>
      <c r="G2612" s="793" t="s">
        <v>782</v>
      </c>
      <c r="H2612" s="793" t="s">
        <v>804</v>
      </c>
      <c r="I2612" s="794">
        <v>9.0672084849729539E-5</v>
      </c>
      <c r="J2612" s="794">
        <v>0.13798436518621357</v>
      </c>
      <c r="K2612" s="771"/>
    </row>
    <row r="2613" spans="1:11" ht="18.75" customHeight="1" outlineLevel="2">
      <c r="A2613" s="791" t="s">
        <v>776</v>
      </c>
      <c r="B2613" s="791" t="s">
        <v>1033</v>
      </c>
      <c r="C2613" s="791" t="s">
        <v>1009</v>
      </c>
      <c r="D2613" s="792" t="s">
        <v>779</v>
      </c>
      <c r="E2613" s="793" t="s">
        <v>662</v>
      </c>
      <c r="F2613" s="793" t="s">
        <v>841</v>
      </c>
      <c r="G2613" s="793" t="s">
        <v>782</v>
      </c>
      <c r="H2613" s="793" t="s">
        <v>804</v>
      </c>
      <c r="I2613" s="794">
        <v>2.4516328589229523E-2</v>
      </c>
      <c r="J2613" s="794">
        <v>34.728845890389373</v>
      </c>
      <c r="K2613" s="771"/>
    </row>
    <row r="2614" spans="1:11" ht="18.75" customHeight="1" outlineLevel="2">
      <c r="A2614" s="791" t="s">
        <v>776</v>
      </c>
      <c r="B2614" s="791" t="s">
        <v>1033</v>
      </c>
      <c r="C2614" s="791" t="s">
        <v>1009</v>
      </c>
      <c r="D2614" s="792" t="s">
        <v>779</v>
      </c>
      <c r="E2614" s="793" t="s">
        <v>662</v>
      </c>
      <c r="F2614" s="793" t="s">
        <v>842</v>
      </c>
      <c r="G2614" s="793" t="s">
        <v>782</v>
      </c>
      <c r="H2614" s="793" t="s">
        <v>804</v>
      </c>
      <c r="I2614" s="794">
        <v>2.0006168931906109E-2</v>
      </c>
      <c r="J2614" s="794">
        <v>32.696606503840258</v>
      </c>
      <c r="K2614" s="771"/>
    </row>
    <row r="2615" spans="1:11" ht="18.75" customHeight="1" outlineLevel="2">
      <c r="A2615" s="791" t="s">
        <v>776</v>
      </c>
      <c r="B2615" s="791" t="s">
        <v>1033</v>
      </c>
      <c r="C2615" s="791" t="s">
        <v>1009</v>
      </c>
      <c r="D2615" s="792" t="s">
        <v>779</v>
      </c>
      <c r="E2615" s="793" t="s">
        <v>662</v>
      </c>
      <c r="F2615" s="793" t="s">
        <v>843</v>
      </c>
      <c r="G2615" s="793" t="s">
        <v>782</v>
      </c>
      <c r="H2615" s="793" t="s">
        <v>804</v>
      </c>
      <c r="I2615" s="794">
        <v>4.4740309795383869E-2</v>
      </c>
      <c r="J2615" s="794">
        <v>65.252377882617452</v>
      </c>
      <c r="K2615" s="771"/>
    </row>
    <row r="2616" spans="1:11" ht="18.75" customHeight="1" outlineLevel="2">
      <c r="A2616" s="791" t="s">
        <v>776</v>
      </c>
      <c r="B2616" s="791" t="s">
        <v>1033</v>
      </c>
      <c r="C2616" s="791" t="s">
        <v>1009</v>
      </c>
      <c r="D2616" s="792" t="s">
        <v>779</v>
      </c>
      <c r="E2616" s="793" t="s">
        <v>662</v>
      </c>
      <c r="F2616" s="793" t="s">
        <v>844</v>
      </c>
      <c r="G2616" s="793" t="s">
        <v>782</v>
      </c>
      <c r="H2616" s="793" t="s">
        <v>804</v>
      </c>
      <c r="I2616" s="794">
        <v>1.9409390527609316E-2</v>
      </c>
      <c r="J2616" s="794">
        <v>27.476081693798776</v>
      </c>
      <c r="K2616" s="771"/>
    </row>
    <row r="2617" spans="1:11" ht="18.75" customHeight="1" outlineLevel="2">
      <c r="A2617" s="791" t="s">
        <v>776</v>
      </c>
      <c r="B2617" s="791" t="s">
        <v>1033</v>
      </c>
      <c r="C2617" s="791" t="s">
        <v>1009</v>
      </c>
      <c r="D2617" s="792" t="s">
        <v>779</v>
      </c>
      <c r="E2617" s="793" t="s">
        <v>662</v>
      </c>
      <c r="F2617" s="793" t="s">
        <v>845</v>
      </c>
      <c r="G2617" s="793" t="s">
        <v>782</v>
      </c>
      <c r="H2617" s="793" t="s">
        <v>804</v>
      </c>
      <c r="I2617" s="794">
        <v>1.0570685049859424E-3</v>
      </c>
      <c r="J2617" s="794">
        <v>1.432002929511357</v>
      </c>
      <c r="K2617" s="771"/>
    </row>
    <row r="2618" spans="1:11" ht="18.75" customHeight="1" outlineLevel="2">
      <c r="A2618" s="791" t="s">
        <v>776</v>
      </c>
      <c r="B2618" s="791" t="s">
        <v>1033</v>
      </c>
      <c r="C2618" s="791" t="s">
        <v>1009</v>
      </c>
      <c r="D2618" s="792" t="s">
        <v>779</v>
      </c>
      <c r="E2618" s="793" t="s">
        <v>662</v>
      </c>
      <c r="F2618" s="793" t="s">
        <v>846</v>
      </c>
      <c r="G2618" s="793" t="s">
        <v>782</v>
      </c>
      <c r="H2618" s="793" t="s">
        <v>804</v>
      </c>
      <c r="I2618" s="794">
        <v>3.6785600389553058E-2</v>
      </c>
      <c r="J2618" s="794">
        <v>57.498997556283278</v>
      </c>
      <c r="K2618" s="771"/>
    </row>
    <row r="2619" spans="1:11" ht="18.75" customHeight="1" outlineLevel="2">
      <c r="A2619" s="791" t="s">
        <v>776</v>
      </c>
      <c r="B2619" s="791" t="s">
        <v>1033</v>
      </c>
      <c r="C2619" s="791" t="s">
        <v>1009</v>
      </c>
      <c r="D2619" s="792" t="s">
        <v>779</v>
      </c>
      <c r="E2619" s="793" t="s">
        <v>662</v>
      </c>
      <c r="F2619" s="793" t="s">
        <v>847</v>
      </c>
      <c r="G2619" s="793" t="s">
        <v>782</v>
      </c>
      <c r="H2619" s="793" t="s">
        <v>804</v>
      </c>
      <c r="I2619" s="794">
        <v>1.7533653229423712E-2</v>
      </c>
      <c r="J2619" s="794">
        <v>21.32534479912308</v>
      </c>
      <c r="K2619" s="771"/>
    </row>
    <row r="2620" spans="1:11" ht="18.75" customHeight="1" outlineLevel="2">
      <c r="A2620" s="791" t="s">
        <v>776</v>
      </c>
      <c r="B2620" s="791" t="s">
        <v>1033</v>
      </c>
      <c r="C2620" s="791" t="s">
        <v>1009</v>
      </c>
      <c r="D2620" s="792" t="s">
        <v>779</v>
      </c>
      <c r="E2620" s="793" t="s">
        <v>662</v>
      </c>
      <c r="F2620" s="793" t="s">
        <v>848</v>
      </c>
      <c r="G2620" s="793" t="s">
        <v>782</v>
      </c>
      <c r="H2620" s="793" t="s">
        <v>804</v>
      </c>
      <c r="I2620" s="794">
        <v>8.2871405539340443E-2</v>
      </c>
      <c r="J2620" s="794">
        <v>119.815385581985</v>
      </c>
      <c r="K2620" s="771"/>
    </row>
    <row r="2621" spans="1:11" ht="18.75" customHeight="1" outlineLevel="2">
      <c r="A2621" s="791" t="s">
        <v>776</v>
      </c>
      <c r="B2621" s="791" t="s">
        <v>1033</v>
      </c>
      <c r="C2621" s="791" t="s">
        <v>1009</v>
      </c>
      <c r="D2621" s="792" t="s">
        <v>779</v>
      </c>
      <c r="E2621" s="793" t="s">
        <v>662</v>
      </c>
      <c r="F2621" s="793" t="s">
        <v>849</v>
      </c>
      <c r="G2621" s="793" t="s">
        <v>782</v>
      </c>
      <c r="H2621" s="793" t="s">
        <v>804</v>
      </c>
      <c r="I2621" s="794">
        <v>4.2009219013561652E-2</v>
      </c>
      <c r="J2621" s="794">
        <v>57.538626276985212</v>
      </c>
      <c r="K2621" s="771"/>
    </row>
    <row r="2622" spans="1:11" ht="18.75" customHeight="1" outlineLevel="2">
      <c r="A2622" s="791" t="s">
        <v>776</v>
      </c>
      <c r="B2622" s="791" t="s">
        <v>1033</v>
      </c>
      <c r="C2622" s="791" t="s">
        <v>1009</v>
      </c>
      <c r="D2622" s="792" t="s">
        <v>779</v>
      </c>
      <c r="E2622" s="793" t="s">
        <v>662</v>
      </c>
      <c r="F2622" s="793" t="s">
        <v>850</v>
      </c>
      <c r="G2622" s="793" t="s">
        <v>782</v>
      </c>
      <c r="H2622" s="793" t="s">
        <v>804</v>
      </c>
      <c r="I2622" s="794">
        <v>3.3204875052583131E-3</v>
      </c>
      <c r="J2622" s="794">
        <v>4.6346619373335578</v>
      </c>
      <c r="K2622" s="771"/>
    </row>
    <row r="2623" spans="1:11" ht="18.75" customHeight="1" outlineLevel="2">
      <c r="A2623" s="791" t="s">
        <v>776</v>
      </c>
      <c r="B2623" s="791" t="s">
        <v>1033</v>
      </c>
      <c r="C2623" s="791" t="s">
        <v>1009</v>
      </c>
      <c r="D2623" s="792" t="s">
        <v>779</v>
      </c>
      <c r="E2623" s="793" t="s">
        <v>662</v>
      </c>
      <c r="F2623" s="793" t="s">
        <v>851</v>
      </c>
      <c r="G2623" s="793" t="s">
        <v>782</v>
      </c>
      <c r="H2623" s="793" t="s">
        <v>804</v>
      </c>
      <c r="I2623" s="794">
        <v>5.4525232707849144E-3</v>
      </c>
      <c r="J2623" s="794">
        <v>7.7827588020355201</v>
      </c>
      <c r="K2623" s="771"/>
    </row>
    <row r="2624" spans="1:11" ht="18.75" customHeight="1" outlineLevel="2">
      <c r="A2624" s="791" t="s">
        <v>776</v>
      </c>
      <c r="B2624" s="791" t="s">
        <v>1033</v>
      </c>
      <c r="C2624" s="791" t="s">
        <v>1009</v>
      </c>
      <c r="D2624" s="792" t="s">
        <v>779</v>
      </c>
      <c r="E2624" s="793" t="s">
        <v>662</v>
      </c>
      <c r="F2624" s="793" t="s">
        <v>852</v>
      </c>
      <c r="G2624" s="793" t="s">
        <v>782</v>
      </c>
      <c r="H2624" s="793" t="s">
        <v>804</v>
      </c>
      <c r="I2624" s="794">
        <v>2.387030014537701E-3</v>
      </c>
      <c r="J2624" s="794">
        <v>6.9545326916279055</v>
      </c>
      <c r="K2624" s="771"/>
    </row>
    <row r="2625" spans="1:11" ht="18.75" customHeight="1" outlineLevel="2">
      <c r="A2625" s="791" t="s">
        <v>776</v>
      </c>
      <c r="B2625" s="791" t="s">
        <v>1033</v>
      </c>
      <c r="C2625" s="791" t="s">
        <v>1009</v>
      </c>
      <c r="D2625" s="792" t="s">
        <v>779</v>
      </c>
      <c r="E2625" s="793" t="s">
        <v>662</v>
      </c>
      <c r="F2625" s="793" t="s">
        <v>853</v>
      </c>
      <c r="G2625" s="793" t="s">
        <v>782</v>
      </c>
      <c r="H2625" s="793" t="s">
        <v>804</v>
      </c>
      <c r="I2625" s="794">
        <v>1.9213757177928494E-3</v>
      </c>
      <c r="J2625" s="794">
        <v>16.494949493180815</v>
      </c>
      <c r="K2625" s="771"/>
    </row>
    <row r="2626" spans="1:11" ht="18.75" customHeight="1" outlineLevel="2">
      <c r="A2626" s="791" t="s">
        <v>776</v>
      </c>
      <c r="B2626" s="791" t="s">
        <v>1033</v>
      </c>
      <c r="C2626" s="791" t="s">
        <v>1009</v>
      </c>
      <c r="D2626" s="792" t="s">
        <v>779</v>
      </c>
      <c r="E2626" s="793" t="s">
        <v>662</v>
      </c>
      <c r="F2626" s="793" t="s">
        <v>854</v>
      </c>
      <c r="G2626" s="793" t="s">
        <v>782</v>
      </c>
      <c r="H2626" s="793" t="s">
        <v>804</v>
      </c>
      <c r="I2626" s="794">
        <v>2.6146257816906614E-2</v>
      </c>
      <c r="J2626" s="794">
        <v>39.33100812856874</v>
      </c>
      <c r="K2626" s="771"/>
    </row>
    <row r="2627" spans="1:11" ht="18.75" customHeight="1" outlineLevel="2">
      <c r="A2627" s="791" t="s">
        <v>776</v>
      </c>
      <c r="B2627" s="791" t="s">
        <v>1033</v>
      </c>
      <c r="C2627" s="791" t="s">
        <v>1009</v>
      </c>
      <c r="D2627" s="792" t="s">
        <v>779</v>
      </c>
      <c r="E2627" s="793" t="s">
        <v>662</v>
      </c>
      <c r="F2627" s="793" t="s">
        <v>855</v>
      </c>
      <c r="G2627" s="793" t="s">
        <v>782</v>
      </c>
      <c r="H2627" s="793" t="s">
        <v>804</v>
      </c>
      <c r="I2627" s="794">
        <v>1.8664068934817479E-2</v>
      </c>
      <c r="J2627" s="794">
        <v>27.412157677408359</v>
      </c>
      <c r="K2627" s="771"/>
    </row>
    <row r="2628" spans="1:11" ht="18.75" customHeight="1" outlineLevel="2">
      <c r="A2628" s="791" t="s">
        <v>776</v>
      </c>
      <c r="B2628" s="791" t="s">
        <v>1033</v>
      </c>
      <c r="C2628" s="791" t="s">
        <v>1009</v>
      </c>
      <c r="D2628" s="792" t="s">
        <v>779</v>
      </c>
      <c r="E2628" s="793" t="s">
        <v>662</v>
      </c>
      <c r="F2628" s="793" t="s">
        <v>856</v>
      </c>
      <c r="G2628" s="793" t="s">
        <v>782</v>
      </c>
      <c r="H2628" s="793" t="s">
        <v>804</v>
      </c>
      <c r="I2628" s="794">
        <v>7.3315897204285375E-3</v>
      </c>
      <c r="J2628" s="794">
        <v>8.9819864442757034</v>
      </c>
      <c r="K2628" s="771"/>
    </row>
    <row r="2629" spans="1:11" ht="18.75" customHeight="1" outlineLevel="2">
      <c r="A2629" s="791" t="s">
        <v>776</v>
      </c>
      <c r="B2629" s="791" t="s">
        <v>1033</v>
      </c>
      <c r="C2629" s="791" t="s">
        <v>1009</v>
      </c>
      <c r="D2629" s="792" t="s">
        <v>779</v>
      </c>
      <c r="E2629" s="793" t="s">
        <v>662</v>
      </c>
      <c r="F2629" s="793" t="s">
        <v>857</v>
      </c>
      <c r="G2629" s="793" t="s">
        <v>782</v>
      </c>
      <c r="H2629" s="793" t="s">
        <v>804</v>
      </c>
      <c r="I2629" s="794">
        <v>6.1006882217962471E-3</v>
      </c>
      <c r="J2629" s="794">
        <v>6.5631548917513083</v>
      </c>
      <c r="K2629" s="771"/>
    </row>
    <row r="2630" spans="1:11" ht="18.75" customHeight="1" outlineLevel="2">
      <c r="A2630" s="791" t="s">
        <v>776</v>
      </c>
      <c r="B2630" s="791" t="s">
        <v>1033</v>
      </c>
      <c r="C2630" s="791" t="s">
        <v>1009</v>
      </c>
      <c r="D2630" s="792" t="s">
        <v>779</v>
      </c>
      <c r="E2630" s="793" t="s">
        <v>662</v>
      </c>
      <c r="F2630" s="793" t="s">
        <v>858</v>
      </c>
      <c r="G2630" s="793" t="s">
        <v>785</v>
      </c>
      <c r="H2630" s="793" t="s">
        <v>727</v>
      </c>
      <c r="I2630" s="794">
        <v>8.3197075011331154E-2</v>
      </c>
      <c r="J2630" s="794">
        <v>166.58403677423502</v>
      </c>
      <c r="K2630" s="771"/>
    </row>
    <row r="2631" spans="1:11" ht="18.75" customHeight="1" outlineLevel="2">
      <c r="A2631" s="791" t="s">
        <v>776</v>
      </c>
      <c r="B2631" s="791" t="s">
        <v>1033</v>
      </c>
      <c r="C2631" s="791" t="s">
        <v>1009</v>
      </c>
      <c r="D2631" s="792" t="s">
        <v>779</v>
      </c>
      <c r="E2631" s="793" t="s">
        <v>662</v>
      </c>
      <c r="F2631" s="793" t="s">
        <v>859</v>
      </c>
      <c r="G2631" s="793" t="s">
        <v>785</v>
      </c>
      <c r="H2631" s="793" t="s">
        <v>727</v>
      </c>
      <c r="I2631" s="794">
        <v>5.9779958678582795E-2</v>
      </c>
      <c r="J2631" s="794">
        <v>630.43754853040048</v>
      </c>
      <c r="K2631" s="771"/>
    </row>
    <row r="2632" spans="1:11" ht="18.75" customHeight="1" outlineLevel="2">
      <c r="A2632" s="791" t="s">
        <v>776</v>
      </c>
      <c r="B2632" s="791" t="s">
        <v>1033</v>
      </c>
      <c r="C2632" s="791" t="s">
        <v>1009</v>
      </c>
      <c r="D2632" s="792" t="s">
        <v>779</v>
      </c>
      <c r="E2632" s="793" t="s">
        <v>662</v>
      </c>
      <c r="F2632" s="793" t="s">
        <v>860</v>
      </c>
      <c r="G2632" s="793" t="s">
        <v>785</v>
      </c>
      <c r="H2632" s="793" t="s">
        <v>727</v>
      </c>
      <c r="I2632" s="794">
        <v>4.9607116218736709E-2</v>
      </c>
      <c r="J2632" s="794">
        <v>135.46964998165282</v>
      </c>
      <c r="K2632" s="771"/>
    </row>
    <row r="2633" spans="1:11" ht="18.75" customHeight="1" outlineLevel="2">
      <c r="A2633" s="791" t="s">
        <v>776</v>
      </c>
      <c r="B2633" s="791" t="s">
        <v>1033</v>
      </c>
      <c r="C2633" s="791" t="s">
        <v>1009</v>
      </c>
      <c r="D2633" s="792" t="s">
        <v>779</v>
      </c>
      <c r="E2633" s="793" t="s">
        <v>662</v>
      </c>
      <c r="F2633" s="793" t="s">
        <v>861</v>
      </c>
      <c r="G2633" s="793" t="s">
        <v>785</v>
      </c>
      <c r="H2633" s="793" t="s">
        <v>727</v>
      </c>
      <c r="I2633" s="794">
        <v>0.1908179439996025</v>
      </c>
      <c r="J2633" s="794">
        <v>254.44930921720911</v>
      </c>
      <c r="K2633" s="771"/>
    </row>
    <row r="2634" spans="1:11" ht="18.75" customHeight="1" outlineLevel="2">
      <c r="A2634" s="791" t="s">
        <v>776</v>
      </c>
      <c r="B2634" s="791" t="s">
        <v>1033</v>
      </c>
      <c r="C2634" s="791" t="s">
        <v>1009</v>
      </c>
      <c r="D2634" s="792" t="s">
        <v>779</v>
      </c>
      <c r="E2634" s="793" t="s">
        <v>662</v>
      </c>
      <c r="F2634" s="793" t="s">
        <v>862</v>
      </c>
      <c r="G2634" s="793" t="s">
        <v>785</v>
      </c>
      <c r="H2634" s="793" t="s">
        <v>727</v>
      </c>
      <c r="I2634" s="794">
        <v>5.3828461928287306E-3</v>
      </c>
      <c r="J2634" s="794">
        <v>11.675218286344466</v>
      </c>
      <c r="K2634" s="771"/>
    </row>
    <row r="2635" spans="1:11" ht="18.75" customHeight="1" outlineLevel="2">
      <c r="A2635" s="791" t="s">
        <v>776</v>
      </c>
      <c r="B2635" s="791" t="s">
        <v>1033</v>
      </c>
      <c r="C2635" s="791" t="s">
        <v>1009</v>
      </c>
      <c r="D2635" s="792" t="s">
        <v>779</v>
      </c>
      <c r="E2635" s="793" t="s">
        <v>662</v>
      </c>
      <c r="F2635" s="793" t="s">
        <v>863</v>
      </c>
      <c r="G2635" s="793" t="s">
        <v>785</v>
      </c>
      <c r="H2635" s="793" t="s">
        <v>727</v>
      </c>
      <c r="I2635" s="794">
        <v>5.7439958929926312E-3</v>
      </c>
      <c r="J2635" s="794">
        <v>8.5180921013288948</v>
      </c>
      <c r="K2635" s="771"/>
    </row>
    <row r="2636" spans="1:11" ht="18.75" customHeight="1" outlineLevel="2">
      <c r="A2636" s="791" t="s">
        <v>776</v>
      </c>
      <c r="B2636" s="791" t="s">
        <v>1033</v>
      </c>
      <c r="C2636" s="791" t="s">
        <v>1009</v>
      </c>
      <c r="D2636" s="792" t="s">
        <v>779</v>
      </c>
      <c r="E2636" s="793" t="s">
        <v>662</v>
      </c>
      <c r="F2636" s="793" t="s">
        <v>864</v>
      </c>
      <c r="G2636" s="793" t="s">
        <v>785</v>
      </c>
      <c r="H2636" s="793" t="s">
        <v>727</v>
      </c>
      <c r="I2636" s="794">
        <v>3.919453379264734E-3</v>
      </c>
      <c r="J2636" s="794">
        <v>55.677431284285987</v>
      </c>
      <c r="K2636" s="771"/>
    </row>
    <row r="2637" spans="1:11" ht="18.75" customHeight="1" outlineLevel="2">
      <c r="A2637" s="791" t="s">
        <v>776</v>
      </c>
      <c r="B2637" s="791" t="s">
        <v>1033</v>
      </c>
      <c r="C2637" s="791" t="s">
        <v>1009</v>
      </c>
      <c r="D2637" s="792" t="s">
        <v>779</v>
      </c>
      <c r="E2637" s="793" t="s">
        <v>662</v>
      </c>
      <c r="F2637" s="793" t="s">
        <v>865</v>
      </c>
      <c r="G2637" s="793" t="s">
        <v>813</v>
      </c>
      <c r="H2637" s="793" t="s">
        <v>814</v>
      </c>
      <c r="I2637" s="794">
        <v>1.3257544249561626</v>
      </c>
      <c r="J2637" s="794">
        <v>1416.4340574245928</v>
      </c>
      <c r="K2637" s="771"/>
    </row>
    <row r="2638" spans="1:11" ht="18.75" customHeight="1" outlineLevel="2">
      <c r="A2638" s="791" t="s">
        <v>776</v>
      </c>
      <c r="B2638" s="791" t="s">
        <v>1033</v>
      </c>
      <c r="C2638" s="791" t="s">
        <v>1009</v>
      </c>
      <c r="D2638" s="792" t="s">
        <v>779</v>
      </c>
      <c r="E2638" s="793" t="s">
        <v>662</v>
      </c>
      <c r="F2638" s="793" t="s">
        <v>866</v>
      </c>
      <c r="G2638" s="793" t="s">
        <v>813</v>
      </c>
      <c r="H2638" s="793" t="s">
        <v>814</v>
      </c>
      <c r="I2638" s="794">
        <v>2.4269259804843641</v>
      </c>
      <c r="J2638" s="794">
        <v>3289.508525517258</v>
      </c>
      <c r="K2638" s="771"/>
    </row>
    <row r="2639" spans="1:11" ht="18.75" customHeight="1" outlineLevel="2">
      <c r="A2639" s="791" t="s">
        <v>776</v>
      </c>
      <c r="B2639" s="791" t="s">
        <v>1033</v>
      </c>
      <c r="C2639" s="791" t="s">
        <v>1009</v>
      </c>
      <c r="D2639" s="792" t="s">
        <v>779</v>
      </c>
      <c r="E2639" s="793" t="s">
        <v>662</v>
      </c>
      <c r="F2639" s="793" t="s">
        <v>867</v>
      </c>
      <c r="G2639" s="793" t="s">
        <v>813</v>
      </c>
      <c r="H2639" s="793" t="s">
        <v>814</v>
      </c>
      <c r="I2639" s="794">
        <v>0.11412714112882112</v>
      </c>
      <c r="J2639" s="794">
        <v>121.8866022522791</v>
      </c>
      <c r="K2639" s="771"/>
    </row>
    <row r="2640" spans="1:11" ht="18.75" customHeight="1" outlineLevel="2">
      <c r="A2640" s="791" t="s">
        <v>776</v>
      </c>
      <c r="B2640" s="791" t="s">
        <v>1033</v>
      </c>
      <c r="C2640" s="791" t="s">
        <v>1009</v>
      </c>
      <c r="D2640" s="792" t="s">
        <v>779</v>
      </c>
      <c r="E2640" s="793" t="s">
        <v>662</v>
      </c>
      <c r="F2640" s="793" t="s">
        <v>868</v>
      </c>
      <c r="G2640" s="793" t="s">
        <v>813</v>
      </c>
      <c r="H2640" s="793" t="s">
        <v>814</v>
      </c>
      <c r="I2640" s="794">
        <v>1.5466114386795142</v>
      </c>
      <c r="J2640" s="794">
        <v>1951.2168295118754</v>
      </c>
      <c r="K2640" s="771"/>
    </row>
    <row r="2641" spans="1:11" ht="18.75" customHeight="1" outlineLevel="2">
      <c r="A2641" s="791" t="s">
        <v>776</v>
      </c>
      <c r="B2641" s="791" t="s">
        <v>1033</v>
      </c>
      <c r="C2641" s="791" t="s">
        <v>1009</v>
      </c>
      <c r="D2641" s="792" t="s">
        <v>779</v>
      </c>
      <c r="E2641" s="793" t="s">
        <v>662</v>
      </c>
      <c r="F2641" s="793" t="s">
        <v>869</v>
      </c>
      <c r="G2641" s="793" t="s">
        <v>813</v>
      </c>
      <c r="H2641" s="793" t="s">
        <v>814</v>
      </c>
      <c r="I2641" s="794">
        <v>6.2171447146238895E-3</v>
      </c>
      <c r="J2641" s="794">
        <v>7.8735585997777866</v>
      </c>
      <c r="K2641" s="771"/>
    </row>
    <row r="2642" spans="1:11" ht="18.75" customHeight="1" outlineLevel="2">
      <c r="A2642" s="791" t="s">
        <v>776</v>
      </c>
      <c r="B2642" s="791" t="s">
        <v>1033</v>
      </c>
      <c r="C2642" s="791" t="s">
        <v>1009</v>
      </c>
      <c r="D2642" s="792" t="s">
        <v>779</v>
      </c>
      <c r="E2642" s="793" t="s">
        <v>662</v>
      </c>
      <c r="F2642" s="793" t="s">
        <v>870</v>
      </c>
      <c r="G2642" s="793" t="s">
        <v>813</v>
      </c>
      <c r="H2642" s="793" t="s">
        <v>814</v>
      </c>
      <c r="I2642" s="794">
        <v>5.3880904380749585E-2</v>
      </c>
      <c r="J2642" s="794">
        <v>76.193260172322482</v>
      </c>
      <c r="K2642" s="771"/>
    </row>
    <row r="2643" spans="1:11" ht="18.75" customHeight="1" outlineLevel="2">
      <c r="A2643" s="791" t="s">
        <v>776</v>
      </c>
      <c r="B2643" s="791" t="s">
        <v>1033</v>
      </c>
      <c r="C2643" s="791" t="s">
        <v>1009</v>
      </c>
      <c r="D2643" s="792" t="s">
        <v>779</v>
      </c>
      <c r="E2643" s="793" t="s">
        <v>662</v>
      </c>
      <c r="F2643" s="793" t="s">
        <v>871</v>
      </c>
      <c r="G2643" s="793" t="s">
        <v>813</v>
      </c>
      <c r="H2643" s="793" t="s">
        <v>814</v>
      </c>
      <c r="I2643" s="794">
        <v>1.1840731166313199E-2</v>
      </c>
      <c r="J2643" s="794">
        <v>15.020978489270927</v>
      </c>
      <c r="K2643" s="771"/>
    </row>
    <row r="2644" spans="1:11" ht="18.75" customHeight="1" outlineLevel="2">
      <c r="A2644" s="791" t="s">
        <v>776</v>
      </c>
      <c r="B2644" s="791" t="s">
        <v>1033</v>
      </c>
      <c r="C2644" s="791" t="s">
        <v>1009</v>
      </c>
      <c r="D2644" s="792" t="s">
        <v>779</v>
      </c>
      <c r="E2644" s="793" t="s">
        <v>662</v>
      </c>
      <c r="F2644" s="793" t="s">
        <v>872</v>
      </c>
      <c r="G2644" s="793" t="s">
        <v>813</v>
      </c>
      <c r="H2644" s="793" t="s">
        <v>814</v>
      </c>
      <c r="I2644" s="794">
        <v>1.8414135706169734</v>
      </c>
      <c r="J2644" s="794">
        <v>3126.5613874622445</v>
      </c>
      <c r="K2644" s="771"/>
    </row>
    <row r="2645" spans="1:11" ht="18.75" customHeight="1" outlineLevel="2">
      <c r="A2645" s="791" t="s">
        <v>776</v>
      </c>
      <c r="B2645" s="791" t="s">
        <v>1033</v>
      </c>
      <c r="C2645" s="791" t="s">
        <v>1009</v>
      </c>
      <c r="D2645" s="792" t="s">
        <v>779</v>
      </c>
      <c r="E2645" s="793" t="s">
        <v>662</v>
      </c>
      <c r="F2645" s="793" t="s">
        <v>873</v>
      </c>
      <c r="G2645" s="793" t="s">
        <v>813</v>
      </c>
      <c r="H2645" s="793" t="s">
        <v>814</v>
      </c>
      <c r="I2645" s="794">
        <v>0.30161438123073547</v>
      </c>
      <c r="J2645" s="794">
        <v>160.30477161788983</v>
      </c>
      <c r="K2645" s="771"/>
    </row>
    <row r="2646" spans="1:11" ht="18.75" customHeight="1" outlineLevel="2">
      <c r="A2646" s="791" t="s">
        <v>776</v>
      </c>
      <c r="B2646" s="791" t="s">
        <v>1033</v>
      </c>
      <c r="C2646" s="791" t="s">
        <v>1009</v>
      </c>
      <c r="D2646" s="792" t="s">
        <v>779</v>
      </c>
      <c r="E2646" s="793" t="s">
        <v>662</v>
      </c>
      <c r="F2646" s="793" t="s">
        <v>874</v>
      </c>
      <c r="G2646" s="793" t="s">
        <v>813</v>
      </c>
      <c r="H2646" s="793" t="s">
        <v>814</v>
      </c>
      <c r="I2646" s="794">
        <v>2.3275743387113055</v>
      </c>
      <c r="J2646" s="794">
        <v>1236.935448628923</v>
      </c>
      <c r="K2646" s="771"/>
    </row>
    <row r="2647" spans="1:11" ht="18.75" customHeight="1" outlineLevel="2">
      <c r="A2647" s="791" t="s">
        <v>776</v>
      </c>
      <c r="B2647" s="791" t="s">
        <v>1033</v>
      </c>
      <c r="C2647" s="791" t="s">
        <v>1009</v>
      </c>
      <c r="D2647" s="792" t="s">
        <v>779</v>
      </c>
      <c r="E2647" s="793" t="s">
        <v>662</v>
      </c>
      <c r="F2647" s="793" t="s">
        <v>875</v>
      </c>
      <c r="G2647" s="793" t="s">
        <v>813</v>
      </c>
      <c r="H2647" s="793" t="s">
        <v>814</v>
      </c>
      <c r="I2647" s="794">
        <v>0.19753895798904286</v>
      </c>
      <c r="J2647" s="794">
        <v>287.68219021197569</v>
      </c>
      <c r="K2647" s="771"/>
    </row>
    <row r="2648" spans="1:11" ht="18.75" customHeight="1" outlineLevel="2">
      <c r="A2648" s="791" t="s">
        <v>776</v>
      </c>
      <c r="B2648" s="791" t="s">
        <v>1033</v>
      </c>
      <c r="C2648" s="791" t="s">
        <v>1009</v>
      </c>
      <c r="D2648" s="792" t="s">
        <v>779</v>
      </c>
      <c r="E2648" s="793" t="s">
        <v>662</v>
      </c>
      <c r="F2648" s="793" t="s">
        <v>876</v>
      </c>
      <c r="G2648" s="793" t="s">
        <v>813</v>
      </c>
      <c r="H2648" s="793" t="s">
        <v>814</v>
      </c>
      <c r="I2648" s="794">
        <v>0.27715556823035642</v>
      </c>
      <c r="J2648" s="794">
        <v>417.93065046780379</v>
      </c>
      <c r="K2648" s="771"/>
    </row>
    <row r="2649" spans="1:11" ht="18.75" customHeight="1" outlineLevel="2">
      <c r="A2649" s="791" t="s">
        <v>776</v>
      </c>
      <c r="B2649" s="791" t="s">
        <v>1033</v>
      </c>
      <c r="C2649" s="791" t="s">
        <v>1009</v>
      </c>
      <c r="D2649" s="792" t="s">
        <v>779</v>
      </c>
      <c r="E2649" s="793" t="s">
        <v>662</v>
      </c>
      <c r="F2649" s="793" t="s">
        <v>877</v>
      </c>
      <c r="G2649" s="793" t="s">
        <v>813</v>
      </c>
      <c r="H2649" s="793" t="s">
        <v>814</v>
      </c>
      <c r="I2649" s="794">
        <v>0.36566286133585268</v>
      </c>
      <c r="J2649" s="794">
        <v>473.05630054980554</v>
      </c>
      <c r="K2649" s="771"/>
    </row>
    <row r="2650" spans="1:11" ht="18.75" customHeight="1" outlineLevel="2">
      <c r="A2650" s="791" t="s">
        <v>776</v>
      </c>
      <c r="B2650" s="791" t="s">
        <v>1033</v>
      </c>
      <c r="C2650" s="791" t="s">
        <v>1009</v>
      </c>
      <c r="D2650" s="792" t="s">
        <v>779</v>
      </c>
      <c r="E2650" s="793" t="s">
        <v>662</v>
      </c>
      <c r="F2650" s="793" t="s">
        <v>878</v>
      </c>
      <c r="G2650" s="793" t="s">
        <v>813</v>
      </c>
      <c r="H2650" s="793" t="s">
        <v>814</v>
      </c>
      <c r="I2650" s="794">
        <v>0.1865851535014032</v>
      </c>
      <c r="J2650" s="794">
        <v>224.60433456891079</v>
      </c>
      <c r="K2650" s="771"/>
    </row>
    <row r="2651" spans="1:11" ht="18.75" customHeight="1" outlineLevel="2">
      <c r="A2651" s="791" t="s">
        <v>776</v>
      </c>
      <c r="B2651" s="791" t="s">
        <v>1033</v>
      </c>
      <c r="C2651" s="791" t="s">
        <v>1009</v>
      </c>
      <c r="D2651" s="792" t="s">
        <v>779</v>
      </c>
      <c r="E2651" s="793" t="s">
        <v>662</v>
      </c>
      <c r="F2651" s="793" t="s">
        <v>879</v>
      </c>
      <c r="G2651" s="793" t="s">
        <v>813</v>
      </c>
      <c r="H2651" s="793" t="s">
        <v>814</v>
      </c>
      <c r="I2651" s="794">
        <v>2.6418332885382885</v>
      </c>
      <c r="J2651" s="794">
        <v>3856.1455723926542</v>
      </c>
      <c r="K2651" s="771"/>
    </row>
    <row r="2652" spans="1:11" ht="18.75" customHeight="1" outlineLevel="2">
      <c r="A2652" s="791" t="s">
        <v>776</v>
      </c>
      <c r="B2652" s="791" t="s">
        <v>1033</v>
      </c>
      <c r="C2652" s="791" t="s">
        <v>1009</v>
      </c>
      <c r="D2652" s="792" t="s">
        <v>779</v>
      </c>
      <c r="E2652" s="793" t="s">
        <v>662</v>
      </c>
      <c r="F2652" s="793" t="s">
        <v>880</v>
      </c>
      <c r="G2652" s="793" t="s">
        <v>813</v>
      </c>
      <c r="H2652" s="793" t="s">
        <v>814</v>
      </c>
      <c r="I2652" s="794">
        <v>3.7657090185782978</v>
      </c>
      <c r="J2652" s="794">
        <v>5679.6940936847768</v>
      </c>
      <c r="K2652" s="771"/>
    </row>
    <row r="2653" spans="1:11" ht="18.75" customHeight="1" outlineLevel="2">
      <c r="A2653" s="791" t="s">
        <v>776</v>
      </c>
      <c r="B2653" s="791" t="s">
        <v>1033</v>
      </c>
      <c r="C2653" s="791" t="s">
        <v>1009</v>
      </c>
      <c r="D2653" s="792" t="s">
        <v>779</v>
      </c>
      <c r="E2653" s="793" t="s">
        <v>662</v>
      </c>
      <c r="F2653" s="793" t="s">
        <v>881</v>
      </c>
      <c r="G2653" s="793" t="s">
        <v>813</v>
      </c>
      <c r="H2653" s="793" t="s">
        <v>814</v>
      </c>
      <c r="I2653" s="794">
        <v>0.42137540501315496</v>
      </c>
      <c r="J2653" s="794">
        <v>948.36053058317907</v>
      </c>
      <c r="K2653" s="771"/>
    </row>
    <row r="2654" spans="1:11" ht="18.75" customHeight="1" outlineLevel="2">
      <c r="A2654" s="791" t="s">
        <v>776</v>
      </c>
      <c r="B2654" s="791" t="s">
        <v>1033</v>
      </c>
      <c r="C2654" s="791" t="s">
        <v>1009</v>
      </c>
      <c r="D2654" s="792" t="s">
        <v>779</v>
      </c>
      <c r="E2654" s="793" t="s">
        <v>662</v>
      </c>
      <c r="F2654" s="793" t="s">
        <v>882</v>
      </c>
      <c r="G2654" s="793" t="s">
        <v>813</v>
      </c>
      <c r="H2654" s="793" t="s">
        <v>814</v>
      </c>
      <c r="I2654" s="794">
        <v>11.598565388408854</v>
      </c>
      <c r="J2654" s="794">
        <v>18334.417231735617</v>
      </c>
      <c r="K2654" s="771"/>
    </row>
    <row r="2655" spans="1:11" ht="18.75" customHeight="1" outlineLevel="2">
      <c r="A2655" s="791" t="s">
        <v>776</v>
      </c>
      <c r="B2655" s="791" t="s">
        <v>1033</v>
      </c>
      <c r="C2655" s="791" t="s">
        <v>1009</v>
      </c>
      <c r="D2655" s="792" t="s">
        <v>779</v>
      </c>
      <c r="E2655" s="793" t="s">
        <v>662</v>
      </c>
      <c r="F2655" s="793" t="s">
        <v>883</v>
      </c>
      <c r="G2655" s="793" t="s">
        <v>813</v>
      </c>
      <c r="H2655" s="793" t="s">
        <v>814</v>
      </c>
      <c r="I2655" s="794">
        <v>0.12027140261629836</v>
      </c>
      <c r="J2655" s="794">
        <v>137.07222305820895</v>
      </c>
      <c r="K2655" s="771"/>
    </row>
    <row r="2656" spans="1:11" ht="18.75" customHeight="1" outlineLevel="2">
      <c r="A2656" s="791" t="s">
        <v>776</v>
      </c>
      <c r="B2656" s="791" t="s">
        <v>1033</v>
      </c>
      <c r="C2656" s="791" t="s">
        <v>1009</v>
      </c>
      <c r="D2656" s="792" t="s">
        <v>779</v>
      </c>
      <c r="E2656" s="793" t="s">
        <v>662</v>
      </c>
      <c r="F2656" s="793" t="s">
        <v>884</v>
      </c>
      <c r="G2656" s="793" t="s">
        <v>813</v>
      </c>
      <c r="H2656" s="793" t="s">
        <v>814</v>
      </c>
      <c r="I2656" s="794">
        <v>0.4867240367193777</v>
      </c>
      <c r="J2656" s="794">
        <v>563.38611599994977</v>
      </c>
      <c r="K2656" s="771"/>
    </row>
    <row r="2657" spans="1:11" ht="18.75" customHeight="1" outlineLevel="2">
      <c r="A2657" s="791" t="s">
        <v>776</v>
      </c>
      <c r="B2657" s="791" t="s">
        <v>1033</v>
      </c>
      <c r="C2657" s="791" t="s">
        <v>1009</v>
      </c>
      <c r="D2657" s="792" t="s">
        <v>779</v>
      </c>
      <c r="E2657" s="793" t="s">
        <v>662</v>
      </c>
      <c r="F2657" s="793" t="s">
        <v>885</v>
      </c>
      <c r="G2657" s="793" t="s">
        <v>791</v>
      </c>
      <c r="H2657" s="793" t="s">
        <v>826</v>
      </c>
      <c r="I2657" s="794">
        <v>2.4326723965858646E-4</v>
      </c>
      <c r="J2657" s="794">
        <v>0.35835485941526357</v>
      </c>
      <c r="K2657" s="771"/>
    </row>
    <row r="2658" spans="1:11" ht="18.75" customHeight="1" outlineLevel="2">
      <c r="A2658" s="791" t="s">
        <v>776</v>
      </c>
      <c r="B2658" s="791" t="s">
        <v>1033</v>
      </c>
      <c r="C2658" s="791" t="s">
        <v>1009</v>
      </c>
      <c r="D2658" s="792" t="s">
        <v>779</v>
      </c>
      <c r="E2658" s="793" t="s">
        <v>662</v>
      </c>
      <c r="F2658" s="793" t="s">
        <v>886</v>
      </c>
      <c r="G2658" s="793" t="s">
        <v>791</v>
      </c>
      <c r="H2658" s="793" t="s">
        <v>826</v>
      </c>
      <c r="I2658" s="794">
        <v>3.1833724919403658E-4</v>
      </c>
      <c r="J2658" s="794">
        <v>1.386704997675309</v>
      </c>
      <c r="K2658" s="771"/>
    </row>
    <row r="2659" spans="1:11" ht="18.75" customHeight="1" outlineLevel="2">
      <c r="A2659" s="791" t="s">
        <v>776</v>
      </c>
      <c r="B2659" s="791" t="s">
        <v>1033</v>
      </c>
      <c r="C2659" s="791" t="s">
        <v>1009</v>
      </c>
      <c r="D2659" s="792" t="s">
        <v>779</v>
      </c>
      <c r="E2659" s="793" t="s">
        <v>662</v>
      </c>
      <c r="F2659" s="793" t="s">
        <v>887</v>
      </c>
      <c r="G2659" s="793" t="s">
        <v>791</v>
      </c>
      <c r="H2659" s="793" t="s">
        <v>826</v>
      </c>
      <c r="I2659" s="794">
        <v>1.186899829795684E-5</v>
      </c>
      <c r="J2659" s="794">
        <v>1.1123779328685128E-2</v>
      </c>
      <c r="K2659" s="771"/>
    </row>
    <row r="2660" spans="1:11" ht="18.75" customHeight="1" outlineLevel="2">
      <c r="A2660" s="791" t="s">
        <v>776</v>
      </c>
      <c r="B2660" s="791" t="s">
        <v>1033</v>
      </c>
      <c r="C2660" s="791" t="s">
        <v>1009</v>
      </c>
      <c r="D2660" s="792" t="s">
        <v>779</v>
      </c>
      <c r="E2660" s="793" t="s">
        <v>662</v>
      </c>
      <c r="F2660" s="793" t="s">
        <v>888</v>
      </c>
      <c r="G2660" s="793" t="s">
        <v>791</v>
      </c>
      <c r="H2660" s="793" t="s">
        <v>826</v>
      </c>
      <c r="I2660" s="794">
        <v>1.0646298085350303E-3</v>
      </c>
      <c r="J2660" s="794">
        <v>0.99579753057402942</v>
      </c>
      <c r="K2660" s="771"/>
    </row>
    <row r="2661" spans="1:11" ht="18.75" customHeight="1" outlineLevel="2">
      <c r="A2661" s="791" t="s">
        <v>776</v>
      </c>
      <c r="B2661" s="791" t="s">
        <v>1033</v>
      </c>
      <c r="C2661" s="791" t="s">
        <v>1009</v>
      </c>
      <c r="D2661" s="792" t="s">
        <v>779</v>
      </c>
      <c r="E2661" s="793" t="s">
        <v>662</v>
      </c>
      <c r="F2661" s="793" t="s">
        <v>889</v>
      </c>
      <c r="G2661" s="793" t="s">
        <v>791</v>
      </c>
      <c r="H2661" s="793" t="s">
        <v>826</v>
      </c>
      <c r="I2661" s="794">
        <v>2.0467012857378544E-4</v>
      </c>
      <c r="J2661" s="794">
        <v>0.29462215710697182</v>
      </c>
      <c r="K2661" s="771"/>
    </row>
    <row r="2662" spans="1:11" ht="18.75" customHeight="1" outlineLevel="2">
      <c r="A2662" s="791" t="s">
        <v>776</v>
      </c>
      <c r="B2662" s="791" t="s">
        <v>1033</v>
      </c>
      <c r="C2662" s="791" t="s">
        <v>1009</v>
      </c>
      <c r="D2662" s="792" t="s">
        <v>779</v>
      </c>
      <c r="E2662" s="793" t="s">
        <v>662</v>
      </c>
      <c r="F2662" s="793" t="s">
        <v>890</v>
      </c>
      <c r="G2662" s="793" t="s">
        <v>791</v>
      </c>
      <c r="H2662" s="793" t="s">
        <v>826</v>
      </c>
      <c r="I2662" s="794">
        <v>2.9245107546487809E-3</v>
      </c>
      <c r="J2662" s="794">
        <v>3.2643979681662527</v>
      </c>
      <c r="K2662" s="771"/>
    </row>
    <row r="2663" spans="1:11" ht="18.75" customHeight="1" outlineLevel="2">
      <c r="A2663" s="791" t="s">
        <v>776</v>
      </c>
      <c r="B2663" s="791" t="s">
        <v>1033</v>
      </c>
      <c r="C2663" s="791" t="s">
        <v>1009</v>
      </c>
      <c r="D2663" s="792" t="s">
        <v>779</v>
      </c>
      <c r="E2663" s="793" t="s">
        <v>662</v>
      </c>
      <c r="F2663" s="793" t="s">
        <v>891</v>
      </c>
      <c r="G2663" s="793" t="s">
        <v>791</v>
      </c>
      <c r="H2663" s="793" t="s">
        <v>826</v>
      </c>
      <c r="I2663" s="794">
        <v>1.4970718936273214E-2</v>
      </c>
      <c r="J2663" s="794">
        <v>7.3184447394875027</v>
      </c>
      <c r="K2663" s="771"/>
    </row>
    <row r="2664" spans="1:11" ht="18.75" customHeight="1" outlineLevel="2">
      <c r="A2664" s="791" t="s">
        <v>776</v>
      </c>
      <c r="B2664" s="791" t="s">
        <v>1033</v>
      </c>
      <c r="C2664" s="791" t="s">
        <v>1009</v>
      </c>
      <c r="D2664" s="792" t="s">
        <v>779</v>
      </c>
      <c r="E2664" s="793" t="s">
        <v>662</v>
      </c>
      <c r="F2664" s="793" t="s">
        <v>892</v>
      </c>
      <c r="G2664" s="793" t="s">
        <v>791</v>
      </c>
      <c r="H2664" s="793" t="s">
        <v>826</v>
      </c>
      <c r="I2664" s="794">
        <v>1.6860462581904448E-3</v>
      </c>
      <c r="J2664" s="794">
        <v>1.5770370616919245</v>
      </c>
      <c r="K2664" s="771"/>
    </row>
    <row r="2665" spans="1:11" ht="18.75" customHeight="1" outlineLevel="2">
      <c r="A2665" s="791" t="s">
        <v>776</v>
      </c>
      <c r="B2665" s="791" t="s">
        <v>1033</v>
      </c>
      <c r="C2665" s="791" t="s">
        <v>1009</v>
      </c>
      <c r="D2665" s="792" t="s">
        <v>779</v>
      </c>
      <c r="E2665" s="793" t="s">
        <v>662</v>
      </c>
      <c r="F2665" s="793" t="s">
        <v>893</v>
      </c>
      <c r="G2665" s="793" t="s">
        <v>791</v>
      </c>
      <c r="H2665" s="793" t="s">
        <v>826</v>
      </c>
      <c r="I2665" s="794">
        <v>2.2135984035457613E-3</v>
      </c>
      <c r="J2665" s="794">
        <v>2.2504887736088364</v>
      </c>
      <c r="K2665" s="771"/>
    </row>
    <row r="2666" spans="1:11" ht="18.75" customHeight="1" outlineLevel="2">
      <c r="A2666" s="791" t="s">
        <v>776</v>
      </c>
      <c r="B2666" s="791" t="s">
        <v>1033</v>
      </c>
      <c r="C2666" s="791" t="s">
        <v>1009</v>
      </c>
      <c r="D2666" s="792" t="s">
        <v>779</v>
      </c>
      <c r="E2666" s="793" t="s">
        <v>662</v>
      </c>
      <c r="F2666" s="793" t="s">
        <v>894</v>
      </c>
      <c r="G2666" s="793" t="s">
        <v>791</v>
      </c>
      <c r="H2666" s="793" t="s">
        <v>826</v>
      </c>
      <c r="I2666" s="794">
        <v>2.652623864358719E-4</v>
      </c>
      <c r="J2666" s="794">
        <v>2.4051108301997837</v>
      </c>
      <c r="K2666" s="771"/>
    </row>
    <row r="2667" spans="1:11" ht="18.75" customHeight="1" outlineLevel="2">
      <c r="A2667" s="791" t="s">
        <v>776</v>
      </c>
      <c r="B2667" s="791" t="s">
        <v>1033</v>
      </c>
      <c r="C2667" s="791" t="s">
        <v>1009</v>
      </c>
      <c r="D2667" s="792" t="s">
        <v>779</v>
      </c>
      <c r="E2667" s="793" t="s">
        <v>662</v>
      </c>
      <c r="F2667" s="793" t="s">
        <v>895</v>
      </c>
      <c r="G2667" s="793" t="s">
        <v>794</v>
      </c>
      <c r="H2667" s="793" t="s">
        <v>828</v>
      </c>
      <c r="I2667" s="794">
        <v>3.8849195318498873</v>
      </c>
      <c r="J2667" s="794">
        <v>5378.7791607311683</v>
      </c>
      <c r="K2667" s="771"/>
    </row>
    <row r="2668" spans="1:11" ht="18.75" customHeight="1" outlineLevel="2">
      <c r="A2668" s="791" t="s">
        <v>776</v>
      </c>
      <c r="B2668" s="791" t="s">
        <v>1033</v>
      </c>
      <c r="C2668" s="791" t="s">
        <v>1009</v>
      </c>
      <c r="D2668" s="792" t="s">
        <v>779</v>
      </c>
      <c r="E2668" s="793" t="s">
        <v>662</v>
      </c>
      <c r="F2668" s="793" t="s">
        <v>896</v>
      </c>
      <c r="G2668" s="793" t="s">
        <v>794</v>
      </c>
      <c r="H2668" s="793" t="s">
        <v>828</v>
      </c>
      <c r="I2668" s="794">
        <v>0.91250020654814534</v>
      </c>
      <c r="J2668" s="794">
        <v>1345.7218849108535</v>
      </c>
      <c r="K2668" s="771"/>
    </row>
    <row r="2669" spans="1:11" ht="18.75" customHeight="1" outlineLevel="2">
      <c r="A2669" s="791" t="s">
        <v>776</v>
      </c>
      <c r="B2669" s="791" t="s">
        <v>1033</v>
      </c>
      <c r="C2669" s="791" t="s">
        <v>1009</v>
      </c>
      <c r="D2669" s="792" t="s">
        <v>779</v>
      </c>
      <c r="E2669" s="793" t="s">
        <v>662</v>
      </c>
      <c r="F2669" s="793" t="s">
        <v>897</v>
      </c>
      <c r="G2669" s="793" t="s">
        <v>794</v>
      </c>
      <c r="H2669" s="793" t="s">
        <v>828</v>
      </c>
      <c r="I2669" s="794">
        <v>0.42095905832683767</v>
      </c>
      <c r="J2669" s="794">
        <v>711.57358156317196</v>
      </c>
      <c r="K2669" s="771"/>
    </row>
    <row r="2670" spans="1:11" ht="18.75" customHeight="1" outlineLevel="2">
      <c r="A2670" s="791" t="s">
        <v>776</v>
      </c>
      <c r="B2670" s="791" t="s">
        <v>1033</v>
      </c>
      <c r="C2670" s="791" t="s">
        <v>1009</v>
      </c>
      <c r="D2670" s="792" t="s">
        <v>779</v>
      </c>
      <c r="E2670" s="793" t="s">
        <v>662</v>
      </c>
      <c r="F2670" s="793" t="s">
        <v>898</v>
      </c>
      <c r="G2670" s="793" t="s">
        <v>794</v>
      </c>
      <c r="H2670" s="793" t="s">
        <v>828</v>
      </c>
      <c r="I2670" s="794">
        <v>0.96998817662433934</v>
      </c>
      <c r="J2670" s="794">
        <v>1529.6904180855661</v>
      </c>
      <c r="K2670" s="771"/>
    </row>
    <row r="2671" spans="1:11" ht="18.75" customHeight="1" outlineLevel="2">
      <c r="A2671" s="791" t="s">
        <v>776</v>
      </c>
      <c r="B2671" s="791" t="s">
        <v>1033</v>
      </c>
      <c r="C2671" s="791" t="s">
        <v>1009</v>
      </c>
      <c r="D2671" s="792" t="s">
        <v>779</v>
      </c>
      <c r="E2671" s="793" t="s">
        <v>662</v>
      </c>
      <c r="F2671" s="793" t="s">
        <v>899</v>
      </c>
      <c r="G2671" s="793" t="s">
        <v>794</v>
      </c>
      <c r="H2671" s="793" t="s">
        <v>828</v>
      </c>
      <c r="I2671" s="794">
        <v>1.7087861369869226</v>
      </c>
      <c r="J2671" s="794">
        <v>2416.8702349190794</v>
      </c>
      <c r="K2671" s="771"/>
    </row>
    <row r="2672" spans="1:11" ht="18.75" customHeight="1" outlineLevel="2">
      <c r="A2672" s="791" t="s">
        <v>776</v>
      </c>
      <c r="B2672" s="791" t="s">
        <v>1033</v>
      </c>
      <c r="C2672" s="791" t="s">
        <v>1009</v>
      </c>
      <c r="D2672" s="792" t="s">
        <v>779</v>
      </c>
      <c r="E2672" s="793" t="s">
        <v>662</v>
      </c>
      <c r="F2672" s="793" t="s">
        <v>900</v>
      </c>
      <c r="G2672" s="793" t="s">
        <v>794</v>
      </c>
      <c r="H2672" s="793" t="s">
        <v>828</v>
      </c>
      <c r="I2672" s="794">
        <v>7.9163495494688818E-2</v>
      </c>
      <c r="J2672" s="794">
        <v>113.39558118074579</v>
      </c>
      <c r="K2672" s="771"/>
    </row>
    <row r="2673" spans="1:11" ht="18.75" customHeight="1" outlineLevel="2">
      <c r="A2673" s="791" t="s">
        <v>776</v>
      </c>
      <c r="B2673" s="791" t="s">
        <v>1033</v>
      </c>
      <c r="C2673" s="791" t="s">
        <v>1009</v>
      </c>
      <c r="D2673" s="792" t="s">
        <v>779</v>
      </c>
      <c r="E2673" s="793" t="s">
        <v>662</v>
      </c>
      <c r="F2673" s="793" t="s">
        <v>901</v>
      </c>
      <c r="G2673" s="793" t="s">
        <v>833</v>
      </c>
      <c r="H2673" s="793" t="s">
        <v>834</v>
      </c>
      <c r="I2673" s="794">
        <v>6.2134823335242458E-3</v>
      </c>
      <c r="J2673" s="794">
        <v>6.4755334690557378</v>
      </c>
      <c r="K2673" s="771"/>
    </row>
    <row r="2674" spans="1:11" ht="18.75" customHeight="1" outlineLevel="2">
      <c r="A2674" s="791" t="s">
        <v>776</v>
      </c>
      <c r="B2674" s="791" t="s">
        <v>1033</v>
      </c>
      <c r="C2674" s="791" t="s">
        <v>1009</v>
      </c>
      <c r="D2674" s="792" t="s">
        <v>779</v>
      </c>
      <c r="E2674" s="793" t="s">
        <v>662</v>
      </c>
      <c r="F2674" s="793" t="s">
        <v>902</v>
      </c>
      <c r="G2674" s="793" t="s">
        <v>833</v>
      </c>
      <c r="H2674" s="793" t="s">
        <v>834</v>
      </c>
      <c r="I2674" s="794">
        <v>5.4085633938298429E-5</v>
      </c>
      <c r="J2674" s="794">
        <v>6.9013930862777295E-2</v>
      </c>
      <c r="K2674" s="771"/>
    </row>
    <row r="2675" spans="1:11" ht="18.75" customHeight="1" outlineLevel="2">
      <c r="A2675" s="791" t="s">
        <v>776</v>
      </c>
      <c r="B2675" s="791" t="s">
        <v>1033</v>
      </c>
      <c r="C2675" s="791" t="s">
        <v>1009</v>
      </c>
      <c r="D2675" s="792" t="s">
        <v>779</v>
      </c>
      <c r="E2675" s="793" t="s">
        <v>662</v>
      </c>
      <c r="F2675" s="793" t="s">
        <v>1018</v>
      </c>
      <c r="G2675" s="793" t="s">
        <v>785</v>
      </c>
      <c r="H2675" s="793" t="s">
        <v>727</v>
      </c>
      <c r="I2675" s="794">
        <v>3.1872437804288853E-3</v>
      </c>
      <c r="J2675" s="794">
        <v>3.9338977159440196</v>
      </c>
      <c r="K2675" s="771"/>
    </row>
    <row r="2676" spans="1:11" ht="18.75" customHeight="1" outlineLevel="2">
      <c r="A2676" s="791" t="s">
        <v>776</v>
      </c>
      <c r="B2676" s="791" t="s">
        <v>1033</v>
      </c>
      <c r="C2676" s="791" t="s">
        <v>1009</v>
      </c>
      <c r="D2676" s="792" t="s">
        <v>779</v>
      </c>
      <c r="E2676" s="793" t="s">
        <v>662</v>
      </c>
      <c r="F2676" s="793" t="s">
        <v>903</v>
      </c>
      <c r="G2676" s="793" t="s">
        <v>904</v>
      </c>
      <c r="H2676" s="793" t="s">
        <v>905</v>
      </c>
      <c r="I2676" s="794">
        <v>0.22004993918552554</v>
      </c>
      <c r="J2676" s="794">
        <v>187.22254341975264</v>
      </c>
      <c r="K2676" s="771"/>
    </row>
    <row r="2677" spans="1:11" ht="18.75" customHeight="1" outlineLevel="2">
      <c r="A2677" s="791" t="s">
        <v>776</v>
      </c>
      <c r="B2677" s="791" t="s">
        <v>1033</v>
      </c>
      <c r="C2677" s="791" t="s">
        <v>1009</v>
      </c>
      <c r="D2677" s="792" t="s">
        <v>779</v>
      </c>
      <c r="E2677" s="793" t="s">
        <v>662</v>
      </c>
      <c r="F2677" s="793" t="s">
        <v>906</v>
      </c>
      <c r="G2677" s="793" t="s">
        <v>904</v>
      </c>
      <c r="H2677" s="793" t="s">
        <v>905</v>
      </c>
      <c r="I2677" s="794">
        <v>9.2621796181815944E-2</v>
      </c>
      <c r="J2677" s="794">
        <v>79.016603271673432</v>
      </c>
      <c r="K2677" s="771"/>
    </row>
    <row r="2678" spans="1:11" ht="18.75" customHeight="1" outlineLevel="2">
      <c r="A2678" s="791" t="s">
        <v>776</v>
      </c>
      <c r="B2678" s="791" t="s">
        <v>1033</v>
      </c>
      <c r="C2678" s="791" t="s">
        <v>1009</v>
      </c>
      <c r="D2678" s="792" t="s">
        <v>779</v>
      </c>
      <c r="E2678" s="793" t="s">
        <v>662</v>
      </c>
      <c r="F2678" s="793" t="s">
        <v>907</v>
      </c>
      <c r="G2678" s="793" t="s">
        <v>908</v>
      </c>
      <c r="H2678" s="793" t="s">
        <v>905</v>
      </c>
      <c r="I2678" s="794">
        <v>3.4743795156480434E-2</v>
      </c>
      <c r="J2678" s="794">
        <v>58.368140522872324</v>
      </c>
      <c r="K2678" s="771"/>
    </row>
    <row r="2679" spans="1:11" ht="18.75" customHeight="1" outlineLevel="2">
      <c r="A2679" s="791" t="s">
        <v>776</v>
      </c>
      <c r="B2679" s="791" t="s">
        <v>1033</v>
      </c>
      <c r="C2679" s="791" t="s">
        <v>1009</v>
      </c>
      <c r="D2679" s="792" t="s">
        <v>779</v>
      </c>
      <c r="E2679" s="793" t="s">
        <v>662</v>
      </c>
      <c r="F2679" s="793" t="s">
        <v>909</v>
      </c>
      <c r="G2679" s="793" t="s">
        <v>910</v>
      </c>
      <c r="H2679" s="793" t="s">
        <v>911</v>
      </c>
      <c r="I2679" s="794">
        <v>6.372020377208451E-3</v>
      </c>
      <c r="J2679" s="794">
        <v>9.4853468596286508</v>
      </c>
      <c r="K2679" s="771"/>
    </row>
    <row r="2680" spans="1:11" ht="18.75" customHeight="1" outlineLevel="2">
      <c r="A2680" s="791" t="s">
        <v>776</v>
      </c>
      <c r="B2680" s="791" t="s">
        <v>1033</v>
      </c>
      <c r="C2680" s="791" t="s">
        <v>1009</v>
      </c>
      <c r="D2680" s="792" t="s">
        <v>779</v>
      </c>
      <c r="E2680" s="793" t="s">
        <v>763</v>
      </c>
      <c r="F2680" s="793" t="s">
        <v>912</v>
      </c>
      <c r="G2680" s="793" t="s">
        <v>799</v>
      </c>
      <c r="H2680" s="793" t="s">
        <v>913</v>
      </c>
      <c r="I2680" s="794">
        <v>1.2817695450120514E-3</v>
      </c>
      <c r="J2680" s="794">
        <v>2.4546512025213971</v>
      </c>
      <c r="K2680" s="771"/>
    </row>
    <row r="2681" spans="1:11" ht="18.75" customHeight="1" outlineLevel="2">
      <c r="A2681" s="791" t="s">
        <v>776</v>
      </c>
      <c r="B2681" s="791" t="s">
        <v>1033</v>
      </c>
      <c r="C2681" s="791" t="s">
        <v>1009</v>
      </c>
      <c r="D2681" s="792" t="s">
        <v>779</v>
      </c>
      <c r="E2681" s="793" t="s">
        <v>763</v>
      </c>
      <c r="F2681" s="793" t="s">
        <v>914</v>
      </c>
      <c r="G2681" s="793" t="s">
        <v>782</v>
      </c>
      <c r="H2681" s="793" t="s">
        <v>913</v>
      </c>
      <c r="I2681" s="794">
        <v>5.8243774998616756E-4</v>
      </c>
      <c r="J2681" s="794">
        <v>2.7112443347791189</v>
      </c>
      <c r="K2681" s="771"/>
    </row>
    <row r="2682" spans="1:11" ht="18.75" customHeight="1" outlineLevel="2">
      <c r="A2682" s="791" t="s">
        <v>776</v>
      </c>
      <c r="B2682" s="791" t="s">
        <v>1033</v>
      </c>
      <c r="C2682" s="791" t="s">
        <v>1009</v>
      </c>
      <c r="D2682" s="792" t="s">
        <v>779</v>
      </c>
      <c r="E2682" s="793" t="s">
        <v>763</v>
      </c>
      <c r="F2682" s="793" t="s">
        <v>915</v>
      </c>
      <c r="G2682" s="793" t="s">
        <v>782</v>
      </c>
      <c r="H2682" s="793" t="s">
        <v>913</v>
      </c>
      <c r="I2682" s="794">
        <v>3.1237988704226809E-4</v>
      </c>
      <c r="J2682" s="794">
        <v>4.5341510763272268</v>
      </c>
      <c r="K2682" s="771"/>
    </row>
    <row r="2683" spans="1:11" ht="18.75" customHeight="1" outlineLevel="2">
      <c r="A2683" s="791" t="s">
        <v>776</v>
      </c>
      <c r="B2683" s="791" t="s">
        <v>1033</v>
      </c>
      <c r="C2683" s="791" t="s">
        <v>1009</v>
      </c>
      <c r="D2683" s="792" t="s">
        <v>779</v>
      </c>
      <c r="E2683" s="793" t="s">
        <v>763</v>
      </c>
      <c r="F2683" s="793" t="s">
        <v>916</v>
      </c>
      <c r="G2683" s="793" t="s">
        <v>782</v>
      </c>
      <c r="H2683" s="793" t="s">
        <v>913</v>
      </c>
      <c r="I2683" s="794">
        <v>4.631519895096755E-4</v>
      </c>
      <c r="J2683" s="794">
        <v>0.80072680624616699</v>
      </c>
      <c r="K2683" s="771"/>
    </row>
    <row r="2684" spans="1:11" ht="18.75" customHeight="1" outlineLevel="2">
      <c r="A2684" s="791" t="s">
        <v>776</v>
      </c>
      <c r="B2684" s="791" t="s">
        <v>1033</v>
      </c>
      <c r="C2684" s="791" t="s">
        <v>1009</v>
      </c>
      <c r="D2684" s="792" t="s">
        <v>779</v>
      </c>
      <c r="E2684" s="793" t="s">
        <v>763</v>
      </c>
      <c r="F2684" s="793" t="s">
        <v>917</v>
      </c>
      <c r="G2684" s="793" t="s">
        <v>782</v>
      </c>
      <c r="H2684" s="793" t="s">
        <v>913</v>
      </c>
      <c r="I2684" s="794">
        <v>8.4793464821954675E-5</v>
      </c>
      <c r="J2684" s="794">
        <v>0.4642179095056968</v>
      </c>
      <c r="K2684" s="771"/>
    </row>
    <row r="2685" spans="1:11" ht="18.75" customHeight="1" outlineLevel="2">
      <c r="A2685" s="791" t="s">
        <v>776</v>
      </c>
      <c r="B2685" s="791" t="s">
        <v>1033</v>
      </c>
      <c r="C2685" s="791" t="s">
        <v>1009</v>
      </c>
      <c r="D2685" s="792" t="s">
        <v>779</v>
      </c>
      <c r="E2685" s="793" t="s">
        <v>763</v>
      </c>
      <c r="F2685" s="793" t="s">
        <v>918</v>
      </c>
      <c r="G2685" s="793" t="s">
        <v>782</v>
      </c>
      <c r="H2685" s="793" t="s">
        <v>913</v>
      </c>
      <c r="I2685" s="794">
        <v>1.8767732673148697E-3</v>
      </c>
      <c r="J2685" s="794">
        <v>8.3848324553349372</v>
      </c>
      <c r="K2685" s="771"/>
    </row>
    <row r="2686" spans="1:11" ht="18.75" customHeight="1" outlineLevel="2">
      <c r="A2686" s="791" t="s">
        <v>776</v>
      </c>
      <c r="B2686" s="791" t="s">
        <v>1033</v>
      </c>
      <c r="C2686" s="791" t="s">
        <v>1009</v>
      </c>
      <c r="D2686" s="792" t="s">
        <v>779</v>
      </c>
      <c r="E2686" s="793" t="s">
        <v>763</v>
      </c>
      <c r="F2686" s="793" t="s">
        <v>919</v>
      </c>
      <c r="G2686" s="793" t="s">
        <v>782</v>
      </c>
      <c r="H2686" s="793" t="s">
        <v>913</v>
      </c>
      <c r="I2686" s="794">
        <v>3.5899307010727089E-3</v>
      </c>
      <c r="J2686" s="794">
        <v>4.2115229792619679</v>
      </c>
      <c r="K2686" s="771"/>
    </row>
    <row r="2687" spans="1:11" ht="18.75" customHeight="1" outlineLevel="2">
      <c r="A2687" s="791" t="s">
        <v>776</v>
      </c>
      <c r="B2687" s="791" t="s">
        <v>1033</v>
      </c>
      <c r="C2687" s="791" t="s">
        <v>1009</v>
      </c>
      <c r="D2687" s="792" t="s">
        <v>779</v>
      </c>
      <c r="E2687" s="793" t="s">
        <v>763</v>
      </c>
      <c r="F2687" s="793" t="s">
        <v>920</v>
      </c>
      <c r="G2687" s="793" t="s">
        <v>782</v>
      </c>
      <c r="H2687" s="793" t="s">
        <v>913</v>
      </c>
      <c r="I2687" s="794">
        <v>3.8991363453717804E-4</v>
      </c>
      <c r="J2687" s="794">
        <v>7.7575135587718371</v>
      </c>
      <c r="K2687" s="771"/>
    </row>
    <row r="2688" spans="1:11" ht="18.75" customHeight="1" outlineLevel="2">
      <c r="A2688" s="791" t="s">
        <v>776</v>
      </c>
      <c r="B2688" s="791" t="s">
        <v>1033</v>
      </c>
      <c r="C2688" s="791" t="s">
        <v>1009</v>
      </c>
      <c r="D2688" s="792" t="s">
        <v>779</v>
      </c>
      <c r="E2688" s="793" t="s">
        <v>763</v>
      </c>
      <c r="F2688" s="793" t="s">
        <v>921</v>
      </c>
      <c r="G2688" s="793" t="s">
        <v>782</v>
      </c>
      <c r="H2688" s="793" t="s">
        <v>913</v>
      </c>
      <c r="I2688" s="794">
        <v>1.8096887512983593E-3</v>
      </c>
      <c r="J2688" s="794">
        <v>3.1609338468222714</v>
      </c>
      <c r="K2688" s="771"/>
    </row>
    <row r="2689" spans="1:11" ht="18.75" customHeight="1" outlineLevel="2">
      <c r="A2689" s="791" t="s">
        <v>776</v>
      </c>
      <c r="B2689" s="791" t="s">
        <v>1033</v>
      </c>
      <c r="C2689" s="791" t="s">
        <v>1009</v>
      </c>
      <c r="D2689" s="792" t="s">
        <v>779</v>
      </c>
      <c r="E2689" s="793" t="s">
        <v>763</v>
      </c>
      <c r="F2689" s="793" t="s">
        <v>922</v>
      </c>
      <c r="G2689" s="793" t="s">
        <v>782</v>
      </c>
      <c r="H2689" s="793" t="s">
        <v>913</v>
      </c>
      <c r="I2689" s="794">
        <v>2.7052770340942783E-4</v>
      </c>
      <c r="J2689" s="794">
        <v>0.51807693049286352</v>
      </c>
      <c r="K2689" s="771"/>
    </row>
    <row r="2690" spans="1:11" ht="18.75" customHeight="1" outlineLevel="2">
      <c r="A2690" s="791" t="s">
        <v>776</v>
      </c>
      <c r="B2690" s="791" t="s">
        <v>1033</v>
      </c>
      <c r="C2690" s="791" t="s">
        <v>1009</v>
      </c>
      <c r="D2690" s="792" t="s">
        <v>779</v>
      </c>
      <c r="E2690" s="793" t="s">
        <v>763</v>
      </c>
      <c r="F2690" s="793" t="s">
        <v>923</v>
      </c>
      <c r="G2690" s="793" t="s">
        <v>782</v>
      </c>
      <c r="H2690" s="793" t="s">
        <v>913</v>
      </c>
      <c r="I2690" s="794">
        <v>1.4826299024351553E-3</v>
      </c>
      <c r="J2690" s="794">
        <v>5.387098119844298</v>
      </c>
      <c r="K2690" s="771"/>
    </row>
    <row r="2691" spans="1:11" ht="18.75" customHeight="1" outlineLevel="2">
      <c r="A2691" s="791" t="s">
        <v>776</v>
      </c>
      <c r="B2691" s="791" t="s">
        <v>1033</v>
      </c>
      <c r="C2691" s="791" t="s">
        <v>1009</v>
      </c>
      <c r="D2691" s="792" t="s">
        <v>779</v>
      </c>
      <c r="E2691" s="793" t="s">
        <v>763</v>
      </c>
      <c r="F2691" s="793" t="s">
        <v>924</v>
      </c>
      <c r="G2691" s="793" t="s">
        <v>782</v>
      </c>
      <c r="H2691" s="793" t="s">
        <v>913</v>
      </c>
      <c r="I2691" s="794">
        <v>1.2214454009293089E-3</v>
      </c>
      <c r="J2691" s="794">
        <v>13.008661437546033</v>
      </c>
      <c r="K2691" s="771"/>
    </row>
    <row r="2692" spans="1:11" ht="18.75" customHeight="1" outlineLevel="2">
      <c r="A2692" s="791" t="s">
        <v>776</v>
      </c>
      <c r="B2692" s="791" t="s">
        <v>1033</v>
      </c>
      <c r="C2692" s="791" t="s">
        <v>1009</v>
      </c>
      <c r="D2692" s="792" t="s">
        <v>779</v>
      </c>
      <c r="E2692" s="793" t="s">
        <v>763</v>
      </c>
      <c r="F2692" s="793" t="s">
        <v>925</v>
      </c>
      <c r="G2692" s="793" t="s">
        <v>782</v>
      </c>
      <c r="H2692" s="793" t="s">
        <v>913</v>
      </c>
      <c r="I2692" s="794">
        <v>8.5946404398614225E-5</v>
      </c>
      <c r="J2692" s="794">
        <v>1.3686812475672043</v>
      </c>
      <c r="K2692" s="771"/>
    </row>
    <row r="2693" spans="1:11" ht="18.75" customHeight="1" outlineLevel="2">
      <c r="A2693" s="791" t="s">
        <v>776</v>
      </c>
      <c r="B2693" s="791" t="s">
        <v>1033</v>
      </c>
      <c r="C2693" s="791" t="s">
        <v>1009</v>
      </c>
      <c r="D2693" s="792" t="s">
        <v>779</v>
      </c>
      <c r="E2693" s="793" t="s">
        <v>763</v>
      </c>
      <c r="F2693" s="793" t="s">
        <v>926</v>
      </c>
      <c r="G2693" s="793" t="s">
        <v>782</v>
      </c>
      <c r="H2693" s="793" t="s">
        <v>913</v>
      </c>
      <c r="I2693" s="794">
        <v>6.3737593316419072E-3</v>
      </c>
      <c r="J2693" s="794">
        <v>11.717538036012288</v>
      </c>
      <c r="K2693" s="771"/>
    </row>
    <row r="2694" spans="1:11" ht="18.75" customHeight="1" outlineLevel="2">
      <c r="A2694" s="791" t="s">
        <v>776</v>
      </c>
      <c r="B2694" s="791" t="s">
        <v>1033</v>
      </c>
      <c r="C2694" s="791" t="s">
        <v>1009</v>
      </c>
      <c r="D2694" s="792" t="s">
        <v>779</v>
      </c>
      <c r="E2694" s="793" t="s">
        <v>763</v>
      </c>
      <c r="F2694" s="793" t="s">
        <v>927</v>
      </c>
      <c r="G2694" s="793" t="s">
        <v>782</v>
      </c>
      <c r="H2694" s="793" t="s">
        <v>913</v>
      </c>
      <c r="I2694" s="794">
        <v>3.5527262052990082E-3</v>
      </c>
      <c r="J2694" s="794">
        <v>4.9175283521661859</v>
      </c>
      <c r="K2694" s="771"/>
    </row>
    <row r="2695" spans="1:11" ht="18.75" customHeight="1" outlineLevel="2">
      <c r="A2695" s="791" t="s">
        <v>776</v>
      </c>
      <c r="B2695" s="791" t="s">
        <v>1033</v>
      </c>
      <c r="C2695" s="791" t="s">
        <v>1009</v>
      </c>
      <c r="D2695" s="792" t="s">
        <v>779</v>
      </c>
      <c r="E2695" s="793" t="s">
        <v>763</v>
      </c>
      <c r="F2695" s="793" t="s">
        <v>928</v>
      </c>
      <c r="G2695" s="793" t="s">
        <v>785</v>
      </c>
      <c r="H2695" s="793" t="s">
        <v>913</v>
      </c>
      <c r="I2695" s="794">
        <v>2.929804823862274E-2</v>
      </c>
      <c r="J2695" s="794">
        <v>90.190748701195773</v>
      </c>
      <c r="K2695" s="771"/>
    </row>
    <row r="2696" spans="1:11" ht="18.75" customHeight="1" outlineLevel="2">
      <c r="A2696" s="791" t="s">
        <v>776</v>
      </c>
      <c r="B2696" s="791" t="s">
        <v>1033</v>
      </c>
      <c r="C2696" s="791" t="s">
        <v>1009</v>
      </c>
      <c r="D2696" s="792" t="s">
        <v>779</v>
      </c>
      <c r="E2696" s="793" t="s">
        <v>763</v>
      </c>
      <c r="F2696" s="793" t="s">
        <v>929</v>
      </c>
      <c r="G2696" s="793" t="s">
        <v>785</v>
      </c>
      <c r="H2696" s="793" t="s">
        <v>913</v>
      </c>
      <c r="I2696" s="794">
        <v>0.58246453651276875</v>
      </c>
      <c r="J2696" s="794">
        <v>8203.8379441333309</v>
      </c>
      <c r="K2696" s="771"/>
    </row>
    <row r="2697" spans="1:11" ht="18.75" customHeight="1" outlineLevel="2">
      <c r="A2697" s="791" t="s">
        <v>776</v>
      </c>
      <c r="B2697" s="791" t="s">
        <v>1033</v>
      </c>
      <c r="C2697" s="791" t="s">
        <v>1009</v>
      </c>
      <c r="D2697" s="792" t="s">
        <v>779</v>
      </c>
      <c r="E2697" s="793" t="s">
        <v>763</v>
      </c>
      <c r="F2697" s="793" t="s">
        <v>930</v>
      </c>
      <c r="G2697" s="793" t="s">
        <v>785</v>
      </c>
      <c r="H2697" s="793" t="s">
        <v>913</v>
      </c>
      <c r="I2697" s="794">
        <v>3.4677048764649742E-3</v>
      </c>
      <c r="J2697" s="794">
        <v>61.115427577257165</v>
      </c>
      <c r="K2697" s="771"/>
    </row>
    <row r="2698" spans="1:11" ht="18.75" customHeight="1" outlineLevel="2">
      <c r="A2698" s="791" t="s">
        <v>776</v>
      </c>
      <c r="B2698" s="791" t="s">
        <v>1033</v>
      </c>
      <c r="C2698" s="791" t="s">
        <v>1009</v>
      </c>
      <c r="D2698" s="792" t="s">
        <v>779</v>
      </c>
      <c r="E2698" s="793" t="s">
        <v>763</v>
      </c>
      <c r="F2698" s="793" t="s">
        <v>931</v>
      </c>
      <c r="G2698" s="793" t="s">
        <v>785</v>
      </c>
      <c r="H2698" s="793" t="s">
        <v>913</v>
      </c>
      <c r="I2698" s="794">
        <v>1.1600158197332369E-3</v>
      </c>
      <c r="J2698" s="794">
        <v>19.27798794758257</v>
      </c>
      <c r="K2698" s="771"/>
    </row>
    <row r="2699" spans="1:11" ht="18.75" customHeight="1" outlineLevel="2">
      <c r="A2699" s="791" t="s">
        <v>776</v>
      </c>
      <c r="B2699" s="791" t="s">
        <v>1033</v>
      </c>
      <c r="C2699" s="791" t="s">
        <v>1009</v>
      </c>
      <c r="D2699" s="792" t="s">
        <v>779</v>
      </c>
      <c r="E2699" s="793" t="s">
        <v>763</v>
      </c>
      <c r="F2699" s="793" t="s">
        <v>932</v>
      </c>
      <c r="G2699" s="793" t="s">
        <v>785</v>
      </c>
      <c r="H2699" s="793" t="s">
        <v>913</v>
      </c>
      <c r="I2699" s="794">
        <v>1.2386084315304385E-3</v>
      </c>
      <c r="J2699" s="794">
        <v>4.76108746101999</v>
      </c>
      <c r="K2699" s="771"/>
    </row>
    <row r="2700" spans="1:11" ht="18.75" customHeight="1" outlineLevel="2">
      <c r="A2700" s="791" t="s">
        <v>776</v>
      </c>
      <c r="B2700" s="791" t="s">
        <v>1033</v>
      </c>
      <c r="C2700" s="791" t="s">
        <v>1009</v>
      </c>
      <c r="D2700" s="792" t="s">
        <v>779</v>
      </c>
      <c r="E2700" s="793" t="s">
        <v>763</v>
      </c>
      <c r="F2700" s="793" t="s">
        <v>933</v>
      </c>
      <c r="G2700" s="793" t="s">
        <v>785</v>
      </c>
      <c r="H2700" s="793" t="s">
        <v>913</v>
      </c>
      <c r="I2700" s="794">
        <v>1.7385399810099093E-3</v>
      </c>
      <c r="J2700" s="794">
        <v>37.863809624576504</v>
      </c>
      <c r="K2700" s="771"/>
    </row>
    <row r="2701" spans="1:11" ht="18.75" customHeight="1" outlineLevel="2">
      <c r="A2701" s="791" t="s">
        <v>776</v>
      </c>
      <c r="B2701" s="791" t="s">
        <v>1033</v>
      </c>
      <c r="C2701" s="791" t="s">
        <v>1009</v>
      </c>
      <c r="D2701" s="792" t="s">
        <v>779</v>
      </c>
      <c r="E2701" s="793" t="s">
        <v>763</v>
      </c>
      <c r="F2701" s="793" t="s">
        <v>934</v>
      </c>
      <c r="G2701" s="793" t="s">
        <v>813</v>
      </c>
      <c r="H2701" s="793" t="s">
        <v>913</v>
      </c>
      <c r="I2701" s="794">
        <v>2.062663864071675E-2</v>
      </c>
      <c r="J2701" s="794">
        <v>312.58216931932117</v>
      </c>
      <c r="K2701" s="771"/>
    </row>
    <row r="2702" spans="1:11" ht="18.75" customHeight="1" outlineLevel="2">
      <c r="A2702" s="791" t="s">
        <v>776</v>
      </c>
      <c r="B2702" s="791" t="s">
        <v>1033</v>
      </c>
      <c r="C2702" s="791" t="s">
        <v>1009</v>
      </c>
      <c r="D2702" s="792" t="s">
        <v>779</v>
      </c>
      <c r="E2702" s="793" t="s">
        <v>763</v>
      </c>
      <c r="F2702" s="793" t="s">
        <v>935</v>
      </c>
      <c r="G2702" s="793" t="s">
        <v>791</v>
      </c>
      <c r="H2702" s="793" t="s">
        <v>913</v>
      </c>
      <c r="I2702" s="794">
        <v>1.128275841708267E-5</v>
      </c>
      <c r="J2702" s="794">
        <v>1.4217204695865439E-2</v>
      </c>
      <c r="K2702" s="771"/>
    </row>
    <row r="2703" spans="1:11" ht="18.75" customHeight="1" outlineLevel="2">
      <c r="A2703" s="791" t="s">
        <v>776</v>
      </c>
      <c r="B2703" s="791" t="s">
        <v>1033</v>
      </c>
      <c r="C2703" s="791" t="s">
        <v>1009</v>
      </c>
      <c r="D2703" s="792" t="s">
        <v>779</v>
      </c>
      <c r="E2703" s="793" t="s">
        <v>763</v>
      </c>
      <c r="F2703" s="793" t="s">
        <v>936</v>
      </c>
      <c r="G2703" s="793" t="s">
        <v>791</v>
      </c>
      <c r="H2703" s="793" t="s">
        <v>913</v>
      </c>
      <c r="I2703" s="794">
        <v>1.63476830612018E-6</v>
      </c>
      <c r="J2703" s="794">
        <v>2.7691112281753746E-2</v>
      </c>
      <c r="K2703" s="771"/>
    </row>
    <row r="2704" spans="1:11" ht="18.75" customHeight="1" outlineLevel="2">
      <c r="A2704" s="791" t="s">
        <v>776</v>
      </c>
      <c r="B2704" s="791" t="s">
        <v>1033</v>
      </c>
      <c r="C2704" s="791" t="s">
        <v>1009</v>
      </c>
      <c r="D2704" s="792" t="s">
        <v>779</v>
      </c>
      <c r="E2704" s="793" t="s">
        <v>763</v>
      </c>
      <c r="F2704" s="793" t="s">
        <v>937</v>
      </c>
      <c r="G2704" s="793" t="s">
        <v>794</v>
      </c>
      <c r="H2704" s="793" t="s">
        <v>913</v>
      </c>
      <c r="I2704" s="794">
        <v>0.21052364402269619</v>
      </c>
      <c r="J2704" s="794">
        <v>516.90337264953564</v>
      </c>
      <c r="K2704" s="771"/>
    </row>
    <row r="2705" spans="1:11" ht="18.75" customHeight="1" outlineLevel="2">
      <c r="A2705" s="791" t="s">
        <v>776</v>
      </c>
      <c r="B2705" s="791" t="s">
        <v>1033</v>
      </c>
      <c r="C2705" s="791" t="s">
        <v>1009</v>
      </c>
      <c r="D2705" s="792" t="s">
        <v>779</v>
      </c>
      <c r="E2705" s="793" t="s">
        <v>763</v>
      </c>
      <c r="F2705" s="793" t="s">
        <v>938</v>
      </c>
      <c r="G2705" s="793" t="s">
        <v>794</v>
      </c>
      <c r="H2705" s="793" t="s">
        <v>913</v>
      </c>
      <c r="I2705" s="794">
        <v>2.477153791370763E-2</v>
      </c>
      <c r="J2705" s="794">
        <v>113.14369424718451</v>
      </c>
      <c r="K2705" s="771"/>
    </row>
    <row r="2706" spans="1:11" ht="18.75" customHeight="1" outlineLevel="2">
      <c r="A2706" s="791" t="s">
        <v>776</v>
      </c>
      <c r="B2706" s="791" t="s">
        <v>1033</v>
      </c>
      <c r="C2706" s="791" t="s">
        <v>1009</v>
      </c>
      <c r="D2706" s="792" t="s">
        <v>779</v>
      </c>
      <c r="E2706" s="793" t="s">
        <v>763</v>
      </c>
      <c r="F2706" s="793" t="s">
        <v>939</v>
      </c>
      <c r="G2706" s="793" t="s">
        <v>794</v>
      </c>
      <c r="H2706" s="793" t="s">
        <v>913</v>
      </c>
      <c r="I2706" s="794">
        <v>1.2916099583207529E-2</v>
      </c>
      <c r="J2706" s="794">
        <v>132.1148895463179</v>
      </c>
      <c r="K2706" s="771"/>
    </row>
    <row r="2707" spans="1:11" ht="18.75" customHeight="1" outlineLevel="2">
      <c r="A2707" s="791" t="s">
        <v>776</v>
      </c>
      <c r="B2707" s="791" t="s">
        <v>1033</v>
      </c>
      <c r="C2707" s="791" t="s">
        <v>1009</v>
      </c>
      <c r="D2707" s="792" t="s">
        <v>779</v>
      </c>
      <c r="E2707" s="793" t="s">
        <v>763</v>
      </c>
      <c r="F2707" s="793" t="s">
        <v>940</v>
      </c>
      <c r="G2707" s="793" t="s">
        <v>794</v>
      </c>
      <c r="H2707" s="793" t="s">
        <v>913</v>
      </c>
      <c r="I2707" s="794">
        <v>2.1382533150981164E-2</v>
      </c>
      <c r="J2707" s="794">
        <v>164.19951036989002</v>
      </c>
      <c r="K2707" s="771"/>
    </row>
    <row r="2708" spans="1:11" ht="18.75" customHeight="1" outlineLevel="2">
      <c r="A2708" s="791" t="s">
        <v>776</v>
      </c>
      <c r="B2708" s="791" t="s">
        <v>1033</v>
      </c>
      <c r="C2708" s="791" t="s">
        <v>1009</v>
      </c>
      <c r="D2708" s="792" t="s">
        <v>779</v>
      </c>
      <c r="E2708" s="793" t="s">
        <v>763</v>
      </c>
      <c r="F2708" s="793" t="s">
        <v>941</v>
      </c>
      <c r="G2708" s="793" t="s">
        <v>794</v>
      </c>
      <c r="H2708" s="793" t="s">
        <v>913</v>
      </c>
      <c r="I2708" s="794">
        <v>7.4018072584115043E-4</v>
      </c>
      <c r="J2708" s="794">
        <v>2.233203700533303</v>
      </c>
      <c r="K2708" s="771"/>
    </row>
    <row r="2709" spans="1:11" ht="18.75" customHeight="1" outlineLevel="2">
      <c r="A2709" s="791" t="s">
        <v>776</v>
      </c>
      <c r="B2709" s="791" t="s">
        <v>1033</v>
      </c>
      <c r="C2709" s="791" t="s">
        <v>1009</v>
      </c>
      <c r="D2709" s="792" t="s">
        <v>779</v>
      </c>
      <c r="E2709" s="793" t="s">
        <v>763</v>
      </c>
      <c r="F2709" s="793" t="s">
        <v>942</v>
      </c>
      <c r="G2709" s="793" t="s">
        <v>794</v>
      </c>
      <c r="H2709" s="793" t="s">
        <v>913</v>
      </c>
      <c r="I2709" s="794">
        <v>1.754583564252263E-4</v>
      </c>
      <c r="J2709" s="794">
        <v>2.027556453407235</v>
      </c>
      <c r="K2709" s="771"/>
    </row>
    <row r="2710" spans="1:11" ht="18.75" customHeight="1" outlineLevel="2">
      <c r="A2710" s="791" t="s">
        <v>776</v>
      </c>
      <c r="B2710" s="791" t="s">
        <v>1033</v>
      </c>
      <c r="C2710" s="791" t="s">
        <v>1009</v>
      </c>
      <c r="D2710" s="792" t="s">
        <v>779</v>
      </c>
      <c r="E2710" s="793" t="s">
        <v>763</v>
      </c>
      <c r="F2710" s="793" t="s">
        <v>943</v>
      </c>
      <c r="G2710" s="793" t="s">
        <v>944</v>
      </c>
      <c r="H2710" s="793" t="s">
        <v>913</v>
      </c>
      <c r="I2710" s="794">
        <v>6.6645857611635485E-5</v>
      </c>
      <c r="J2710" s="794">
        <v>0.28793302177436164</v>
      </c>
      <c r="K2710" s="771"/>
    </row>
    <row r="2711" spans="1:11" ht="18.75" customHeight="1" outlineLevel="2">
      <c r="A2711" s="791" t="s">
        <v>776</v>
      </c>
      <c r="B2711" s="791" t="s">
        <v>1033</v>
      </c>
      <c r="C2711" s="791" t="s">
        <v>1009</v>
      </c>
      <c r="D2711" s="792" t="s">
        <v>779</v>
      </c>
      <c r="E2711" s="793" t="s">
        <v>764</v>
      </c>
      <c r="F2711" s="793" t="s">
        <v>945</v>
      </c>
      <c r="G2711" s="793" t="s">
        <v>244</v>
      </c>
      <c r="H2711" s="793" t="s">
        <v>905</v>
      </c>
      <c r="I2711" s="794">
        <v>1.2322967129823131E-3</v>
      </c>
      <c r="J2711" s="794">
        <v>44.351315381062989</v>
      </c>
      <c r="K2711" s="771"/>
    </row>
    <row r="2712" spans="1:11" ht="18.75" customHeight="1" outlineLevel="2">
      <c r="A2712" s="791" t="s">
        <v>776</v>
      </c>
      <c r="B2712" s="791" t="s">
        <v>1033</v>
      </c>
      <c r="C2712" s="791" t="s">
        <v>1009</v>
      </c>
      <c r="D2712" s="792" t="s">
        <v>779</v>
      </c>
      <c r="E2712" s="793" t="s">
        <v>764</v>
      </c>
      <c r="F2712" s="793" t="s">
        <v>946</v>
      </c>
      <c r="G2712" s="793" t="s">
        <v>244</v>
      </c>
      <c r="H2712" s="793" t="s">
        <v>905</v>
      </c>
      <c r="I2712" s="794">
        <v>1.9529537034993585E-5</v>
      </c>
      <c r="J2712" s="794">
        <v>0.37046421146425818</v>
      </c>
      <c r="K2712" s="771"/>
    </row>
    <row r="2713" spans="1:11" ht="18.75" customHeight="1" outlineLevel="2">
      <c r="A2713" s="791" t="s">
        <v>776</v>
      </c>
      <c r="B2713" s="791" t="s">
        <v>1033</v>
      </c>
      <c r="C2713" s="791" t="s">
        <v>1009</v>
      </c>
      <c r="D2713" s="792" t="s">
        <v>779</v>
      </c>
      <c r="E2713" s="793" t="s">
        <v>947</v>
      </c>
      <c r="F2713" s="793" t="s">
        <v>948</v>
      </c>
      <c r="G2713" s="793" t="s">
        <v>799</v>
      </c>
      <c r="H2713" s="793" t="s">
        <v>800</v>
      </c>
      <c r="I2713" s="794">
        <v>1.5539089553653638E-3</v>
      </c>
      <c r="J2713" s="794">
        <v>38.414824979931232</v>
      </c>
      <c r="K2713" s="771"/>
    </row>
    <row r="2714" spans="1:11" ht="18.75" customHeight="1" outlineLevel="2">
      <c r="A2714" s="791" t="s">
        <v>776</v>
      </c>
      <c r="B2714" s="791" t="s">
        <v>1033</v>
      </c>
      <c r="C2714" s="791" t="s">
        <v>1009</v>
      </c>
      <c r="D2714" s="792" t="s">
        <v>779</v>
      </c>
      <c r="E2714" s="793" t="s">
        <v>947</v>
      </c>
      <c r="F2714" s="793" t="s">
        <v>949</v>
      </c>
      <c r="G2714" s="793" t="s">
        <v>782</v>
      </c>
      <c r="H2714" s="793" t="s">
        <v>804</v>
      </c>
      <c r="I2714" s="794">
        <v>5.5600296917429305E-3</v>
      </c>
      <c r="J2714" s="794">
        <v>324.26329189557043</v>
      </c>
      <c r="K2714" s="771"/>
    </row>
    <row r="2715" spans="1:11" ht="18.75" customHeight="1" outlineLevel="2">
      <c r="A2715" s="791" t="s">
        <v>776</v>
      </c>
      <c r="B2715" s="791" t="s">
        <v>1033</v>
      </c>
      <c r="C2715" s="791" t="s">
        <v>1009</v>
      </c>
      <c r="D2715" s="792" t="s">
        <v>779</v>
      </c>
      <c r="E2715" s="793" t="s">
        <v>947</v>
      </c>
      <c r="F2715" s="793" t="s">
        <v>950</v>
      </c>
      <c r="G2715" s="793" t="s">
        <v>782</v>
      </c>
      <c r="H2715" s="793" t="s">
        <v>804</v>
      </c>
      <c r="I2715" s="794">
        <v>4.7806773037124631E-5</v>
      </c>
      <c r="J2715" s="794">
        <v>0.52805581097830701</v>
      </c>
      <c r="K2715" s="771"/>
    </row>
    <row r="2716" spans="1:11" ht="18.75" customHeight="1" outlineLevel="2">
      <c r="A2716" s="791" t="s">
        <v>776</v>
      </c>
      <c r="B2716" s="791" t="s">
        <v>1033</v>
      </c>
      <c r="C2716" s="791" t="s">
        <v>1009</v>
      </c>
      <c r="D2716" s="792" t="s">
        <v>779</v>
      </c>
      <c r="E2716" s="793" t="s">
        <v>947</v>
      </c>
      <c r="F2716" s="793" t="s">
        <v>951</v>
      </c>
      <c r="G2716" s="793" t="s">
        <v>782</v>
      </c>
      <c r="H2716" s="793" t="s">
        <v>804</v>
      </c>
      <c r="I2716" s="794">
        <v>6.9332143978153909E-4</v>
      </c>
      <c r="J2716" s="794">
        <v>8.6985177037404284</v>
      </c>
      <c r="K2716" s="771"/>
    </row>
    <row r="2717" spans="1:11" ht="18.75" customHeight="1" outlineLevel="2">
      <c r="A2717" s="791" t="s">
        <v>776</v>
      </c>
      <c r="B2717" s="791" t="s">
        <v>1033</v>
      </c>
      <c r="C2717" s="791" t="s">
        <v>1009</v>
      </c>
      <c r="D2717" s="792" t="s">
        <v>779</v>
      </c>
      <c r="E2717" s="793" t="s">
        <v>947</v>
      </c>
      <c r="F2717" s="793" t="s">
        <v>952</v>
      </c>
      <c r="G2717" s="793" t="s">
        <v>782</v>
      </c>
      <c r="H2717" s="793" t="s">
        <v>804</v>
      </c>
      <c r="I2717" s="794">
        <v>1.5832714001412687E-2</v>
      </c>
      <c r="J2717" s="794">
        <v>811.68006321923747</v>
      </c>
      <c r="K2717" s="771"/>
    </row>
    <row r="2718" spans="1:11" ht="18.75" customHeight="1" outlineLevel="2">
      <c r="A2718" s="791" t="s">
        <v>776</v>
      </c>
      <c r="B2718" s="791" t="s">
        <v>1033</v>
      </c>
      <c r="C2718" s="791" t="s">
        <v>1009</v>
      </c>
      <c r="D2718" s="792" t="s">
        <v>779</v>
      </c>
      <c r="E2718" s="793" t="s">
        <v>947</v>
      </c>
      <c r="F2718" s="793" t="s">
        <v>953</v>
      </c>
      <c r="G2718" s="793" t="s">
        <v>782</v>
      </c>
      <c r="H2718" s="793" t="s">
        <v>804</v>
      </c>
      <c r="I2718" s="794">
        <v>1.2019042517441843E-2</v>
      </c>
      <c r="J2718" s="794">
        <v>883.16280905676865</v>
      </c>
      <c r="K2718" s="771"/>
    </row>
    <row r="2719" spans="1:11" ht="18.75" customHeight="1" outlineLevel="2">
      <c r="A2719" s="791" t="s">
        <v>776</v>
      </c>
      <c r="B2719" s="791" t="s">
        <v>1033</v>
      </c>
      <c r="C2719" s="791" t="s">
        <v>1009</v>
      </c>
      <c r="D2719" s="792" t="s">
        <v>779</v>
      </c>
      <c r="E2719" s="793" t="s">
        <v>947</v>
      </c>
      <c r="F2719" s="793" t="s">
        <v>954</v>
      </c>
      <c r="G2719" s="793" t="s">
        <v>782</v>
      </c>
      <c r="H2719" s="793" t="s">
        <v>804</v>
      </c>
      <c r="I2719" s="794">
        <v>1.3579005278640387E-3</v>
      </c>
      <c r="J2719" s="794">
        <v>48.766601036946732</v>
      </c>
      <c r="K2719" s="771"/>
    </row>
    <row r="2720" spans="1:11" ht="18.75" customHeight="1" outlineLevel="2">
      <c r="A2720" s="791" t="s">
        <v>776</v>
      </c>
      <c r="B2720" s="791" t="s">
        <v>1033</v>
      </c>
      <c r="C2720" s="791" t="s">
        <v>1009</v>
      </c>
      <c r="D2720" s="792" t="s">
        <v>779</v>
      </c>
      <c r="E2720" s="793" t="s">
        <v>947</v>
      </c>
      <c r="F2720" s="793" t="s">
        <v>955</v>
      </c>
      <c r="G2720" s="793" t="s">
        <v>782</v>
      </c>
      <c r="H2720" s="793" t="s">
        <v>804</v>
      </c>
      <c r="I2720" s="794">
        <v>7.2225497820475664E-4</v>
      </c>
      <c r="J2720" s="794">
        <v>33.207953554539124</v>
      </c>
      <c r="K2720" s="771"/>
    </row>
    <row r="2721" spans="1:11" ht="18.75" customHeight="1" outlineLevel="2">
      <c r="A2721" s="791" t="s">
        <v>776</v>
      </c>
      <c r="B2721" s="791" t="s">
        <v>1033</v>
      </c>
      <c r="C2721" s="791" t="s">
        <v>1009</v>
      </c>
      <c r="D2721" s="792" t="s">
        <v>779</v>
      </c>
      <c r="E2721" s="793" t="s">
        <v>947</v>
      </c>
      <c r="F2721" s="793" t="s">
        <v>956</v>
      </c>
      <c r="G2721" s="793" t="s">
        <v>782</v>
      </c>
      <c r="H2721" s="793" t="s">
        <v>804</v>
      </c>
      <c r="I2721" s="794">
        <v>3.8387571741587412E-3</v>
      </c>
      <c r="J2721" s="794">
        <v>91.19225007036998</v>
      </c>
      <c r="K2721" s="771"/>
    </row>
    <row r="2722" spans="1:11" ht="18.75" customHeight="1" outlineLevel="2">
      <c r="A2722" s="791" t="s">
        <v>776</v>
      </c>
      <c r="B2722" s="791" t="s">
        <v>1033</v>
      </c>
      <c r="C2722" s="791" t="s">
        <v>1009</v>
      </c>
      <c r="D2722" s="792" t="s">
        <v>779</v>
      </c>
      <c r="E2722" s="793" t="s">
        <v>947</v>
      </c>
      <c r="F2722" s="793" t="s">
        <v>957</v>
      </c>
      <c r="G2722" s="793" t="s">
        <v>782</v>
      </c>
      <c r="H2722" s="793" t="s">
        <v>804</v>
      </c>
      <c r="I2722" s="794">
        <v>1.1004620003094911E-2</v>
      </c>
      <c r="J2722" s="794">
        <v>390.23577710982948</v>
      </c>
      <c r="K2722" s="771"/>
    </row>
    <row r="2723" spans="1:11" ht="18.75" customHeight="1" outlineLevel="2">
      <c r="A2723" s="791" t="s">
        <v>776</v>
      </c>
      <c r="B2723" s="791" t="s">
        <v>1033</v>
      </c>
      <c r="C2723" s="791" t="s">
        <v>1009</v>
      </c>
      <c r="D2723" s="792" t="s">
        <v>779</v>
      </c>
      <c r="E2723" s="793" t="s">
        <v>947</v>
      </c>
      <c r="F2723" s="793" t="s">
        <v>958</v>
      </c>
      <c r="G2723" s="793" t="s">
        <v>782</v>
      </c>
      <c r="H2723" s="793" t="s">
        <v>804</v>
      </c>
      <c r="I2723" s="794">
        <v>7.7799046525275622E-3</v>
      </c>
      <c r="J2723" s="794">
        <v>428.45465636763754</v>
      </c>
      <c r="K2723" s="771"/>
    </row>
    <row r="2724" spans="1:11" ht="18.75" customHeight="1" outlineLevel="2">
      <c r="A2724" s="791" t="s">
        <v>776</v>
      </c>
      <c r="B2724" s="791" t="s">
        <v>1033</v>
      </c>
      <c r="C2724" s="791" t="s">
        <v>1009</v>
      </c>
      <c r="D2724" s="792" t="s">
        <v>779</v>
      </c>
      <c r="E2724" s="793" t="s">
        <v>947</v>
      </c>
      <c r="F2724" s="793" t="s">
        <v>959</v>
      </c>
      <c r="G2724" s="793" t="s">
        <v>782</v>
      </c>
      <c r="H2724" s="793" t="s">
        <v>804</v>
      </c>
      <c r="I2724" s="794">
        <v>4.2653041357185228E-2</v>
      </c>
      <c r="J2724" s="794">
        <v>3289.8791266141711</v>
      </c>
      <c r="K2724" s="771"/>
    </row>
    <row r="2725" spans="1:11" ht="18.75" customHeight="1" outlineLevel="2">
      <c r="A2725" s="791" t="s">
        <v>776</v>
      </c>
      <c r="B2725" s="791" t="s">
        <v>1033</v>
      </c>
      <c r="C2725" s="791" t="s">
        <v>1009</v>
      </c>
      <c r="D2725" s="792" t="s">
        <v>779</v>
      </c>
      <c r="E2725" s="793" t="s">
        <v>947</v>
      </c>
      <c r="F2725" s="793" t="s">
        <v>960</v>
      </c>
      <c r="G2725" s="793" t="s">
        <v>782</v>
      </c>
      <c r="H2725" s="793" t="s">
        <v>804</v>
      </c>
      <c r="I2725" s="794">
        <v>9.0214413201012875E-4</v>
      </c>
      <c r="J2725" s="794">
        <v>27.355735616055668</v>
      </c>
      <c r="K2725" s="771"/>
    </row>
    <row r="2726" spans="1:11" ht="18.75" customHeight="1" outlineLevel="2">
      <c r="A2726" s="791" t="s">
        <v>776</v>
      </c>
      <c r="B2726" s="791" t="s">
        <v>1033</v>
      </c>
      <c r="C2726" s="791" t="s">
        <v>1009</v>
      </c>
      <c r="D2726" s="792" t="s">
        <v>779</v>
      </c>
      <c r="E2726" s="793" t="s">
        <v>947</v>
      </c>
      <c r="F2726" s="793" t="s">
        <v>961</v>
      </c>
      <c r="G2726" s="793" t="s">
        <v>782</v>
      </c>
      <c r="H2726" s="793" t="s">
        <v>804</v>
      </c>
      <c r="I2726" s="794">
        <v>3.5527417460127722E-4</v>
      </c>
      <c r="J2726" s="794">
        <v>16.749974871163669</v>
      </c>
      <c r="K2726" s="771"/>
    </row>
    <row r="2727" spans="1:11" ht="18.75" customHeight="1" outlineLevel="2">
      <c r="A2727" s="791" t="s">
        <v>776</v>
      </c>
      <c r="B2727" s="791" t="s">
        <v>1033</v>
      </c>
      <c r="C2727" s="791" t="s">
        <v>1009</v>
      </c>
      <c r="D2727" s="792" t="s">
        <v>779</v>
      </c>
      <c r="E2727" s="793" t="s">
        <v>947</v>
      </c>
      <c r="F2727" s="793" t="s">
        <v>962</v>
      </c>
      <c r="G2727" s="793" t="s">
        <v>782</v>
      </c>
      <c r="H2727" s="793" t="s">
        <v>804</v>
      </c>
      <c r="I2727" s="794">
        <v>1.2586253226485799E-2</v>
      </c>
      <c r="J2727" s="794">
        <v>751.98189129885213</v>
      </c>
      <c r="K2727" s="771"/>
    </row>
    <row r="2728" spans="1:11" ht="18.75" customHeight="1" outlineLevel="2">
      <c r="A2728" s="791" t="s">
        <v>776</v>
      </c>
      <c r="B2728" s="791" t="s">
        <v>1033</v>
      </c>
      <c r="C2728" s="791" t="s">
        <v>1009</v>
      </c>
      <c r="D2728" s="792" t="s">
        <v>779</v>
      </c>
      <c r="E2728" s="793" t="s">
        <v>947</v>
      </c>
      <c r="F2728" s="793" t="s">
        <v>963</v>
      </c>
      <c r="G2728" s="793" t="s">
        <v>782</v>
      </c>
      <c r="H2728" s="793" t="s">
        <v>804</v>
      </c>
      <c r="I2728" s="794">
        <v>1.0820574766998636E-2</v>
      </c>
      <c r="J2728" s="794">
        <v>818.5420656561854</v>
      </c>
      <c r="K2728" s="771"/>
    </row>
    <row r="2729" spans="1:11" ht="18.75" customHeight="1" outlineLevel="2">
      <c r="A2729" s="791" t="s">
        <v>776</v>
      </c>
      <c r="B2729" s="791" t="s">
        <v>1033</v>
      </c>
      <c r="C2729" s="791" t="s">
        <v>1009</v>
      </c>
      <c r="D2729" s="792" t="s">
        <v>779</v>
      </c>
      <c r="E2729" s="793" t="s">
        <v>947</v>
      </c>
      <c r="F2729" s="793" t="s">
        <v>964</v>
      </c>
      <c r="G2729" s="793" t="s">
        <v>782</v>
      </c>
      <c r="H2729" s="793" t="s">
        <v>804</v>
      </c>
      <c r="I2729" s="794">
        <v>3.9506944677259605E-2</v>
      </c>
      <c r="J2729" s="794">
        <v>2815.6686625600032</v>
      </c>
      <c r="K2729" s="771"/>
    </row>
    <row r="2730" spans="1:11" ht="18.75" customHeight="1" outlineLevel="2">
      <c r="A2730" s="791" t="s">
        <v>776</v>
      </c>
      <c r="B2730" s="791" t="s">
        <v>1033</v>
      </c>
      <c r="C2730" s="791" t="s">
        <v>1009</v>
      </c>
      <c r="D2730" s="792" t="s">
        <v>779</v>
      </c>
      <c r="E2730" s="793" t="s">
        <v>947</v>
      </c>
      <c r="F2730" s="793" t="s">
        <v>965</v>
      </c>
      <c r="G2730" s="793" t="s">
        <v>782</v>
      </c>
      <c r="H2730" s="793" t="s">
        <v>804</v>
      </c>
      <c r="I2730" s="794">
        <v>2.7194651598719346E-3</v>
      </c>
      <c r="J2730" s="794">
        <v>132.39768741590279</v>
      </c>
      <c r="K2730" s="771"/>
    </row>
    <row r="2731" spans="1:11" ht="18.75" customHeight="1" outlineLevel="2">
      <c r="A2731" s="791" t="s">
        <v>776</v>
      </c>
      <c r="B2731" s="791" t="s">
        <v>1033</v>
      </c>
      <c r="C2731" s="791" t="s">
        <v>1009</v>
      </c>
      <c r="D2731" s="792" t="s">
        <v>779</v>
      </c>
      <c r="E2731" s="793" t="s">
        <v>947</v>
      </c>
      <c r="F2731" s="793" t="s">
        <v>966</v>
      </c>
      <c r="G2731" s="793" t="s">
        <v>782</v>
      </c>
      <c r="H2731" s="793" t="s">
        <v>804</v>
      </c>
      <c r="I2731" s="794">
        <v>2.2867210063267848E-2</v>
      </c>
      <c r="J2731" s="794">
        <v>1053.1523092459167</v>
      </c>
      <c r="K2731" s="771"/>
    </row>
    <row r="2732" spans="1:11" ht="18.75" customHeight="1" outlineLevel="2">
      <c r="A2732" s="791" t="s">
        <v>776</v>
      </c>
      <c r="B2732" s="791" t="s">
        <v>1033</v>
      </c>
      <c r="C2732" s="791" t="s">
        <v>1009</v>
      </c>
      <c r="D2732" s="792" t="s">
        <v>779</v>
      </c>
      <c r="E2732" s="793" t="s">
        <v>947</v>
      </c>
      <c r="F2732" s="793" t="s">
        <v>967</v>
      </c>
      <c r="G2732" s="793" t="s">
        <v>782</v>
      </c>
      <c r="H2732" s="793" t="s">
        <v>804</v>
      </c>
      <c r="I2732" s="794">
        <v>5.587160307987709E-2</v>
      </c>
      <c r="J2732" s="794">
        <v>3580.5169714999979</v>
      </c>
      <c r="K2732" s="771"/>
    </row>
    <row r="2733" spans="1:11" ht="18.75" customHeight="1" outlineLevel="2">
      <c r="A2733" s="791" t="s">
        <v>776</v>
      </c>
      <c r="B2733" s="791" t="s">
        <v>1033</v>
      </c>
      <c r="C2733" s="791" t="s">
        <v>1009</v>
      </c>
      <c r="D2733" s="792" t="s">
        <v>779</v>
      </c>
      <c r="E2733" s="793" t="s">
        <v>947</v>
      </c>
      <c r="F2733" s="793" t="s">
        <v>968</v>
      </c>
      <c r="G2733" s="793" t="s">
        <v>782</v>
      </c>
      <c r="H2733" s="793" t="s">
        <v>804</v>
      </c>
      <c r="I2733" s="794">
        <v>0.12237256855160261</v>
      </c>
      <c r="J2733" s="794">
        <v>2402.0372879425017</v>
      </c>
      <c r="K2733" s="771"/>
    </row>
    <row r="2734" spans="1:11" ht="18.75" customHeight="1" outlineLevel="2">
      <c r="A2734" s="791" t="s">
        <v>776</v>
      </c>
      <c r="B2734" s="791" t="s">
        <v>1033</v>
      </c>
      <c r="C2734" s="791" t="s">
        <v>1009</v>
      </c>
      <c r="D2734" s="792" t="s">
        <v>779</v>
      </c>
      <c r="E2734" s="793" t="s">
        <v>947</v>
      </c>
      <c r="F2734" s="793" t="s">
        <v>969</v>
      </c>
      <c r="G2734" s="793" t="s">
        <v>782</v>
      </c>
      <c r="H2734" s="793" t="s">
        <v>804</v>
      </c>
      <c r="I2734" s="794">
        <v>4.4993483478901801E-2</v>
      </c>
      <c r="J2734" s="794">
        <v>3275.4153073526445</v>
      </c>
      <c r="K2734" s="771"/>
    </row>
    <row r="2735" spans="1:11" ht="18.75" customHeight="1" outlineLevel="2">
      <c r="A2735" s="791" t="s">
        <v>776</v>
      </c>
      <c r="B2735" s="791" t="s">
        <v>1033</v>
      </c>
      <c r="C2735" s="791" t="s">
        <v>1009</v>
      </c>
      <c r="D2735" s="792" t="s">
        <v>779</v>
      </c>
      <c r="E2735" s="793" t="s">
        <v>947</v>
      </c>
      <c r="F2735" s="793" t="s">
        <v>970</v>
      </c>
      <c r="G2735" s="793" t="s">
        <v>782</v>
      </c>
      <c r="H2735" s="793" t="s">
        <v>804</v>
      </c>
      <c r="I2735" s="794">
        <v>8.1924400996443783E-2</v>
      </c>
      <c r="J2735" s="794">
        <v>1885.4768747350292</v>
      </c>
      <c r="K2735" s="771"/>
    </row>
    <row r="2736" spans="1:11" ht="18.75" customHeight="1" outlineLevel="2">
      <c r="A2736" s="791" t="s">
        <v>776</v>
      </c>
      <c r="B2736" s="791" t="s">
        <v>1033</v>
      </c>
      <c r="C2736" s="791" t="s">
        <v>1009</v>
      </c>
      <c r="D2736" s="792" t="s">
        <v>779</v>
      </c>
      <c r="E2736" s="793" t="s">
        <v>947</v>
      </c>
      <c r="F2736" s="793" t="s">
        <v>971</v>
      </c>
      <c r="G2736" s="793" t="s">
        <v>782</v>
      </c>
      <c r="H2736" s="793" t="s">
        <v>804</v>
      </c>
      <c r="I2736" s="794">
        <v>4.8091216617209137E-3</v>
      </c>
      <c r="J2736" s="794">
        <v>351.45613035971229</v>
      </c>
      <c r="K2736" s="771"/>
    </row>
    <row r="2737" spans="1:11" ht="18.75" customHeight="1" outlineLevel="2">
      <c r="A2737" s="791" t="s">
        <v>776</v>
      </c>
      <c r="B2737" s="791" t="s">
        <v>1033</v>
      </c>
      <c r="C2737" s="791" t="s">
        <v>1009</v>
      </c>
      <c r="D2737" s="792" t="s">
        <v>779</v>
      </c>
      <c r="E2737" s="793" t="s">
        <v>947</v>
      </c>
      <c r="F2737" s="793" t="s">
        <v>972</v>
      </c>
      <c r="G2737" s="793" t="s">
        <v>782</v>
      </c>
      <c r="H2737" s="793" t="s">
        <v>804</v>
      </c>
      <c r="I2737" s="794">
        <v>2.4978174805692199E-4</v>
      </c>
      <c r="J2737" s="794">
        <v>5.7661031161065397</v>
      </c>
      <c r="K2737" s="771"/>
    </row>
    <row r="2738" spans="1:11" ht="18.75" customHeight="1" outlineLevel="2">
      <c r="A2738" s="791" t="s">
        <v>776</v>
      </c>
      <c r="B2738" s="791" t="s">
        <v>1033</v>
      </c>
      <c r="C2738" s="791" t="s">
        <v>1009</v>
      </c>
      <c r="D2738" s="792" t="s">
        <v>779</v>
      </c>
      <c r="E2738" s="793" t="s">
        <v>947</v>
      </c>
      <c r="F2738" s="793" t="s">
        <v>973</v>
      </c>
      <c r="G2738" s="793" t="s">
        <v>782</v>
      </c>
      <c r="H2738" s="793" t="s">
        <v>804</v>
      </c>
      <c r="I2738" s="794">
        <v>6.8192697198786309E-3</v>
      </c>
      <c r="J2738" s="794">
        <v>366.60320967199397</v>
      </c>
      <c r="K2738" s="771"/>
    </row>
    <row r="2739" spans="1:11" ht="18.75" customHeight="1" outlineLevel="2">
      <c r="A2739" s="791" t="s">
        <v>776</v>
      </c>
      <c r="B2739" s="791" t="s">
        <v>1033</v>
      </c>
      <c r="C2739" s="791" t="s">
        <v>1009</v>
      </c>
      <c r="D2739" s="792" t="s">
        <v>779</v>
      </c>
      <c r="E2739" s="793" t="s">
        <v>947</v>
      </c>
      <c r="F2739" s="793" t="s">
        <v>974</v>
      </c>
      <c r="G2739" s="793" t="s">
        <v>785</v>
      </c>
      <c r="H2739" s="793" t="s">
        <v>727</v>
      </c>
      <c r="I2739" s="794">
        <v>6.0959338150124009E-3</v>
      </c>
      <c r="J2739" s="794">
        <v>147.47683415875446</v>
      </c>
      <c r="K2739" s="771"/>
    </row>
    <row r="2740" spans="1:11" ht="18.75" customHeight="1" outlineLevel="2">
      <c r="A2740" s="791" t="s">
        <v>776</v>
      </c>
      <c r="B2740" s="791" t="s">
        <v>1033</v>
      </c>
      <c r="C2740" s="791" t="s">
        <v>1009</v>
      </c>
      <c r="D2740" s="792" t="s">
        <v>779</v>
      </c>
      <c r="E2740" s="793" t="s">
        <v>947</v>
      </c>
      <c r="F2740" s="793" t="s">
        <v>975</v>
      </c>
      <c r="G2740" s="793" t="s">
        <v>785</v>
      </c>
      <c r="H2740" s="793" t="s">
        <v>727</v>
      </c>
      <c r="I2740" s="794">
        <v>3.0337210108802044E-2</v>
      </c>
      <c r="J2740" s="794">
        <v>2139.5353673329155</v>
      </c>
      <c r="K2740" s="771"/>
    </row>
    <row r="2741" spans="1:11" ht="18.75" customHeight="1" outlineLevel="2">
      <c r="A2741" s="791" t="s">
        <v>776</v>
      </c>
      <c r="B2741" s="791" t="s">
        <v>1033</v>
      </c>
      <c r="C2741" s="791" t="s">
        <v>1009</v>
      </c>
      <c r="D2741" s="792" t="s">
        <v>779</v>
      </c>
      <c r="E2741" s="793" t="s">
        <v>947</v>
      </c>
      <c r="F2741" s="793" t="s">
        <v>976</v>
      </c>
      <c r="G2741" s="793" t="s">
        <v>785</v>
      </c>
      <c r="H2741" s="793" t="s">
        <v>727</v>
      </c>
      <c r="I2741" s="794">
        <v>1.7821506244575323E-2</v>
      </c>
      <c r="J2741" s="794">
        <v>934.50495478675271</v>
      </c>
      <c r="K2741" s="771"/>
    </row>
    <row r="2742" spans="1:11" ht="18.75" customHeight="1" outlineLevel="2">
      <c r="A2742" s="791" t="s">
        <v>776</v>
      </c>
      <c r="B2742" s="791" t="s">
        <v>1033</v>
      </c>
      <c r="C2742" s="791" t="s">
        <v>1009</v>
      </c>
      <c r="D2742" s="792" t="s">
        <v>779</v>
      </c>
      <c r="E2742" s="793" t="s">
        <v>947</v>
      </c>
      <c r="F2742" s="793" t="s">
        <v>977</v>
      </c>
      <c r="G2742" s="793" t="s">
        <v>785</v>
      </c>
      <c r="H2742" s="793" t="s">
        <v>727</v>
      </c>
      <c r="I2742" s="794">
        <v>2.109490593781245E-2</v>
      </c>
      <c r="J2742" s="794">
        <v>947.62442837771005</v>
      </c>
      <c r="K2742" s="771"/>
    </row>
    <row r="2743" spans="1:11" ht="18.75" customHeight="1" outlineLevel="2">
      <c r="A2743" s="791" t="s">
        <v>776</v>
      </c>
      <c r="B2743" s="791" t="s">
        <v>1033</v>
      </c>
      <c r="C2743" s="791" t="s">
        <v>1009</v>
      </c>
      <c r="D2743" s="792" t="s">
        <v>779</v>
      </c>
      <c r="E2743" s="793" t="s">
        <v>947</v>
      </c>
      <c r="F2743" s="793" t="s">
        <v>978</v>
      </c>
      <c r="G2743" s="793" t="s">
        <v>785</v>
      </c>
      <c r="H2743" s="793" t="s">
        <v>727</v>
      </c>
      <c r="I2743" s="794">
        <v>1.3360549619317768E-3</v>
      </c>
      <c r="J2743" s="794">
        <v>36.546236538759523</v>
      </c>
      <c r="K2743" s="771"/>
    </row>
    <row r="2744" spans="1:11" ht="18.75" customHeight="1" outlineLevel="2">
      <c r="A2744" s="791" t="s">
        <v>776</v>
      </c>
      <c r="B2744" s="791" t="s">
        <v>1033</v>
      </c>
      <c r="C2744" s="791" t="s">
        <v>1009</v>
      </c>
      <c r="D2744" s="792" t="s">
        <v>779</v>
      </c>
      <c r="E2744" s="793" t="s">
        <v>947</v>
      </c>
      <c r="F2744" s="793" t="s">
        <v>979</v>
      </c>
      <c r="G2744" s="793" t="s">
        <v>785</v>
      </c>
      <c r="H2744" s="793" t="s">
        <v>727</v>
      </c>
      <c r="I2744" s="794">
        <v>0.13922626793658097</v>
      </c>
      <c r="J2744" s="794">
        <v>4575.8654761342259</v>
      </c>
      <c r="K2744" s="771"/>
    </row>
    <row r="2745" spans="1:11" ht="18.75" customHeight="1" outlineLevel="2">
      <c r="A2745" s="791" t="s">
        <v>776</v>
      </c>
      <c r="B2745" s="791" t="s">
        <v>1033</v>
      </c>
      <c r="C2745" s="791" t="s">
        <v>1009</v>
      </c>
      <c r="D2745" s="792" t="s">
        <v>779</v>
      </c>
      <c r="E2745" s="793" t="s">
        <v>947</v>
      </c>
      <c r="F2745" s="793" t="s">
        <v>980</v>
      </c>
      <c r="G2745" s="793" t="s">
        <v>785</v>
      </c>
      <c r="H2745" s="793" t="s">
        <v>727</v>
      </c>
      <c r="I2745" s="794">
        <v>1.6634020799234456E-2</v>
      </c>
      <c r="J2745" s="794">
        <v>1348.4720375979919</v>
      </c>
      <c r="K2745" s="771"/>
    </row>
    <row r="2746" spans="1:11" ht="18.75" customHeight="1" outlineLevel="2">
      <c r="A2746" s="791" t="s">
        <v>776</v>
      </c>
      <c r="B2746" s="791" t="s">
        <v>1033</v>
      </c>
      <c r="C2746" s="791" t="s">
        <v>1009</v>
      </c>
      <c r="D2746" s="792" t="s">
        <v>779</v>
      </c>
      <c r="E2746" s="793" t="s">
        <v>947</v>
      </c>
      <c r="F2746" s="793" t="s">
        <v>981</v>
      </c>
      <c r="G2746" s="793" t="s">
        <v>813</v>
      </c>
      <c r="H2746" s="793" t="s">
        <v>814</v>
      </c>
      <c r="I2746" s="794">
        <v>1.4643296865404331E-5</v>
      </c>
      <c r="J2746" s="794">
        <v>0.36701787442975436</v>
      </c>
      <c r="K2746" s="771"/>
    </row>
    <row r="2747" spans="1:11" ht="18.75" customHeight="1" outlineLevel="2">
      <c r="A2747" s="791" t="s">
        <v>776</v>
      </c>
      <c r="B2747" s="791" t="s">
        <v>1033</v>
      </c>
      <c r="C2747" s="791" t="s">
        <v>1009</v>
      </c>
      <c r="D2747" s="792" t="s">
        <v>779</v>
      </c>
      <c r="E2747" s="793" t="s">
        <v>947</v>
      </c>
      <c r="F2747" s="793" t="s">
        <v>982</v>
      </c>
      <c r="G2747" s="793" t="s">
        <v>813</v>
      </c>
      <c r="H2747" s="793" t="s">
        <v>814</v>
      </c>
      <c r="I2747" s="794">
        <v>1.7210224737932728E-3</v>
      </c>
      <c r="J2747" s="794">
        <v>96.404638783394844</v>
      </c>
      <c r="K2747" s="771"/>
    </row>
    <row r="2748" spans="1:11" ht="18.75" customHeight="1" outlineLevel="2">
      <c r="A2748" s="791" t="s">
        <v>776</v>
      </c>
      <c r="B2748" s="791" t="s">
        <v>1033</v>
      </c>
      <c r="C2748" s="791" t="s">
        <v>1009</v>
      </c>
      <c r="D2748" s="792" t="s">
        <v>779</v>
      </c>
      <c r="E2748" s="793" t="s">
        <v>947</v>
      </c>
      <c r="F2748" s="793" t="s">
        <v>983</v>
      </c>
      <c r="G2748" s="793" t="s">
        <v>813</v>
      </c>
      <c r="H2748" s="793" t="s">
        <v>814</v>
      </c>
      <c r="I2748" s="794">
        <v>0.11580862766206722</v>
      </c>
      <c r="J2748" s="794">
        <v>2572.7047647932409</v>
      </c>
      <c r="K2748" s="771"/>
    </row>
    <row r="2749" spans="1:11" ht="18.75" customHeight="1" outlineLevel="2">
      <c r="A2749" s="791" t="s">
        <v>776</v>
      </c>
      <c r="B2749" s="791" t="s">
        <v>1033</v>
      </c>
      <c r="C2749" s="791" t="s">
        <v>1009</v>
      </c>
      <c r="D2749" s="792" t="s">
        <v>779</v>
      </c>
      <c r="E2749" s="793" t="s">
        <v>947</v>
      </c>
      <c r="F2749" s="793" t="s">
        <v>984</v>
      </c>
      <c r="G2749" s="793" t="s">
        <v>813</v>
      </c>
      <c r="H2749" s="793" t="s">
        <v>814</v>
      </c>
      <c r="I2749" s="794">
        <v>3.0455602730320774E-2</v>
      </c>
      <c r="J2749" s="794">
        <v>531.08824062680378</v>
      </c>
      <c r="K2749" s="771"/>
    </row>
    <row r="2750" spans="1:11" ht="18.75" customHeight="1" outlineLevel="2">
      <c r="A2750" s="791" t="s">
        <v>776</v>
      </c>
      <c r="B2750" s="791" t="s">
        <v>1033</v>
      </c>
      <c r="C2750" s="791" t="s">
        <v>1009</v>
      </c>
      <c r="D2750" s="792" t="s">
        <v>779</v>
      </c>
      <c r="E2750" s="793" t="s">
        <v>947</v>
      </c>
      <c r="F2750" s="793" t="s">
        <v>985</v>
      </c>
      <c r="G2750" s="793" t="s">
        <v>813</v>
      </c>
      <c r="H2750" s="793" t="s">
        <v>814</v>
      </c>
      <c r="I2750" s="794">
        <v>7.1985122424048933E-2</v>
      </c>
      <c r="J2750" s="794">
        <v>3507.1093369225873</v>
      </c>
      <c r="K2750" s="771"/>
    </row>
    <row r="2751" spans="1:11" ht="18.75" customHeight="1" outlineLevel="2">
      <c r="A2751" s="791" t="s">
        <v>776</v>
      </c>
      <c r="B2751" s="791" t="s">
        <v>1033</v>
      </c>
      <c r="C2751" s="791" t="s">
        <v>1009</v>
      </c>
      <c r="D2751" s="792" t="s">
        <v>779</v>
      </c>
      <c r="E2751" s="793" t="s">
        <v>947</v>
      </c>
      <c r="F2751" s="793" t="s">
        <v>986</v>
      </c>
      <c r="G2751" s="793" t="s">
        <v>813</v>
      </c>
      <c r="H2751" s="793" t="s">
        <v>814</v>
      </c>
      <c r="I2751" s="794">
        <v>1.2345140423314287E-2</v>
      </c>
      <c r="J2751" s="794">
        <v>413.22579940812932</v>
      </c>
      <c r="K2751" s="771"/>
    </row>
    <row r="2752" spans="1:11" ht="18.75" customHeight="1" outlineLevel="2">
      <c r="A2752" s="791" t="s">
        <v>776</v>
      </c>
      <c r="B2752" s="791" t="s">
        <v>1033</v>
      </c>
      <c r="C2752" s="791" t="s">
        <v>1009</v>
      </c>
      <c r="D2752" s="792" t="s">
        <v>779</v>
      </c>
      <c r="E2752" s="793" t="s">
        <v>947</v>
      </c>
      <c r="F2752" s="793" t="s">
        <v>987</v>
      </c>
      <c r="G2752" s="793" t="s">
        <v>813</v>
      </c>
      <c r="H2752" s="793" t="s">
        <v>814</v>
      </c>
      <c r="I2752" s="794">
        <v>3.4708192456459145E-4</v>
      </c>
      <c r="J2752" s="794">
        <v>10.492709744599612</v>
      </c>
      <c r="K2752" s="771"/>
    </row>
    <row r="2753" spans="1:11" ht="18.75" customHeight="1" outlineLevel="2">
      <c r="A2753" s="791" t="s">
        <v>776</v>
      </c>
      <c r="B2753" s="791" t="s">
        <v>1033</v>
      </c>
      <c r="C2753" s="791" t="s">
        <v>1009</v>
      </c>
      <c r="D2753" s="792" t="s">
        <v>779</v>
      </c>
      <c r="E2753" s="793" t="s">
        <v>947</v>
      </c>
      <c r="F2753" s="793" t="s">
        <v>988</v>
      </c>
      <c r="G2753" s="793" t="s">
        <v>791</v>
      </c>
      <c r="H2753" s="793" t="s">
        <v>826</v>
      </c>
      <c r="I2753" s="794">
        <v>3.2463163581494094E-6</v>
      </c>
      <c r="J2753" s="794">
        <v>2.7747579420887951E-2</v>
      </c>
      <c r="K2753" s="771"/>
    </row>
    <row r="2754" spans="1:11" ht="18.75" customHeight="1" outlineLevel="2">
      <c r="A2754" s="791" t="s">
        <v>776</v>
      </c>
      <c r="B2754" s="791" t="s">
        <v>1033</v>
      </c>
      <c r="C2754" s="791" t="s">
        <v>1009</v>
      </c>
      <c r="D2754" s="792" t="s">
        <v>779</v>
      </c>
      <c r="E2754" s="793" t="s">
        <v>947</v>
      </c>
      <c r="F2754" s="793" t="s">
        <v>989</v>
      </c>
      <c r="G2754" s="793" t="s">
        <v>791</v>
      </c>
      <c r="H2754" s="793" t="s">
        <v>826</v>
      </c>
      <c r="I2754" s="794">
        <v>1.9637057172713249E-2</v>
      </c>
      <c r="J2754" s="794">
        <v>1152.1400599542308</v>
      </c>
      <c r="K2754" s="771"/>
    </row>
    <row r="2755" spans="1:11" ht="18.75" customHeight="1" outlineLevel="2">
      <c r="A2755" s="791" t="s">
        <v>776</v>
      </c>
      <c r="B2755" s="791" t="s">
        <v>1033</v>
      </c>
      <c r="C2755" s="791" t="s">
        <v>1009</v>
      </c>
      <c r="D2755" s="792" t="s">
        <v>779</v>
      </c>
      <c r="E2755" s="793" t="s">
        <v>947</v>
      </c>
      <c r="F2755" s="793" t="s">
        <v>990</v>
      </c>
      <c r="G2755" s="793" t="s">
        <v>791</v>
      </c>
      <c r="H2755" s="793" t="s">
        <v>826</v>
      </c>
      <c r="I2755" s="794">
        <v>9.3725679089138984E-4</v>
      </c>
      <c r="J2755" s="794">
        <v>103.29917522140009</v>
      </c>
      <c r="K2755" s="771"/>
    </row>
    <row r="2756" spans="1:11" ht="18.75" customHeight="1" outlineLevel="2">
      <c r="A2756" s="791" t="s">
        <v>776</v>
      </c>
      <c r="B2756" s="791" t="s">
        <v>1033</v>
      </c>
      <c r="C2756" s="791" t="s">
        <v>1009</v>
      </c>
      <c r="D2756" s="792" t="s">
        <v>779</v>
      </c>
      <c r="E2756" s="793" t="s">
        <v>947</v>
      </c>
      <c r="F2756" s="793" t="s">
        <v>991</v>
      </c>
      <c r="G2756" s="793" t="s">
        <v>791</v>
      </c>
      <c r="H2756" s="793" t="s">
        <v>826</v>
      </c>
      <c r="I2756" s="794">
        <v>7.4447000095601467E-6</v>
      </c>
      <c r="J2756" s="794">
        <v>0.57176826085585686</v>
      </c>
      <c r="K2756" s="771"/>
    </row>
    <row r="2757" spans="1:11" ht="18.75" customHeight="1" outlineLevel="2">
      <c r="A2757" s="791" t="s">
        <v>776</v>
      </c>
      <c r="B2757" s="791" t="s">
        <v>1033</v>
      </c>
      <c r="C2757" s="791" t="s">
        <v>1009</v>
      </c>
      <c r="D2757" s="792" t="s">
        <v>779</v>
      </c>
      <c r="E2757" s="793" t="s">
        <v>947</v>
      </c>
      <c r="F2757" s="793" t="s">
        <v>992</v>
      </c>
      <c r="G2757" s="793" t="s">
        <v>791</v>
      </c>
      <c r="H2757" s="793" t="s">
        <v>826</v>
      </c>
      <c r="I2757" s="794">
        <v>1.4512375972274056E-6</v>
      </c>
      <c r="J2757" s="794">
        <v>0.12011107268976248</v>
      </c>
      <c r="K2757" s="771"/>
    </row>
    <row r="2758" spans="1:11" ht="18.75" customHeight="1" outlineLevel="2">
      <c r="A2758" s="791" t="s">
        <v>776</v>
      </c>
      <c r="B2758" s="791" t="s">
        <v>1033</v>
      </c>
      <c r="C2758" s="791" t="s">
        <v>1009</v>
      </c>
      <c r="D2758" s="792" t="s">
        <v>779</v>
      </c>
      <c r="E2758" s="793" t="s">
        <v>947</v>
      </c>
      <c r="F2758" s="793" t="s">
        <v>993</v>
      </c>
      <c r="G2758" s="793" t="s">
        <v>791</v>
      </c>
      <c r="H2758" s="793" t="s">
        <v>826</v>
      </c>
      <c r="I2758" s="794">
        <v>9.5273588166017512E-5</v>
      </c>
      <c r="J2758" s="794">
        <v>8.7602207743683635</v>
      </c>
      <c r="K2758" s="771"/>
    </row>
    <row r="2759" spans="1:11" ht="18.75" customHeight="1" outlineLevel="2">
      <c r="A2759" s="791" t="s">
        <v>776</v>
      </c>
      <c r="B2759" s="791" t="s">
        <v>1033</v>
      </c>
      <c r="C2759" s="791" t="s">
        <v>1009</v>
      </c>
      <c r="D2759" s="792" t="s">
        <v>779</v>
      </c>
      <c r="E2759" s="793" t="s">
        <v>947</v>
      </c>
      <c r="F2759" s="793" t="s">
        <v>994</v>
      </c>
      <c r="G2759" s="793" t="s">
        <v>791</v>
      </c>
      <c r="H2759" s="793" t="s">
        <v>826</v>
      </c>
      <c r="I2759" s="794">
        <v>2.0143278162087441E-7</v>
      </c>
      <c r="J2759" s="794">
        <v>2.423683360109594E-2</v>
      </c>
      <c r="K2759" s="771"/>
    </row>
    <row r="2760" spans="1:11" ht="18.75" customHeight="1" outlineLevel="2">
      <c r="A2760" s="791" t="s">
        <v>776</v>
      </c>
      <c r="B2760" s="791" t="s">
        <v>1033</v>
      </c>
      <c r="C2760" s="791" t="s">
        <v>1009</v>
      </c>
      <c r="D2760" s="792" t="s">
        <v>779</v>
      </c>
      <c r="E2760" s="793" t="s">
        <v>947</v>
      </c>
      <c r="F2760" s="793" t="s">
        <v>995</v>
      </c>
      <c r="G2760" s="793" t="s">
        <v>791</v>
      </c>
      <c r="H2760" s="793" t="s">
        <v>826</v>
      </c>
      <c r="I2760" s="794">
        <v>8.5752205831741762E-5</v>
      </c>
      <c r="J2760" s="794">
        <v>8.0999805010438077</v>
      </c>
      <c r="K2760" s="771"/>
    </row>
    <row r="2761" spans="1:11" ht="18.75" customHeight="1" outlineLevel="2">
      <c r="A2761" s="791" t="s">
        <v>776</v>
      </c>
      <c r="B2761" s="791" t="s">
        <v>1033</v>
      </c>
      <c r="C2761" s="791" t="s">
        <v>1009</v>
      </c>
      <c r="D2761" s="792" t="s">
        <v>779</v>
      </c>
      <c r="E2761" s="793" t="s">
        <v>947</v>
      </c>
      <c r="F2761" s="793" t="s">
        <v>996</v>
      </c>
      <c r="G2761" s="793" t="s">
        <v>791</v>
      </c>
      <c r="H2761" s="793" t="s">
        <v>826</v>
      </c>
      <c r="I2761" s="794">
        <v>2.5354163209831415E-4</v>
      </c>
      <c r="J2761" s="794">
        <v>22.540922059954855</v>
      </c>
      <c r="K2761" s="771"/>
    </row>
    <row r="2762" spans="1:11" ht="18.75" customHeight="1" outlineLevel="2">
      <c r="A2762" s="791" t="s">
        <v>776</v>
      </c>
      <c r="B2762" s="791" t="s">
        <v>1033</v>
      </c>
      <c r="C2762" s="791" t="s">
        <v>1009</v>
      </c>
      <c r="D2762" s="792" t="s">
        <v>779</v>
      </c>
      <c r="E2762" s="793" t="s">
        <v>947</v>
      </c>
      <c r="F2762" s="793" t="s">
        <v>997</v>
      </c>
      <c r="G2762" s="793" t="s">
        <v>791</v>
      </c>
      <c r="H2762" s="793" t="s">
        <v>826</v>
      </c>
      <c r="I2762" s="794">
        <v>3.8452593625011339E-4</v>
      </c>
      <c r="J2762" s="794">
        <v>16.621036102568606</v>
      </c>
      <c r="K2762" s="771"/>
    </row>
    <row r="2763" spans="1:11" ht="18.75" customHeight="1" outlineLevel="2">
      <c r="A2763" s="791" t="s">
        <v>776</v>
      </c>
      <c r="B2763" s="791" t="s">
        <v>1033</v>
      </c>
      <c r="C2763" s="791" t="s">
        <v>1009</v>
      </c>
      <c r="D2763" s="792" t="s">
        <v>779</v>
      </c>
      <c r="E2763" s="793" t="s">
        <v>947</v>
      </c>
      <c r="F2763" s="793" t="s">
        <v>998</v>
      </c>
      <c r="G2763" s="793" t="s">
        <v>794</v>
      </c>
      <c r="H2763" s="793" t="s">
        <v>828</v>
      </c>
      <c r="I2763" s="794">
        <v>0.10749201216116724</v>
      </c>
      <c r="J2763" s="794">
        <v>3930.6569203526178</v>
      </c>
      <c r="K2763" s="771"/>
    </row>
    <row r="2764" spans="1:11" ht="18.75" customHeight="1" outlineLevel="2">
      <c r="A2764" s="791" t="s">
        <v>776</v>
      </c>
      <c r="B2764" s="791" t="s">
        <v>1033</v>
      </c>
      <c r="C2764" s="791" t="s">
        <v>1009</v>
      </c>
      <c r="D2764" s="792" t="s">
        <v>779</v>
      </c>
      <c r="E2764" s="793" t="s">
        <v>947</v>
      </c>
      <c r="F2764" s="793" t="s">
        <v>999</v>
      </c>
      <c r="G2764" s="793" t="s">
        <v>794</v>
      </c>
      <c r="H2764" s="793" t="s">
        <v>828</v>
      </c>
      <c r="I2764" s="794">
        <v>2.5349919996912294E-2</v>
      </c>
      <c r="J2764" s="794">
        <v>927.70683049143486</v>
      </c>
      <c r="K2764" s="771"/>
    </row>
    <row r="2765" spans="1:11" ht="18.75" customHeight="1" outlineLevel="2">
      <c r="A2765" s="791" t="s">
        <v>776</v>
      </c>
      <c r="B2765" s="791" t="s">
        <v>1033</v>
      </c>
      <c r="C2765" s="791" t="s">
        <v>1009</v>
      </c>
      <c r="D2765" s="792" t="s">
        <v>779</v>
      </c>
      <c r="E2765" s="793" t="s">
        <v>947</v>
      </c>
      <c r="F2765" s="793" t="s">
        <v>1000</v>
      </c>
      <c r="G2765" s="793" t="s">
        <v>794</v>
      </c>
      <c r="H2765" s="793" t="s">
        <v>828</v>
      </c>
      <c r="I2765" s="794">
        <v>7.114654850217908E-2</v>
      </c>
      <c r="J2765" s="794">
        <v>2573.8094444667613</v>
      </c>
      <c r="K2765" s="771"/>
    </row>
    <row r="2766" spans="1:11" ht="18.75" customHeight="1" outlineLevel="2">
      <c r="A2766" s="791" t="s">
        <v>776</v>
      </c>
      <c r="B2766" s="791" t="s">
        <v>1033</v>
      </c>
      <c r="C2766" s="791" t="s">
        <v>1009</v>
      </c>
      <c r="D2766" s="792" t="s">
        <v>779</v>
      </c>
      <c r="E2766" s="793" t="s">
        <v>947</v>
      </c>
      <c r="F2766" s="793" t="s">
        <v>1001</v>
      </c>
      <c r="G2766" s="793" t="s">
        <v>794</v>
      </c>
      <c r="H2766" s="793" t="s">
        <v>828</v>
      </c>
      <c r="I2766" s="794">
        <v>6.0077355095100961E-2</v>
      </c>
      <c r="J2766" s="794">
        <v>1306.801626555831</v>
      </c>
      <c r="K2766" s="771"/>
    </row>
    <row r="2767" spans="1:11" ht="18.75" customHeight="1" outlineLevel="2">
      <c r="A2767" s="791" t="s">
        <v>776</v>
      </c>
      <c r="B2767" s="791" t="s">
        <v>1033</v>
      </c>
      <c r="C2767" s="791" t="s">
        <v>1009</v>
      </c>
      <c r="D2767" s="792" t="s">
        <v>779</v>
      </c>
      <c r="E2767" s="793" t="s">
        <v>947</v>
      </c>
      <c r="F2767" s="793" t="s">
        <v>1002</v>
      </c>
      <c r="G2767" s="793" t="s">
        <v>794</v>
      </c>
      <c r="H2767" s="793" t="s">
        <v>828</v>
      </c>
      <c r="I2767" s="794">
        <v>2.9885113473512768E-3</v>
      </c>
      <c r="J2767" s="794">
        <v>125.681536808096</v>
      </c>
      <c r="K2767" s="771"/>
    </row>
    <row r="2768" spans="1:11" ht="18.75" customHeight="1" outlineLevel="2">
      <c r="A2768" s="791" t="s">
        <v>776</v>
      </c>
      <c r="B2768" s="791" t="s">
        <v>1033</v>
      </c>
      <c r="C2768" s="791" t="s">
        <v>1009</v>
      </c>
      <c r="D2768" s="792" t="s">
        <v>779</v>
      </c>
      <c r="E2768" s="793" t="s">
        <v>947</v>
      </c>
      <c r="F2768" s="793" t="s">
        <v>1003</v>
      </c>
      <c r="G2768" s="793" t="s">
        <v>794</v>
      </c>
      <c r="H2768" s="793" t="s">
        <v>828</v>
      </c>
      <c r="I2768" s="794">
        <v>3.4573665535095445E-3</v>
      </c>
      <c r="J2768" s="794">
        <v>111.2382291795069</v>
      </c>
      <c r="K2768" s="771"/>
    </row>
    <row r="2769" spans="1:11" ht="18.75" customHeight="1" outlineLevel="2">
      <c r="A2769" s="791" t="s">
        <v>776</v>
      </c>
      <c r="B2769" s="791" t="s">
        <v>1033</v>
      </c>
      <c r="C2769" s="791" t="s">
        <v>1009</v>
      </c>
      <c r="D2769" s="792" t="s">
        <v>779</v>
      </c>
      <c r="E2769" s="793" t="s">
        <v>947</v>
      </c>
      <c r="F2769" s="793" t="s">
        <v>1004</v>
      </c>
      <c r="G2769" s="793" t="s">
        <v>833</v>
      </c>
      <c r="H2769" s="793" t="s">
        <v>834</v>
      </c>
      <c r="I2769" s="794">
        <v>2.256078536684279E-3</v>
      </c>
      <c r="J2769" s="794">
        <v>147.85856073512448</v>
      </c>
      <c r="K2769" s="771"/>
    </row>
    <row r="2770" spans="1:11" ht="18.75" customHeight="1" outlineLevel="2">
      <c r="A2770" s="791" t="s">
        <v>776</v>
      </c>
      <c r="B2770" s="791" t="s">
        <v>1033</v>
      </c>
      <c r="C2770" s="791" t="s">
        <v>1009</v>
      </c>
      <c r="D2770" s="792" t="s">
        <v>779</v>
      </c>
      <c r="E2770" s="793" t="s">
        <v>947</v>
      </c>
      <c r="F2770" s="793" t="s">
        <v>1019</v>
      </c>
      <c r="G2770" s="793" t="s">
        <v>785</v>
      </c>
      <c r="H2770" s="793" t="s">
        <v>727</v>
      </c>
      <c r="I2770" s="794">
        <v>1.6779805988750959E-3</v>
      </c>
      <c r="J2770" s="794">
        <v>53.304081073667803</v>
      </c>
      <c r="K2770" s="771"/>
    </row>
    <row r="2771" spans="1:11" ht="18.75" customHeight="1" outlineLevel="2">
      <c r="A2771" s="791" t="s">
        <v>776</v>
      </c>
      <c r="B2771" s="791" t="s">
        <v>1033</v>
      </c>
      <c r="C2771" s="791" t="s">
        <v>1009</v>
      </c>
      <c r="D2771" s="792" t="s">
        <v>779</v>
      </c>
      <c r="E2771" s="793" t="s">
        <v>947</v>
      </c>
      <c r="F2771" s="793" t="s">
        <v>1007</v>
      </c>
      <c r="G2771" s="793" t="s">
        <v>244</v>
      </c>
      <c r="H2771" s="793" t="s">
        <v>911</v>
      </c>
      <c r="I2771" s="794">
        <v>7.198739745045645E-3</v>
      </c>
      <c r="J2771" s="794">
        <v>160.49002390020124</v>
      </c>
      <c r="K2771" s="771"/>
    </row>
    <row r="2772" spans="1:11" ht="18.75" customHeight="1" outlineLevel="2">
      <c r="A2772" s="791" t="s">
        <v>776</v>
      </c>
      <c r="B2772" s="791" t="s">
        <v>1034</v>
      </c>
      <c r="C2772" s="791" t="s">
        <v>1035</v>
      </c>
      <c r="D2772" s="792" t="s">
        <v>779</v>
      </c>
      <c r="E2772" s="793" t="s">
        <v>780</v>
      </c>
      <c r="F2772" s="793" t="s">
        <v>781</v>
      </c>
      <c r="G2772" s="793" t="s">
        <v>782</v>
      </c>
      <c r="H2772" s="793" t="s">
        <v>783</v>
      </c>
      <c r="I2772" s="794">
        <v>1.3587907479171654E-3</v>
      </c>
      <c r="J2772" s="794">
        <v>1.99881255646783E-2</v>
      </c>
      <c r="K2772" s="771"/>
    </row>
    <row r="2773" spans="1:11" ht="18.75" customHeight="1" outlineLevel="2">
      <c r="A2773" s="791" t="s">
        <v>776</v>
      </c>
      <c r="B2773" s="791" t="s">
        <v>1034</v>
      </c>
      <c r="C2773" s="791" t="s">
        <v>1035</v>
      </c>
      <c r="D2773" s="792" t="s">
        <v>779</v>
      </c>
      <c r="E2773" s="793" t="s">
        <v>780</v>
      </c>
      <c r="F2773" s="793" t="s">
        <v>784</v>
      </c>
      <c r="G2773" s="793" t="s">
        <v>785</v>
      </c>
      <c r="H2773" s="793" t="s">
        <v>783</v>
      </c>
      <c r="I2773" s="794">
        <v>0.38200524468536434</v>
      </c>
      <c r="J2773" s="794">
        <v>62.035369039155135</v>
      </c>
      <c r="K2773" s="771"/>
    </row>
    <row r="2774" spans="1:11" ht="18.75" customHeight="1" outlineLevel="2">
      <c r="A2774" s="791" t="s">
        <v>776</v>
      </c>
      <c r="B2774" s="791" t="s">
        <v>1034</v>
      </c>
      <c r="C2774" s="791" t="s">
        <v>1035</v>
      </c>
      <c r="D2774" s="792" t="s">
        <v>779</v>
      </c>
      <c r="E2774" s="793" t="s">
        <v>780</v>
      </c>
      <c r="F2774" s="793" t="s">
        <v>786</v>
      </c>
      <c r="G2774" s="793" t="s">
        <v>785</v>
      </c>
      <c r="H2774" s="793" t="s">
        <v>783</v>
      </c>
      <c r="I2774" s="794">
        <v>3.1022605768709027E-4</v>
      </c>
      <c r="J2774" s="794">
        <v>5.2554953914879778E-2</v>
      </c>
      <c r="K2774" s="771"/>
    </row>
    <row r="2775" spans="1:11" ht="18.75" customHeight="1" outlineLevel="2">
      <c r="A2775" s="791" t="s">
        <v>776</v>
      </c>
      <c r="B2775" s="791" t="s">
        <v>1034</v>
      </c>
      <c r="C2775" s="791" t="s">
        <v>1035</v>
      </c>
      <c r="D2775" s="792" t="s">
        <v>779</v>
      </c>
      <c r="E2775" s="793" t="s">
        <v>780</v>
      </c>
      <c r="F2775" s="793" t="s">
        <v>787</v>
      </c>
      <c r="G2775" s="793" t="s">
        <v>785</v>
      </c>
      <c r="H2775" s="793" t="s">
        <v>783</v>
      </c>
      <c r="I2775" s="794">
        <v>1.5589685620196264E-4</v>
      </c>
      <c r="J2775" s="794">
        <v>2.8638884363889151E-2</v>
      </c>
      <c r="K2775" s="771"/>
    </row>
    <row r="2776" spans="1:11" ht="18.75" customHeight="1" outlineLevel="2">
      <c r="A2776" s="791" t="s">
        <v>776</v>
      </c>
      <c r="B2776" s="791" t="s">
        <v>1034</v>
      </c>
      <c r="C2776" s="791" t="s">
        <v>1035</v>
      </c>
      <c r="D2776" s="792" t="s">
        <v>779</v>
      </c>
      <c r="E2776" s="793" t="s">
        <v>780</v>
      </c>
      <c r="F2776" s="793" t="s">
        <v>788</v>
      </c>
      <c r="G2776" s="793" t="s">
        <v>785</v>
      </c>
      <c r="H2776" s="793" t="s">
        <v>783</v>
      </c>
      <c r="I2776" s="794">
        <v>8.2258131057246007E-4</v>
      </c>
      <c r="J2776" s="794">
        <v>0.13102985080709939</v>
      </c>
      <c r="K2776" s="771"/>
    </row>
    <row r="2777" spans="1:11" ht="18.75" customHeight="1" outlineLevel="2">
      <c r="A2777" s="791" t="s">
        <v>776</v>
      </c>
      <c r="B2777" s="791" t="s">
        <v>1034</v>
      </c>
      <c r="C2777" s="791" t="s">
        <v>1035</v>
      </c>
      <c r="D2777" s="792" t="s">
        <v>779</v>
      </c>
      <c r="E2777" s="793" t="s">
        <v>780</v>
      </c>
      <c r="F2777" s="793" t="s">
        <v>789</v>
      </c>
      <c r="G2777" s="793" t="s">
        <v>785</v>
      </c>
      <c r="H2777" s="793" t="s">
        <v>783</v>
      </c>
      <c r="I2777" s="794">
        <v>1.4269608610470526E-3</v>
      </c>
      <c r="J2777" s="794">
        <v>0.3510203317480014</v>
      </c>
      <c r="K2777" s="771"/>
    </row>
    <row r="2778" spans="1:11" ht="18.75" customHeight="1" outlineLevel="2">
      <c r="A2778" s="791" t="s">
        <v>776</v>
      </c>
      <c r="B2778" s="791" t="s">
        <v>1034</v>
      </c>
      <c r="C2778" s="791" t="s">
        <v>1035</v>
      </c>
      <c r="D2778" s="792" t="s">
        <v>779</v>
      </c>
      <c r="E2778" s="793" t="s">
        <v>780</v>
      </c>
      <c r="F2778" s="793" t="s">
        <v>790</v>
      </c>
      <c r="G2778" s="793" t="s">
        <v>791</v>
      </c>
      <c r="H2778" s="793" t="s">
        <v>783</v>
      </c>
      <c r="I2778" s="794">
        <v>8.254500280080403E-3</v>
      </c>
      <c r="J2778" s="794">
        <v>0.1096437378045013</v>
      </c>
      <c r="K2778" s="771"/>
    </row>
    <row r="2779" spans="1:11" ht="18.75" customHeight="1" outlineLevel="2">
      <c r="A2779" s="791" t="s">
        <v>776</v>
      </c>
      <c r="B2779" s="791" t="s">
        <v>1034</v>
      </c>
      <c r="C2779" s="791" t="s">
        <v>1035</v>
      </c>
      <c r="D2779" s="792" t="s">
        <v>779</v>
      </c>
      <c r="E2779" s="793" t="s">
        <v>780</v>
      </c>
      <c r="F2779" s="793" t="s">
        <v>792</v>
      </c>
      <c r="G2779" s="793" t="s">
        <v>791</v>
      </c>
      <c r="H2779" s="793" t="s">
        <v>783</v>
      </c>
      <c r="I2779" s="794">
        <v>6.1271813305757886E-2</v>
      </c>
      <c r="J2779" s="794">
        <v>11.899575100895369</v>
      </c>
      <c r="K2779" s="771"/>
    </row>
    <row r="2780" spans="1:11" ht="18.75" customHeight="1" outlineLevel="2">
      <c r="A2780" s="791" t="s">
        <v>776</v>
      </c>
      <c r="B2780" s="791" t="s">
        <v>1034</v>
      </c>
      <c r="C2780" s="791" t="s">
        <v>1035</v>
      </c>
      <c r="D2780" s="792" t="s">
        <v>779</v>
      </c>
      <c r="E2780" s="793" t="s">
        <v>780</v>
      </c>
      <c r="F2780" s="793" t="s">
        <v>793</v>
      </c>
      <c r="G2780" s="793" t="s">
        <v>794</v>
      </c>
      <c r="H2780" s="793" t="s">
        <v>783</v>
      </c>
      <c r="I2780" s="794">
        <v>0.31057470003243592</v>
      </c>
      <c r="J2780" s="794">
        <v>8.0602397111289399</v>
      </c>
      <c r="K2780" s="771"/>
    </row>
    <row r="2781" spans="1:11" ht="18.75" customHeight="1" outlineLevel="2">
      <c r="A2781" s="791" t="s">
        <v>776</v>
      </c>
      <c r="B2781" s="791" t="s">
        <v>1034</v>
      </c>
      <c r="C2781" s="791" t="s">
        <v>1035</v>
      </c>
      <c r="D2781" s="792" t="s">
        <v>779</v>
      </c>
      <c r="E2781" s="793" t="s">
        <v>780</v>
      </c>
      <c r="F2781" s="793" t="s">
        <v>795</v>
      </c>
      <c r="G2781" s="793" t="s">
        <v>794</v>
      </c>
      <c r="H2781" s="793" t="s">
        <v>783</v>
      </c>
      <c r="I2781" s="794">
        <v>9.3917341696614504E-3</v>
      </c>
      <c r="J2781" s="794">
        <v>0.38480955820654539</v>
      </c>
      <c r="K2781" s="771"/>
    </row>
    <row r="2782" spans="1:11" ht="18.75" customHeight="1" outlineLevel="2">
      <c r="A2782" s="791" t="s">
        <v>776</v>
      </c>
      <c r="B2782" s="791" t="s">
        <v>1034</v>
      </c>
      <c r="C2782" s="791" t="s">
        <v>1035</v>
      </c>
      <c r="D2782" s="792" t="s">
        <v>779</v>
      </c>
      <c r="E2782" s="793" t="s">
        <v>780</v>
      </c>
      <c r="F2782" s="793" t="s">
        <v>796</v>
      </c>
      <c r="G2782" s="793" t="s">
        <v>794</v>
      </c>
      <c r="H2782" s="793" t="s">
        <v>783</v>
      </c>
      <c r="I2782" s="794">
        <v>4.8815938151187434E-3</v>
      </c>
      <c r="J2782" s="794">
        <v>0.56254778336332933</v>
      </c>
      <c r="K2782" s="771"/>
    </row>
    <row r="2783" spans="1:11" ht="18.75" customHeight="1" outlineLevel="2">
      <c r="A2783" s="791" t="s">
        <v>776</v>
      </c>
      <c r="B2783" s="791" t="s">
        <v>1034</v>
      </c>
      <c r="C2783" s="791" t="s">
        <v>1035</v>
      </c>
      <c r="D2783" s="792" t="s">
        <v>779</v>
      </c>
      <c r="E2783" s="793" t="s">
        <v>780</v>
      </c>
      <c r="F2783" s="793" t="s">
        <v>797</v>
      </c>
      <c r="G2783" s="793" t="s">
        <v>794</v>
      </c>
      <c r="H2783" s="793" t="s">
        <v>783</v>
      </c>
      <c r="I2783" s="794">
        <v>9.5462085097272234E-2</v>
      </c>
      <c r="J2783" s="794">
        <v>19.976911931800906</v>
      </c>
      <c r="K2783" s="771"/>
    </row>
    <row r="2784" spans="1:11" ht="18.75" customHeight="1" outlineLevel="2">
      <c r="A2784" s="791" t="s">
        <v>776</v>
      </c>
      <c r="B2784" s="791" t="s">
        <v>1034</v>
      </c>
      <c r="C2784" s="791" t="s">
        <v>1035</v>
      </c>
      <c r="D2784" s="792" t="s">
        <v>779</v>
      </c>
      <c r="E2784" s="793" t="s">
        <v>780</v>
      </c>
      <c r="F2784" s="793" t="s">
        <v>1017</v>
      </c>
      <c r="G2784" s="793" t="s">
        <v>785</v>
      </c>
      <c r="H2784" s="793" t="s">
        <v>783</v>
      </c>
      <c r="I2784" s="794">
        <v>3.2298052061064723E-2</v>
      </c>
      <c r="J2784" s="794">
        <v>7.3396805580313709</v>
      </c>
      <c r="K2784" s="771"/>
    </row>
    <row r="2785" spans="1:11" ht="18.75" customHeight="1" outlineLevel="2">
      <c r="A2785" s="791" t="s">
        <v>776</v>
      </c>
      <c r="B2785" s="791" t="s">
        <v>1034</v>
      </c>
      <c r="C2785" s="791" t="s">
        <v>1035</v>
      </c>
      <c r="D2785" s="792" t="s">
        <v>779</v>
      </c>
      <c r="E2785" s="793" t="s">
        <v>662</v>
      </c>
      <c r="F2785" s="793" t="s">
        <v>798</v>
      </c>
      <c r="G2785" s="793" t="s">
        <v>799</v>
      </c>
      <c r="H2785" s="793" t="s">
        <v>800</v>
      </c>
      <c r="I2785" s="794">
        <v>0.62709222247279683</v>
      </c>
      <c r="J2785" s="794">
        <v>180.183873799563</v>
      </c>
      <c r="K2785" s="771"/>
    </row>
    <row r="2786" spans="1:11" ht="18.75" customHeight="1" outlineLevel="2">
      <c r="A2786" s="791" t="s">
        <v>776</v>
      </c>
      <c r="B2786" s="791" t="s">
        <v>1034</v>
      </c>
      <c r="C2786" s="791" t="s">
        <v>1035</v>
      </c>
      <c r="D2786" s="792" t="s">
        <v>779</v>
      </c>
      <c r="E2786" s="793" t="s">
        <v>662</v>
      </c>
      <c r="F2786" s="793" t="s">
        <v>801</v>
      </c>
      <c r="G2786" s="793" t="s">
        <v>799</v>
      </c>
      <c r="H2786" s="793" t="s">
        <v>800</v>
      </c>
      <c r="I2786" s="794">
        <v>0.19155200138827846</v>
      </c>
      <c r="J2786" s="794">
        <v>77.381798849913579</v>
      </c>
      <c r="K2786" s="771"/>
    </row>
    <row r="2787" spans="1:11" ht="18.75" customHeight="1" outlineLevel="2">
      <c r="A2787" s="791" t="s">
        <v>776</v>
      </c>
      <c r="B2787" s="791" t="s">
        <v>1034</v>
      </c>
      <c r="C2787" s="791" t="s">
        <v>1035</v>
      </c>
      <c r="D2787" s="792" t="s">
        <v>779</v>
      </c>
      <c r="E2787" s="793" t="s">
        <v>662</v>
      </c>
      <c r="F2787" s="793" t="s">
        <v>802</v>
      </c>
      <c r="G2787" s="793" t="s">
        <v>799</v>
      </c>
      <c r="H2787" s="793" t="s">
        <v>800</v>
      </c>
      <c r="I2787" s="794">
        <v>8.7185679491838933E-2</v>
      </c>
      <c r="J2787" s="794">
        <v>112.12724707176625</v>
      </c>
      <c r="K2787" s="771"/>
    </row>
    <row r="2788" spans="1:11" ht="18.75" customHeight="1" outlineLevel="2">
      <c r="A2788" s="791" t="s">
        <v>776</v>
      </c>
      <c r="B2788" s="791" t="s">
        <v>1034</v>
      </c>
      <c r="C2788" s="791" t="s">
        <v>1035</v>
      </c>
      <c r="D2788" s="792" t="s">
        <v>779</v>
      </c>
      <c r="E2788" s="793" t="s">
        <v>662</v>
      </c>
      <c r="F2788" s="793" t="s">
        <v>803</v>
      </c>
      <c r="G2788" s="793" t="s">
        <v>782</v>
      </c>
      <c r="H2788" s="793" t="s">
        <v>804</v>
      </c>
      <c r="I2788" s="794">
        <v>4.2000965199312382E-3</v>
      </c>
      <c r="J2788" s="794">
        <v>2.6060757465151432</v>
      </c>
      <c r="K2788" s="771"/>
    </row>
    <row r="2789" spans="1:11" ht="18.75" customHeight="1" outlineLevel="2">
      <c r="A2789" s="791" t="s">
        <v>776</v>
      </c>
      <c r="B2789" s="791" t="s">
        <v>1034</v>
      </c>
      <c r="C2789" s="791" t="s">
        <v>1035</v>
      </c>
      <c r="D2789" s="792" t="s">
        <v>779</v>
      </c>
      <c r="E2789" s="793" t="s">
        <v>662</v>
      </c>
      <c r="F2789" s="793" t="s">
        <v>805</v>
      </c>
      <c r="G2789" s="793" t="s">
        <v>782</v>
      </c>
      <c r="H2789" s="793" t="s">
        <v>804</v>
      </c>
      <c r="I2789" s="794">
        <v>3.4856350343657241E-4</v>
      </c>
      <c r="J2789" s="794">
        <v>0.16881157745425165</v>
      </c>
      <c r="K2789" s="771"/>
    </row>
    <row r="2790" spans="1:11" ht="18.75" customHeight="1" outlineLevel="2">
      <c r="A2790" s="791" t="s">
        <v>776</v>
      </c>
      <c r="B2790" s="791" t="s">
        <v>1034</v>
      </c>
      <c r="C2790" s="791" t="s">
        <v>1035</v>
      </c>
      <c r="D2790" s="792" t="s">
        <v>779</v>
      </c>
      <c r="E2790" s="793" t="s">
        <v>662</v>
      </c>
      <c r="F2790" s="793" t="s">
        <v>806</v>
      </c>
      <c r="G2790" s="793" t="s">
        <v>782</v>
      </c>
      <c r="H2790" s="793" t="s">
        <v>804</v>
      </c>
      <c r="I2790" s="794">
        <v>4.2241332900267592E-4</v>
      </c>
      <c r="J2790" s="794">
        <v>0.20177768740848162</v>
      </c>
      <c r="K2790" s="771"/>
    </row>
    <row r="2791" spans="1:11" ht="18.75" customHeight="1" outlineLevel="2">
      <c r="A2791" s="791" t="s">
        <v>776</v>
      </c>
      <c r="B2791" s="791" t="s">
        <v>1034</v>
      </c>
      <c r="C2791" s="791" t="s">
        <v>1035</v>
      </c>
      <c r="D2791" s="792" t="s">
        <v>779</v>
      </c>
      <c r="E2791" s="793" t="s">
        <v>662</v>
      </c>
      <c r="F2791" s="793" t="s">
        <v>807</v>
      </c>
      <c r="G2791" s="793" t="s">
        <v>782</v>
      </c>
      <c r="H2791" s="793" t="s">
        <v>804</v>
      </c>
      <c r="I2791" s="794">
        <v>3.1239266423971515E-6</v>
      </c>
      <c r="J2791" s="794">
        <v>1.3981018882221583E-3</v>
      </c>
      <c r="K2791" s="771"/>
    </row>
    <row r="2792" spans="1:11" ht="18.75" customHeight="1" outlineLevel="2">
      <c r="A2792" s="791" t="s">
        <v>776</v>
      </c>
      <c r="B2792" s="791" t="s">
        <v>1034</v>
      </c>
      <c r="C2792" s="791" t="s">
        <v>1035</v>
      </c>
      <c r="D2792" s="792" t="s">
        <v>779</v>
      </c>
      <c r="E2792" s="793" t="s">
        <v>662</v>
      </c>
      <c r="F2792" s="793" t="s">
        <v>808</v>
      </c>
      <c r="G2792" s="793" t="s">
        <v>782</v>
      </c>
      <c r="H2792" s="793" t="s">
        <v>804</v>
      </c>
      <c r="I2792" s="794">
        <v>1.2041232401713047E-2</v>
      </c>
      <c r="J2792" s="794">
        <v>6.7236342640739828</v>
      </c>
      <c r="K2792" s="771"/>
    </row>
    <row r="2793" spans="1:11" ht="18.75" customHeight="1" outlineLevel="2">
      <c r="A2793" s="791" t="s">
        <v>776</v>
      </c>
      <c r="B2793" s="791" t="s">
        <v>1034</v>
      </c>
      <c r="C2793" s="791" t="s">
        <v>1035</v>
      </c>
      <c r="D2793" s="792" t="s">
        <v>779</v>
      </c>
      <c r="E2793" s="793" t="s">
        <v>662</v>
      </c>
      <c r="F2793" s="793" t="s">
        <v>809</v>
      </c>
      <c r="G2793" s="793" t="s">
        <v>782</v>
      </c>
      <c r="H2793" s="793" t="s">
        <v>804</v>
      </c>
      <c r="I2793" s="794">
        <v>8.8041626023005983E-5</v>
      </c>
      <c r="J2793" s="794">
        <v>3.9402689673553065E-2</v>
      </c>
      <c r="K2793" s="771"/>
    </row>
    <row r="2794" spans="1:11" ht="18.75" customHeight="1" outlineLevel="2">
      <c r="A2794" s="791" t="s">
        <v>776</v>
      </c>
      <c r="B2794" s="791" t="s">
        <v>1034</v>
      </c>
      <c r="C2794" s="791" t="s">
        <v>1035</v>
      </c>
      <c r="D2794" s="792" t="s">
        <v>779</v>
      </c>
      <c r="E2794" s="793" t="s">
        <v>662</v>
      </c>
      <c r="F2794" s="793" t="s">
        <v>810</v>
      </c>
      <c r="G2794" s="793" t="s">
        <v>785</v>
      </c>
      <c r="H2794" s="793" t="s">
        <v>727</v>
      </c>
      <c r="I2794" s="794">
        <v>3.7833783292420272E-4</v>
      </c>
      <c r="J2794" s="794">
        <v>0.16932369799530883</v>
      </c>
      <c r="K2794" s="771"/>
    </row>
    <row r="2795" spans="1:11" ht="18.75" customHeight="1" outlineLevel="2">
      <c r="A2795" s="791" t="s">
        <v>776</v>
      </c>
      <c r="B2795" s="791" t="s">
        <v>1034</v>
      </c>
      <c r="C2795" s="791" t="s">
        <v>1035</v>
      </c>
      <c r="D2795" s="792" t="s">
        <v>779</v>
      </c>
      <c r="E2795" s="793" t="s">
        <v>662</v>
      </c>
      <c r="F2795" s="793" t="s">
        <v>811</v>
      </c>
      <c r="G2795" s="793" t="s">
        <v>785</v>
      </c>
      <c r="H2795" s="793" t="s">
        <v>727</v>
      </c>
      <c r="I2795" s="794">
        <v>2.8950943307439108E-5</v>
      </c>
      <c r="J2795" s="794">
        <v>1.2956888568718079E-2</v>
      </c>
      <c r="K2795" s="771"/>
    </row>
    <row r="2796" spans="1:11" ht="18.75" customHeight="1" outlineLevel="2">
      <c r="A2796" s="791" t="s">
        <v>776</v>
      </c>
      <c r="B2796" s="791" t="s">
        <v>1034</v>
      </c>
      <c r="C2796" s="791" t="s">
        <v>1035</v>
      </c>
      <c r="D2796" s="792" t="s">
        <v>779</v>
      </c>
      <c r="E2796" s="793" t="s">
        <v>662</v>
      </c>
      <c r="F2796" s="793" t="s">
        <v>812</v>
      </c>
      <c r="G2796" s="793" t="s">
        <v>813</v>
      </c>
      <c r="H2796" s="793" t="s">
        <v>814</v>
      </c>
      <c r="I2796" s="794">
        <v>1.5889348474570609E-3</v>
      </c>
      <c r="J2796" s="794">
        <v>0.87020612406466991</v>
      </c>
      <c r="K2796" s="771"/>
    </row>
    <row r="2797" spans="1:11" ht="18.75" customHeight="1" outlineLevel="2">
      <c r="A2797" s="791" t="s">
        <v>776</v>
      </c>
      <c r="B2797" s="791" t="s">
        <v>1034</v>
      </c>
      <c r="C2797" s="791" t="s">
        <v>1035</v>
      </c>
      <c r="D2797" s="792" t="s">
        <v>779</v>
      </c>
      <c r="E2797" s="793" t="s">
        <v>662</v>
      </c>
      <c r="F2797" s="793" t="s">
        <v>815</v>
      </c>
      <c r="G2797" s="793" t="s">
        <v>813</v>
      </c>
      <c r="H2797" s="793" t="s">
        <v>814</v>
      </c>
      <c r="I2797" s="794">
        <v>2.017967983572732E-2</v>
      </c>
      <c r="J2797" s="794">
        <v>10.845473863193764</v>
      </c>
      <c r="K2797" s="771"/>
    </row>
    <row r="2798" spans="1:11" ht="18.75" customHeight="1" outlineLevel="2">
      <c r="A2798" s="791" t="s">
        <v>776</v>
      </c>
      <c r="B2798" s="791" t="s">
        <v>1034</v>
      </c>
      <c r="C2798" s="791" t="s">
        <v>1035</v>
      </c>
      <c r="D2798" s="792" t="s">
        <v>779</v>
      </c>
      <c r="E2798" s="793" t="s">
        <v>662</v>
      </c>
      <c r="F2798" s="793" t="s">
        <v>816</v>
      </c>
      <c r="G2798" s="793" t="s">
        <v>813</v>
      </c>
      <c r="H2798" s="793" t="s">
        <v>814</v>
      </c>
      <c r="I2798" s="794">
        <v>2.2363493727798386E-2</v>
      </c>
      <c r="J2798" s="794">
        <v>11.618891242919439</v>
      </c>
      <c r="K2798" s="771"/>
    </row>
    <row r="2799" spans="1:11" ht="18.75" customHeight="1" outlineLevel="2">
      <c r="A2799" s="791" t="s">
        <v>776</v>
      </c>
      <c r="B2799" s="791" t="s">
        <v>1034</v>
      </c>
      <c r="C2799" s="791" t="s">
        <v>1035</v>
      </c>
      <c r="D2799" s="792" t="s">
        <v>779</v>
      </c>
      <c r="E2799" s="793" t="s">
        <v>662</v>
      </c>
      <c r="F2799" s="793" t="s">
        <v>817</v>
      </c>
      <c r="G2799" s="793" t="s">
        <v>813</v>
      </c>
      <c r="H2799" s="793" t="s">
        <v>814</v>
      </c>
      <c r="I2799" s="794">
        <v>0.19081044105269721</v>
      </c>
      <c r="J2799" s="794">
        <v>104.45044007726879</v>
      </c>
      <c r="K2799" s="771"/>
    </row>
    <row r="2800" spans="1:11" ht="18.75" customHeight="1" outlineLevel="2">
      <c r="A2800" s="791" t="s">
        <v>776</v>
      </c>
      <c r="B2800" s="791" t="s">
        <v>1034</v>
      </c>
      <c r="C2800" s="791" t="s">
        <v>1035</v>
      </c>
      <c r="D2800" s="792" t="s">
        <v>779</v>
      </c>
      <c r="E2800" s="793" t="s">
        <v>662</v>
      </c>
      <c r="F2800" s="793" t="s">
        <v>818</v>
      </c>
      <c r="G2800" s="793" t="s">
        <v>813</v>
      </c>
      <c r="H2800" s="793" t="s">
        <v>814</v>
      </c>
      <c r="I2800" s="794">
        <v>2.7472289550841248E-2</v>
      </c>
      <c r="J2800" s="794">
        <v>16.136123098017706</v>
      </c>
      <c r="K2800" s="771"/>
    </row>
    <row r="2801" spans="1:11" ht="18.75" customHeight="1" outlineLevel="2">
      <c r="A2801" s="791" t="s">
        <v>776</v>
      </c>
      <c r="B2801" s="791" t="s">
        <v>1034</v>
      </c>
      <c r="C2801" s="791" t="s">
        <v>1035</v>
      </c>
      <c r="D2801" s="792" t="s">
        <v>779</v>
      </c>
      <c r="E2801" s="793" t="s">
        <v>662</v>
      </c>
      <c r="F2801" s="793" t="s">
        <v>819</v>
      </c>
      <c r="G2801" s="793" t="s">
        <v>813</v>
      </c>
      <c r="H2801" s="793" t="s">
        <v>814</v>
      </c>
      <c r="I2801" s="794">
        <v>0.18055161838224432</v>
      </c>
      <c r="J2801" s="794">
        <v>91.27554368419527</v>
      </c>
      <c r="K2801" s="771"/>
    </row>
    <row r="2802" spans="1:11" ht="18.75" customHeight="1" outlineLevel="2">
      <c r="A2802" s="791" t="s">
        <v>776</v>
      </c>
      <c r="B2802" s="791" t="s">
        <v>1034</v>
      </c>
      <c r="C2802" s="791" t="s">
        <v>1035</v>
      </c>
      <c r="D2802" s="792" t="s">
        <v>779</v>
      </c>
      <c r="E2802" s="793" t="s">
        <v>662</v>
      </c>
      <c r="F2802" s="793" t="s">
        <v>820</v>
      </c>
      <c r="G2802" s="793" t="s">
        <v>813</v>
      </c>
      <c r="H2802" s="793" t="s">
        <v>814</v>
      </c>
      <c r="I2802" s="794">
        <v>1.9363734374023736E-2</v>
      </c>
      <c r="J2802" s="794">
        <v>10.385170281709831</v>
      </c>
      <c r="K2802" s="771"/>
    </row>
    <row r="2803" spans="1:11" ht="18.75" customHeight="1" outlineLevel="2">
      <c r="A2803" s="791" t="s">
        <v>776</v>
      </c>
      <c r="B2803" s="791" t="s">
        <v>1034</v>
      </c>
      <c r="C2803" s="791" t="s">
        <v>1035</v>
      </c>
      <c r="D2803" s="792" t="s">
        <v>779</v>
      </c>
      <c r="E2803" s="793" t="s">
        <v>662</v>
      </c>
      <c r="F2803" s="793" t="s">
        <v>821</v>
      </c>
      <c r="G2803" s="793" t="s">
        <v>813</v>
      </c>
      <c r="H2803" s="793" t="s">
        <v>814</v>
      </c>
      <c r="I2803" s="794">
        <v>0.15935362164353353</v>
      </c>
      <c r="J2803" s="794">
        <v>85.229563099859121</v>
      </c>
      <c r="K2803" s="771"/>
    </row>
    <row r="2804" spans="1:11" ht="18.75" customHeight="1" outlineLevel="2">
      <c r="A2804" s="791" t="s">
        <v>776</v>
      </c>
      <c r="B2804" s="791" t="s">
        <v>1034</v>
      </c>
      <c r="C2804" s="791" t="s">
        <v>1035</v>
      </c>
      <c r="D2804" s="792" t="s">
        <v>779</v>
      </c>
      <c r="E2804" s="793" t="s">
        <v>662</v>
      </c>
      <c r="F2804" s="793" t="s">
        <v>822</v>
      </c>
      <c r="G2804" s="793" t="s">
        <v>813</v>
      </c>
      <c r="H2804" s="793" t="s">
        <v>814</v>
      </c>
      <c r="I2804" s="794">
        <v>3.5094747643623282E-2</v>
      </c>
      <c r="J2804" s="794">
        <v>5.1383328394808414</v>
      </c>
      <c r="K2804" s="771"/>
    </row>
    <row r="2805" spans="1:11" ht="18.75" customHeight="1" outlineLevel="2">
      <c r="A2805" s="791" t="s">
        <v>776</v>
      </c>
      <c r="B2805" s="791" t="s">
        <v>1034</v>
      </c>
      <c r="C2805" s="791" t="s">
        <v>1035</v>
      </c>
      <c r="D2805" s="792" t="s">
        <v>779</v>
      </c>
      <c r="E2805" s="793" t="s">
        <v>662</v>
      </c>
      <c r="F2805" s="793" t="s">
        <v>823</v>
      </c>
      <c r="G2805" s="793" t="s">
        <v>813</v>
      </c>
      <c r="H2805" s="793" t="s">
        <v>814</v>
      </c>
      <c r="I2805" s="794">
        <v>0.21196046225487747</v>
      </c>
      <c r="J2805" s="794">
        <v>31.032923732467466</v>
      </c>
      <c r="K2805" s="771"/>
    </row>
    <row r="2806" spans="1:11" ht="18.75" customHeight="1" outlineLevel="2">
      <c r="A2806" s="791" t="s">
        <v>776</v>
      </c>
      <c r="B2806" s="791" t="s">
        <v>1034</v>
      </c>
      <c r="C2806" s="791" t="s">
        <v>1035</v>
      </c>
      <c r="D2806" s="792" t="s">
        <v>779</v>
      </c>
      <c r="E2806" s="793" t="s">
        <v>662</v>
      </c>
      <c r="F2806" s="793" t="s">
        <v>824</v>
      </c>
      <c r="G2806" s="793" t="s">
        <v>813</v>
      </c>
      <c r="H2806" s="793" t="s">
        <v>814</v>
      </c>
      <c r="I2806" s="794">
        <v>9.1144074371762621E-5</v>
      </c>
      <c r="J2806" s="794">
        <v>4.5479135050935315E-2</v>
      </c>
      <c r="K2806" s="771"/>
    </row>
    <row r="2807" spans="1:11" ht="18.75" customHeight="1" outlineLevel="2">
      <c r="A2807" s="791" t="s">
        <v>776</v>
      </c>
      <c r="B2807" s="791" t="s">
        <v>1034</v>
      </c>
      <c r="C2807" s="791" t="s">
        <v>1035</v>
      </c>
      <c r="D2807" s="792" t="s">
        <v>779</v>
      </c>
      <c r="E2807" s="793" t="s">
        <v>662</v>
      </c>
      <c r="F2807" s="793" t="s">
        <v>825</v>
      </c>
      <c r="G2807" s="793" t="s">
        <v>791</v>
      </c>
      <c r="H2807" s="793" t="s">
        <v>826</v>
      </c>
      <c r="I2807" s="794">
        <v>1.0250981099040723E-3</v>
      </c>
      <c r="J2807" s="794">
        <v>0.62338557929352034</v>
      </c>
      <c r="K2807" s="771"/>
    </row>
    <row r="2808" spans="1:11" ht="18.75" customHeight="1" outlineLevel="2">
      <c r="A2808" s="791" t="s">
        <v>776</v>
      </c>
      <c r="B2808" s="791" t="s">
        <v>1034</v>
      </c>
      <c r="C2808" s="791" t="s">
        <v>1035</v>
      </c>
      <c r="D2808" s="792" t="s">
        <v>779</v>
      </c>
      <c r="E2808" s="793" t="s">
        <v>662</v>
      </c>
      <c r="F2808" s="793" t="s">
        <v>827</v>
      </c>
      <c r="G2808" s="793" t="s">
        <v>794</v>
      </c>
      <c r="H2808" s="793" t="s">
        <v>828</v>
      </c>
      <c r="I2808" s="794">
        <v>2.7370126304971233E-3</v>
      </c>
      <c r="J2808" s="794">
        <v>1.3551209093852501</v>
      </c>
      <c r="K2808" s="771"/>
    </row>
    <row r="2809" spans="1:11" ht="18.75" customHeight="1" outlineLevel="2">
      <c r="A2809" s="791" t="s">
        <v>776</v>
      </c>
      <c r="B2809" s="791" t="s">
        <v>1034</v>
      </c>
      <c r="C2809" s="791" t="s">
        <v>1035</v>
      </c>
      <c r="D2809" s="792" t="s">
        <v>779</v>
      </c>
      <c r="E2809" s="793" t="s">
        <v>662</v>
      </c>
      <c r="F2809" s="793" t="s">
        <v>829</v>
      </c>
      <c r="G2809" s="793" t="s">
        <v>794</v>
      </c>
      <c r="H2809" s="793" t="s">
        <v>828</v>
      </c>
      <c r="I2809" s="794">
        <v>1.746649866701467E-2</v>
      </c>
      <c r="J2809" s="794">
        <v>9.0401872545365727</v>
      </c>
      <c r="K2809" s="771"/>
    </row>
    <row r="2810" spans="1:11" ht="18.75" customHeight="1" outlineLevel="2">
      <c r="A2810" s="791" t="s">
        <v>776</v>
      </c>
      <c r="B2810" s="791" t="s">
        <v>1034</v>
      </c>
      <c r="C2810" s="791" t="s">
        <v>1035</v>
      </c>
      <c r="D2810" s="792" t="s">
        <v>779</v>
      </c>
      <c r="E2810" s="793" t="s">
        <v>662</v>
      </c>
      <c r="F2810" s="793" t="s">
        <v>830</v>
      </c>
      <c r="G2810" s="793" t="s">
        <v>794</v>
      </c>
      <c r="H2810" s="793" t="s">
        <v>828</v>
      </c>
      <c r="I2810" s="794">
        <v>7.0057917729728835E-6</v>
      </c>
      <c r="J2810" s="794">
        <v>3.1354174783600956E-3</v>
      </c>
      <c r="K2810" s="771"/>
    </row>
    <row r="2811" spans="1:11" ht="18.75" customHeight="1" outlineLevel="2">
      <c r="A2811" s="791" t="s">
        <v>776</v>
      </c>
      <c r="B2811" s="791" t="s">
        <v>1034</v>
      </c>
      <c r="C2811" s="791" t="s">
        <v>1035</v>
      </c>
      <c r="D2811" s="792" t="s">
        <v>779</v>
      </c>
      <c r="E2811" s="793" t="s">
        <v>662</v>
      </c>
      <c r="F2811" s="793" t="s">
        <v>831</v>
      </c>
      <c r="G2811" s="793" t="s">
        <v>794</v>
      </c>
      <c r="H2811" s="793" t="s">
        <v>828</v>
      </c>
      <c r="I2811" s="794">
        <v>1.2220329517563866E-4</v>
      </c>
      <c r="J2811" s="794">
        <v>5.4691579616887032E-2</v>
      </c>
      <c r="K2811" s="771"/>
    </row>
    <row r="2812" spans="1:11" ht="18.75" customHeight="1" outlineLevel="2">
      <c r="A2812" s="791" t="s">
        <v>776</v>
      </c>
      <c r="B2812" s="791" t="s">
        <v>1034</v>
      </c>
      <c r="C2812" s="791" t="s">
        <v>1035</v>
      </c>
      <c r="D2812" s="792" t="s">
        <v>779</v>
      </c>
      <c r="E2812" s="793" t="s">
        <v>662</v>
      </c>
      <c r="F2812" s="793" t="s">
        <v>832</v>
      </c>
      <c r="G2812" s="793" t="s">
        <v>833</v>
      </c>
      <c r="H2812" s="793" t="s">
        <v>834</v>
      </c>
      <c r="I2812" s="794">
        <v>4.6736786569894825E-3</v>
      </c>
      <c r="J2812" s="794">
        <v>2.6982444457829216</v>
      </c>
      <c r="K2812" s="771"/>
    </row>
    <row r="2813" spans="1:11" ht="18.75" customHeight="1" outlineLevel="2">
      <c r="A2813" s="791" t="s">
        <v>776</v>
      </c>
      <c r="B2813" s="791" t="s">
        <v>1034</v>
      </c>
      <c r="C2813" s="791" t="s">
        <v>1035</v>
      </c>
      <c r="D2813" s="792" t="s">
        <v>779</v>
      </c>
      <c r="E2813" s="793" t="s">
        <v>662</v>
      </c>
      <c r="F2813" s="793" t="s">
        <v>835</v>
      </c>
      <c r="G2813" s="793" t="s">
        <v>799</v>
      </c>
      <c r="H2813" s="793" t="s">
        <v>800</v>
      </c>
      <c r="I2813" s="794">
        <v>0.11874686811184836</v>
      </c>
      <c r="J2813" s="794">
        <v>84.034096854422913</v>
      </c>
      <c r="K2813" s="771"/>
    </row>
    <row r="2814" spans="1:11" ht="18.75" customHeight="1" outlineLevel="2">
      <c r="A2814" s="791" t="s">
        <v>776</v>
      </c>
      <c r="B2814" s="791" t="s">
        <v>1034</v>
      </c>
      <c r="C2814" s="791" t="s">
        <v>1035</v>
      </c>
      <c r="D2814" s="792" t="s">
        <v>779</v>
      </c>
      <c r="E2814" s="793" t="s">
        <v>662</v>
      </c>
      <c r="F2814" s="793" t="s">
        <v>836</v>
      </c>
      <c r="G2814" s="793" t="s">
        <v>799</v>
      </c>
      <c r="H2814" s="793" t="s">
        <v>800</v>
      </c>
      <c r="I2814" s="794">
        <v>0.87505748657897509</v>
      </c>
      <c r="J2814" s="794">
        <v>798.89408669602778</v>
      </c>
      <c r="K2814" s="771"/>
    </row>
    <row r="2815" spans="1:11" ht="18.75" customHeight="1" outlineLevel="2">
      <c r="A2815" s="791" t="s">
        <v>776</v>
      </c>
      <c r="B2815" s="791" t="s">
        <v>1034</v>
      </c>
      <c r="C2815" s="791" t="s">
        <v>1035</v>
      </c>
      <c r="D2815" s="792" t="s">
        <v>779</v>
      </c>
      <c r="E2815" s="793" t="s">
        <v>662</v>
      </c>
      <c r="F2815" s="793" t="s">
        <v>837</v>
      </c>
      <c r="G2815" s="793" t="s">
        <v>799</v>
      </c>
      <c r="H2815" s="793" t="s">
        <v>800</v>
      </c>
      <c r="I2815" s="794">
        <v>6.8494384352704038E-2</v>
      </c>
      <c r="J2815" s="794">
        <v>91.092781009707565</v>
      </c>
      <c r="K2815" s="771"/>
    </row>
    <row r="2816" spans="1:11" ht="18.75" customHeight="1" outlineLevel="2">
      <c r="A2816" s="791" t="s">
        <v>776</v>
      </c>
      <c r="B2816" s="791" t="s">
        <v>1034</v>
      </c>
      <c r="C2816" s="791" t="s">
        <v>1035</v>
      </c>
      <c r="D2816" s="792" t="s">
        <v>779</v>
      </c>
      <c r="E2816" s="793" t="s">
        <v>662</v>
      </c>
      <c r="F2816" s="793" t="s">
        <v>838</v>
      </c>
      <c r="G2816" s="793" t="s">
        <v>799</v>
      </c>
      <c r="H2816" s="793" t="s">
        <v>800</v>
      </c>
      <c r="I2816" s="794">
        <v>0.11758585695127823</v>
      </c>
      <c r="J2816" s="794">
        <v>107.15204737313536</v>
      </c>
      <c r="K2816" s="771"/>
    </row>
    <row r="2817" spans="1:11" ht="18.75" customHeight="1" outlineLevel="2">
      <c r="A2817" s="791" t="s">
        <v>776</v>
      </c>
      <c r="B2817" s="791" t="s">
        <v>1034</v>
      </c>
      <c r="C2817" s="791" t="s">
        <v>1035</v>
      </c>
      <c r="D2817" s="792" t="s">
        <v>779</v>
      </c>
      <c r="E2817" s="793" t="s">
        <v>662</v>
      </c>
      <c r="F2817" s="793" t="s">
        <v>839</v>
      </c>
      <c r="G2817" s="793" t="s">
        <v>782</v>
      </c>
      <c r="H2817" s="793" t="s">
        <v>804</v>
      </c>
      <c r="I2817" s="794">
        <v>1.4164900698788896E-3</v>
      </c>
      <c r="J2817" s="794">
        <v>2.3101673986348326</v>
      </c>
      <c r="K2817" s="771"/>
    </row>
    <row r="2818" spans="1:11" ht="18.75" customHeight="1" outlineLevel="2">
      <c r="A2818" s="791" t="s">
        <v>776</v>
      </c>
      <c r="B2818" s="791" t="s">
        <v>1034</v>
      </c>
      <c r="C2818" s="791" t="s">
        <v>1035</v>
      </c>
      <c r="D2818" s="792" t="s">
        <v>779</v>
      </c>
      <c r="E2818" s="793" t="s">
        <v>662</v>
      </c>
      <c r="F2818" s="793" t="s">
        <v>840</v>
      </c>
      <c r="G2818" s="793" t="s">
        <v>782</v>
      </c>
      <c r="H2818" s="793" t="s">
        <v>804</v>
      </c>
      <c r="I2818" s="794">
        <v>1.1318795542566772E-5</v>
      </c>
      <c r="J2818" s="794">
        <v>1.7243389744707717E-2</v>
      </c>
      <c r="K2818" s="771"/>
    </row>
    <row r="2819" spans="1:11" ht="18.75" customHeight="1" outlineLevel="2">
      <c r="A2819" s="791" t="s">
        <v>776</v>
      </c>
      <c r="B2819" s="791" t="s">
        <v>1034</v>
      </c>
      <c r="C2819" s="791" t="s">
        <v>1035</v>
      </c>
      <c r="D2819" s="792" t="s">
        <v>779</v>
      </c>
      <c r="E2819" s="793" t="s">
        <v>662</v>
      </c>
      <c r="F2819" s="793" t="s">
        <v>841</v>
      </c>
      <c r="G2819" s="793" t="s">
        <v>782</v>
      </c>
      <c r="H2819" s="793" t="s">
        <v>804</v>
      </c>
      <c r="I2819" s="794">
        <v>3.0604269640134127E-3</v>
      </c>
      <c r="J2819" s="794">
        <v>4.3399305425475729</v>
      </c>
      <c r="K2819" s="771"/>
    </row>
    <row r="2820" spans="1:11" ht="18.75" customHeight="1" outlineLevel="2">
      <c r="A2820" s="791" t="s">
        <v>776</v>
      </c>
      <c r="B2820" s="791" t="s">
        <v>1034</v>
      </c>
      <c r="C2820" s="791" t="s">
        <v>1035</v>
      </c>
      <c r="D2820" s="792" t="s">
        <v>779</v>
      </c>
      <c r="E2820" s="793" t="s">
        <v>662</v>
      </c>
      <c r="F2820" s="793" t="s">
        <v>842</v>
      </c>
      <c r="G2820" s="793" t="s">
        <v>782</v>
      </c>
      <c r="H2820" s="793" t="s">
        <v>804</v>
      </c>
      <c r="I2820" s="794">
        <v>2.4974153936333995E-3</v>
      </c>
      <c r="J2820" s="794">
        <v>4.0859715044280787</v>
      </c>
      <c r="K2820" s="771"/>
    </row>
    <row r="2821" spans="1:11" ht="18.75" customHeight="1" outlineLevel="2">
      <c r="A2821" s="791" t="s">
        <v>776</v>
      </c>
      <c r="B2821" s="791" t="s">
        <v>1034</v>
      </c>
      <c r="C2821" s="791" t="s">
        <v>1035</v>
      </c>
      <c r="D2821" s="792" t="s">
        <v>779</v>
      </c>
      <c r="E2821" s="793" t="s">
        <v>662</v>
      </c>
      <c r="F2821" s="793" t="s">
        <v>843</v>
      </c>
      <c r="G2821" s="793" t="s">
        <v>782</v>
      </c>
      <c r="H2821" s="793" t="s">
        <v>804</v>
      </c>
      <c r="I2821" s="794">
        <v>5.5850554670076264E-3</v>
      </c>
      <c r="J2821" s="794">
        <v>8.1543426399247529</v>
      </c>
      <c r="K2821" s="771"/>
    </row>
    <row r="2822" spans="1:11" ht="18.75" customHeight="1" outlineLevel="2">
      <c r="A2822" s="791" t="s">
        <v>776</v>
      </c>
      <c r="B2822" s="791" t="s">
        <v>1034</v>
      </c>
      <c r="C2822" s="791" t="s">
        <v>1035</v>
      </c>
      <c r="D2822" s="792" t="s">
        <v>779</v>
      </c>
      <c r="E2822" s="793" t="s">
        <v>662</v>
      </c>
      <c r="F2822" s="793" t="s">
        <v>844</v>
      </c>
      <c r="G2822" s="793" t="s">
        <v>782</v>
      </c>
      <c r="H2822" s="793" t="s">
        <v>804</v>
      </c>
      <c r="I2822" s="794">
        <v>2.4229202717037149E-3</v>
      </c>
      <c r="J2822" s="794">
        <v>3.4335812946713467</v>
      </c>
      <c r="K2822" s="771"/>
    </row>
    <row r="2823" spans="1:11" ht="18.75" customHeight="1" outlineLevel="2">
      <c r="A2823" s="791" t="s">
        <v>776</v>
      </c>
      <c r="B2823" s="791" t="s">
        <v>1034</v>
      </c>
      <c r="C2823" s="791" t="s">
        <v>1035</v>
      </c>
      <c r="D2823" s="792" t="s">
        <v>779</v>
      </c>
      <c r="E2823" s="793" t="s">
        <v>662</v>
      </c>
      <c r="F2823" s="793" t="s">
        <v>845</v>
      </c>
      <c r="G2823" s="793" t="s">
        <v>782</v>
      </c>
      <c r="H2823" s="793" t="s">
        <v>804</v>
      </c>
      <c r="I2823" s="794">
        <v>1.319561921169474E-4</v>
      </c>
      <c r="J2823" s="794">
        <v>0.17895187782236766</v>
      </c>
      <c r="K2823" s="771"/>
    </row>
    <row r="2824" spans="1:11" ht="18.75" customHeight="1" outlineLevel="2">
      <c r="A2824" s="791" t="s">
        <v>776</v>
      </c>
      <c r="B2824" s="791" t="s">
        <v>1034</v>
      </c>
      <c r="C2824" s="791" t="s">
        <v>1035</v>
      </c>
      <c r="D2824" s="792" t="s">
        <v>779</v>
      </c>
      <c r="E2824" s="793" t="s">
        <v>662</v>
      </c>
      <c r="F2824" s="793" t="s">
        <v>846</v>
      </c>
      <c r="G2824" s="793" t="s">
        <v>782</v>
      </c>
      <c r="H2824" s="793" t="s">
        <v>804</v>
      </c>
      <c r="I2824" s="794">
        <v>4.5921012135157636E-3</v>
      </c>
      <c r="J2824" s="794">
        <v>7.1854309190346264</v>
      </c>
      <c r="K2824" s="771"/>
    </row>
    <row r="2825" spans="1:11" ht="18.75" customHeight="1" outlineLevel="2">
      <c r="A2825" s="791" t="s">
        <v>776</v>
      </c>
      <c r="B2825" s="791" t="s">
        <v>1034</v>
      </c>
      <c r="C2825" s="791" t="s">
        <v>1035</v>
      </c>
      <c r="D2825" s="792" t="s">
        <v>779</v>
      </c>
      <c r="E2825" s="793" t="s">
        <v>662</v>
      </c>
      <c r="F2825" s="793" t="s">
        <v>847</v>
      </c>
      <c r="G2825" s="793" t="s">
        <v>782</v>
      </c>
      <c r="H2825" s="793" t="s">
        <v>804</v>
      </c>
      <c r="I2825" s="794">
        <v>2.188978672335111E-3</v>
      </c>
      <c r="J2825" s="794">
        <v>2.6649476107629062</v>
      </c>
      <c r="K2825" s="771"/>
    </row>
    <row r="2826" spans="1:11" ht="18.75" customHeight="1" outlineLevel="2">
      <c r="A2826" s="791" t="s">
        <v>776</v>
      </c>
      <c r="B2826" s="791" t="s">
        <v>1034</v>
      </c>
      <c r="C2826" s="791" t="s">
        <v>1035</v>
      </c>
      <c r="D2826" s="792" t="s">
        <v>779</v>
      </c>
      <c r="E2826" s="793" t="s">
        <v>662</v>
      </c>
      <c r="F2826" s="793" t="s">
        <v>848</v>
      </c>
      <c r="G2826" s="793" t="s">
        <v>782</v>
      </c>
      <c r="H2826" s="793" t="s">
        <v>804</v>
      </c>
      <c r="I2826" s="794">
        <v>1.0345025044163701E-2</v>
      </c>
      <c r="J2826" s="794">
        <v>14.972874585732352</v>
      </c>
      <c r="K2826" s="771"/>
    </row>
    <row r="2827" spans="1:11" ht="18.75" customHeight="1" outlineLevel="2">
      <c r="A2827" s="791" t="s">
        <v>776</v>
      </c>
      <c r="B2827" s="791" t="s">
        <v>1034</v>
      </c>
      <c r="C2827" s="791" t="s">
        <v>1035</v>
      </c>
      <c r="D2827" s="792" t="s">
        <v>779</v>
      </c>
      <c r="E2827" s="793" t="s">
        <v>662</v>
      </c>
      <c r="F2827" s="793" t="s">
        <v>849</v>
      </c>
      <c r="G2827" s="793" t="s">
        <v>782</v>
      </c>
      <c r="H2827" s="793" t="s">
        <v>804</v>
      </c>
      <c r="I2827" s="794">
        <v>5.2441223522970573E-3</v>
      </c>
      <c r="J2827" s="794">
        <v>7.1903837724337922</v>
      </c>
      <c r="K2827" s="771"/>
    </row>
    <row r="2828" spans="1:11" ht="18.75" customHeight="1" outlineLevel="2">
      <c r="A2828" s="791" t="s">
        <v>776</v>
      </c>
      <c r="B2828" s="791" t="s">
        <v>1034</v>
      </c>
      <c r="C2828" s="791" t="s">
        <v>1035</v>
      </c>
      <c r="D2828" s="792" t="s">
        <v>779</v>
      </c>
      <c r="E2828" s="793" t="s">
        <v>662</v>
      </c>
      <c r="F2828" s="793" t="s">
        <v>850</v>
      </c>
      <c r="G2828" s="793" t="s">
        <v>782</v>
      </c>
      <c r="H2828" s="793" t="s">
        <v>804</v>
      </c>
      <c r="I2828" s="794">
        <v>4.1459682907251847E-4</v>
      </c>
      <c r="J2828" s="794">
        <v>0.57917605264142191</v>
      </c>
      <c r="K2828" s="771"/>
    </row>
    <row r="2829" spans="1:11" ht="18.75" customHeight="1" outlineLevel="2">
      <c r="A2829" s="791" t="s">
        <v>776</v>
      </c>
      <c r="B2829" s="791" t="s">
        <v>1034</v>
      </c>
      <c r="C2829" s="791" t="s">
        <v>1035</v>
      </c>
      <c r="D2829" s="792" t="s">
        <v>779</v>
      </c>
      <c r="E2829" s="793" t="s">
        <v>662</v>
      </c>
      <c r="F2829" s="793" t="s">
        <v>851</v>
      </c>
      <c r="G2829" s="793" t="s">
        <v>782</v>
      </c>
      <c r="H2829" s="793" t="s">
        <v>804</v>
      </c>
      <c r="I2829" s="794">
        <v>6.80663785111168E-4</v>
      </c>
      <c r="J2829" s="794">
        <v>0.97258189043788823</v>
      </c>
      <c r="K2829" s="771"/>
    </row>
    <row r="2830" spans="1:11" ht="18.75" customHeight="1" outlineLevel="2">
      <c r="A2830" s="791" t="s">
        <v>776</v>
      </c>
      <c r="B2830" s="791" t="s">
        <v>1034</v>
      </c>
      <c r="C2830" s="791" t="s">
        <v>1035</v>
      </c>
      <c r="D2830" s="792" t="s">
        <v>779</v>
      </c>
      <c r="E2830" s="793" t="s">
        <v>662</v>
      </c>
      <c r="F2830" s="793" t="s">
        <v>852</v>
      </c>
      <c r="G2830" s="793" t="s">
        <v>782</v>
      </c>
      <c r="H2830" s="793" t="s">
        <v>804</v>
      </c>
      <c r="I2830" s="794">
        <v>2.9804008402733209E-4</v>
      </c>
      <c r="J2830" s="794">
        <v>0.8690815371548114</v>
      </c>
      <c r="K2830" s="771"/>
    </row>
    <row r="2831" spans="1:11" ht="18.75" customHeight="1" outlineLevel="2">
      <c r="A2831" s="791" t="s">
        <v>776</v>
      </c>
      <c r="B2831" s="791" t="s">
        <v>1034</v>
      </c>
      <c r="C2831" s="791" t="s">
        <v>1035</v>
      </c>
      <c r="D2831" s="792" t="s">
        <v>779</v>
      </c>
      <c r="E2831" s="793" t="s">
        <v>662</v>
      </c>
      <c r="F2831" s="793" t="s">
        <v>853</v>
      </c>
      <c r="G2831" s="793" t="s">
        <v>782</v>
      </c>
      <c r="H2831" s="793" t="s">
        <v>804</v>
      </c>
      <c r="I2831" s="794">
        <v>2.3987095083920549E-4</v>
      </c>
      <c r="J2831" s="794">
        <v>2.0613109702818573</v>
      </c>
      <c r="K2831" s="771"/>
    </row>
    <row r="2832" spans="1:11" ht="18.75" customHeight="1" outlineLevel="2">
      <c r="A2832" s="791" t="s">
        <v>776</v>
      </c>
      <c r="B2832" s="791" t="s">
        <v>1034</v>
      </c>
      <c r="C2832" s="791" t="s">
        <v>1035</v>
      </c>
      <c r="D2832" s="792" t="s">
        <v>779</v>
      </c>
      <c r="E2832" s="793" t="s">
        <v>662</v>
      </c>
      <c r="F2832" s="793" t="s">
        <v>854</v>
      </c>
      <c r="G2832" s="793" t="s">
        <v>782</v>
      </c>
      <c r="H2832" s="793" t="s">
        <v>804</v>
      </c>
      <c r="I2832" s="794">
        <v>3.2638947218095017E-3</v>
      </c>
      <c r="J2832" s="794">
        <v>4.9150472179927025</v>
      </c>
      <c r="K2832" s="771"/>
    </row>
    <row r="2833" spans="1:11" ht="18.75" customHeight="1" outlineLevel="2">
      <c r="A2833" s="791" t="s">
        <v>776</v>
      </c>
      <c r="B2833" s="791" t="s">
        <v>1034</v>
      </c>
      <c r="C2833" s="791" t="s">
        <v>1035</v>
      </c>
      <c r="D2833" s="792" t="s">
        <v>779</v>
      </c>
      <c r="E2833" s="793" t="s">
        <v>662</v>
      </c>
      <c r="F2833" s="793" t="s">
        <v>855</v>
      </c>
      <c r="G2833" s="793" t="s">
        <v>782</v>
      </c>
      <c r="H2833" s="793" t="s">
        <v>804</v>
      </c>
      <c r="I2833" s="794">
        <v>2.3302149590717224E-3</v>
      </c>
      <c r="J2833" s="794">
        <v>3.4255930388723645</v>
      </c>
      <c r="K2833" s="771"/>
    </row>
    <row r="2834" spans="1:11" ht="18.75" customHeight="1" outlineLevel="2">
      <c r="A2834" s="791" t="s">
        <v>776</v>
      </c>
      <c r="B2834" s="791" t="s">
        <v>1034</v>
      </c>
      <c r="C2834" s="791" t="s">
        <v>1035</v>
      </c>
      <c r="D2834" s="792" t="s">
        <v>779</v>
      </c>
      <c r="E2834" s="793" t="s">
        <v>662</v>
      </c>
      <c r="F2834" s="793" t="s">
        <v>856</v>
      </c>
      <c r="G2834" s="793" t="s">
        <v>782</v>
      </c>
      <c r="H2834" s="793" t="s">
        <v>804</v>
      </c>
      <c r="I2834" s="794">
        <v>9.1524286024175275E-4</v>
      </c>
      <c r="J2834" s="794">
        <v>1.1224446220010036</v>
      </c>
      <c r="K2834" s="771"/>
    </row>
    <row r="2835" spans="1:11" ht="18.75" customHeight="1" outlineLevel="2">
      <c r="A2835" s="791" t="s">
        <v>776</v>
      </c>
      <c r="B2835" s="791" t="s">
        <v>1034</v>
      </c>
      <c r="C2835" s="791" t="s">
        <v>1035</v>
      </c>
      <c r="D2835" s="792" t="s">
        <v>779</v>
      </c>
      <c r="E2835" s="793" t="s">
        <v>662</v>
      </c>
      <c r="F2835" s="793" t="s">
        <v>857</v>
      </c>
      <c r="G2835" s="793" t="s">
        <v>782</v>
      </c>
      <c r="H2835" s="793" t="s">
        <v>804</v>
      </c>
      <c r="I2835" s="794">
        <v>7.6176819979569433E-4</v>
      </c>
      <c r="J2835" s="794">
        <v>0.82017297253725108</v>
      </c>
      <c r="K2835" s="771"/>
    </row>
    <row r="2836" spans="1:11" ht="18.75" customHeight="1" outlineLevel="2">
      <c r="A2836" s="791" t="s">
        <v>776</v>
      </c>
      <c r="B2836" s="791" t="s">
        <v>1034</v>
      </c>
      <c r="C2836" s="791" t="s">
        <v>1035</v>
      </c>
      <c r="D2836" s="792" t="s">
        <v>779</v>
      </c>
      <c r="E2836" s="793" t="s">
        <v>662</v>
      </c>
      <c r="F2836" s="793" t="s">
        <v>858</v>
      </c>
      <c r="G2836" s="793" t="s">
        <v>785</v>
      </c>
      <c r="H2836" s="793" t="s">
        <v>727</v>
      </c>
      <c r="I2836" s="794">
        <v>9.3640476396532578E-3</v>
      </c>
      <c r="J2836" s="794">
        <v>18.768683999446409</v>
      </c>
      <c r="K2836" s="771"/>
    </row>
    <row r="2837" spans="1:11" ht="18.75" customHeight="1" outlineLevel="2">
      <c r="A2837" s="791" t="s">
        <v>776</v>
      </c>
      <c r="B2837" s="791" t="s">
        <v>1034</v>
      </c>
      <c r="C2837" s="791" t="s">
        <v>1035</v>
      </c>
      <c r="D2837" s="792" t="s">
        <v>779</v>
      </c>
      <c r="E2837" s="793" t="s">
        <v>662</v>
      </c>
      <c r="F2837" s="793" t="s">
        <v>859</v>
      </c>
      <c r="G2837" s="793" t="s">
        <v>785</v>
      </c>
      <c r="H2837" s="793" t="s">
        <v>727</v>
      </c>
      <c r="I2837" s="794">
        <v>6.7277759729254026E-3</v>
      </c>
      <c r="J2837" s="794">
        <v>71.030084224671626</v>
      </c>
      <c r="K2837" s="771"/>
    </row>
    <row r="2838" spans="1:11" ht="18.75" customHeight="1" outlineLevel="2">
      <c r="A2838" s="791" t="s">
        <v>776</v>
      </c>
      <c r="B2838" s="791" t="s">
        <v>1034</v>
      </c>
      <c r="C2838" s="791" t="s">
        <v>1035</v>
      </c>
      <c r="D2838" s="792" t="s">
        <v>779</v>
      </c>
      <c r="E2838" s="793" t="s">
        <v>662</v>
      </c>
      <c r="F2838" s="793" t="s">
        <v>860</v>
      </c>
      <c r="G2838" s="793" t="s">
        <v>785</v>
      </c>
      <c r="H2838" s="793" t="s">
        <v>727</v>
      </c>
      <c r="I2838" s="794">
        <v>5.5825673802315529E-3</v>
      </c>
      <c r="J2838" s="794">
        <v>15.26308464364884</v>
      </c>
      <c r="K2838" s="771"/>
    </row>
    <row r="2839" spans="1:11" ht="18.75" customHeight="1" outlineLevel="2">
      <c r="A2839" s="791" t="s">
        <v>776</v>
      </c>
      <c r="B2839" s="791" t="s">
        <v>1034</v>
      </c>
      <c r="C2839" s="791" t="s">
        <v>1035</v>
      </c>
      <c r="D2839" s="792" t="s">
        <v>779</v>
      </c>
      <c r="E2839" s="793" t="s">
        <v>662</v>
      </c>
      <c r="F2839" s="793" t="s">
        <v>861</v>
      </c>
      <c r="G2839" s="793" t="s">
        <v>785</v>
      </c>
      <c r="H2839" s="793" t="s">
        <v>727</v>
      </c>
      <c r="I2839" s="794">
        <v>2.1473739724873861E-2</v>
      </c>
      <c r="J2839" s="794">
        <v>28.668262629219381</v>
      </c>
      <c r="K2839" s="771"/>
    </row>
    <row r="2840" spans="1:11" ht="18.75" customHeight="1" outlineLevel="2">
      <c r="A2840" s="791" t="s">
        <v>776</v>
      </c>
      <c r="B2840" s="791" t="s">
        <v>1034</v>
      </c>
      <c r="C2840" s="791" t="s">
        <v>1035</v>
      </c>
      <c r="D2840" s="792" t="s">
        <v>779</v>
      </c>
      <c r="E2840" s="793" t="s">
        <v>662</v>
      </c>
      <c r="F2840" s="793" t="s">
        <v>862</v>
      </c>
      <c r="G2840" s="793" t="s">
        <v>785</v>
      </c>
      <c r="H2840" s="793" t="s">
        <v>727</v>
      </c>
      <c r="I2840" s="794">
        <v>6.0582044461146285E-4</v>
      </c>
      <c r="J2840" s="794">
        <v>1.3154223646353047</v>
      </c>
      <c r="K2840" s="771"/>
    </row>
    <row r="2841" spans="1:11" ht="18.75" customHeight="1" outlineLevel="2">
      <c r="A2841" s="791" t="s">
        <v>776</v>
      </c>
      <c r="B2841" s="791" t="s">
        <v>1034</v>
      </c>
      <c r="C2841" s="791" t="s">
        <v>1035</v>
      </c>
      <c r="D2841" s="792" t="s">
        <v>779</v>
      </c>
      <c r="E2841" s="793" t="s">
        <v>662</v>
      </c>
      <c r="F2841" s="793" t="s">
        <v>863</v>
      </c>
      <c r="G2841" s="793" t="s">
        <v>785</v>
      </c>
      <c r="H2841" s="793" t="s">
        <v>727</v>
      </c>
      <c r="I2841" s="794">
        <v>4.2882269356410375E-4</v>
      </c>
      <c r="J2841" s="794">
        <v>0.63667479988264875</v>
      </c>
      <c r="K2841" s="771"/>
    </row>
    <row r="2842" spans="1:11" ht="18.75" customHeight="1" outlineLevel="2">
      <c r="A2842" s="791" t="s">
        <v>776</v>
      </c>
      <c r="B2842" s="791" t="s">
        <v>1034</v>
      </c>
      <c r="C2842" s="791" t="s">
        <v>1035</v>
      </c>
      <c r="D2842" s="792" t="s">
        <v>779</v>
      </c>
      <c r="E2842" s="793" t="s">
        <v>662</v>
      </c>
      <c r="F2842" s="793" t="s">
        <v>864</v>
      </c>
      <c r="G2842" s="793" t="s">
        <v>785</v>
      </c>
      <c r="H2842" s="793" t="s">
        <v>727</v>
      </c>
      <c r="I2842" s="794">
        <v>4.4107646081734407E-4</v>
      </c>
      <c r="J2842" s="794">
        <v>6.2730581578545594</v>
      </c>
      <c r="K2842" s="771"/>
    </row>
    <row r="2843" spans="1:11" ht="18.75" customHeight="1" outlineLevel="2">
      <c r="A2843" s="791" t="s">
        <v>776</v>
      </c>
      <c r="B2843" s="791" t="s">
        <v>1034</v>
      </c>
      <c r="C2843" s="791" t="s">
        <v>1035</v>
      </c>
      <c r="D2843" s="792" t="s">
        <v>779</v>
      </c>
      <c r="E2843" s="793" t="s">
        <v>662</v>
      </c>
      <c r="F2843" s="793" t="s">
        <v>865</v>
      </c>
      <c r="G2843" s="793" t="s">
        <v>813</v>
      </c>
      <c r="H2843" s="793" t="s">
        <v>814</v>
      </c>
      <c r="I2843" s="794">
        <v>0.13727959914055174</v>
      </c>
      <c r="J2843" s="794">
        <v>146.78088522723297</v>
      </c>
      <c r="K2843" s="771"/>
    </row>
    <row r="2844" spans="1:11" ht="18.75" customHeight="1" outlineLevel="2">
      <c r="A2844" s="791" t="s">
        <v>776</v>
      </c>
      <c r="B2844" s="791" t="s">
        <v>1034</v>
      </c>
      <c r="C2844" s="791" t="s">
        <v>1035</v>
      </c>
      <c r="D2844" s="792" t="s">
        <v>779</v>
      </c>
      <c r="E2844" s="793" t="s">
        <v>662</v>
      </c>
      <c r="F2844" s="793" t="s">
        <v>866</v>
      </c>
      <c r="G2844" s="793" t="s">
        <v>813</v>
      </c>
      <c r="H2844" s="793" t="s">
        <v>814</v>
      </c>
      <c r="I2844" s="794">
        <v>0.19669559351883301</v>
      </c>
      <c r="J2844" s="794">
        <v>266.80820379968816</v>
      </c>
      <c r="K2844" s="771"/>
    </row>
    <row r="2845" spans="1:11" ht="18.75" customHeight="1" outlineLevel="2">
      <c r="A2845" s="791" t="s">
        <v>776</v>
      </c>
      <c r="B2845" s="791" t="s">
        <v>1034</v>
      </c>
      <c r="C2845" s="791" t="s">
        <v>1035</v>
      </c>
      <c r="D2845" s="792" t="s">
        <v>779</v>
      </c>
      <c r="E2845" s="793" t="s">
        <v>662</v>
      </c>
      <c r="F2845" s="793" t="s">
        <v>867</v>
      </c>
      <c r="G2845" s="793" t="s">
        <v>813</v>
      </c>
      <c r="H2845" s="793" t="s">
        <v>814</v>
      </c>
      <c r="I2845" s="794">
        <v>1.1817672124806469E-2</v>
      </c>
      <c r="J2845" s="794">
        <v>12.630751317896539</v>
      </c>
      <c r="K2845" s="771"/>
    </row>
    <row r="2846" spans="1:11" ht="18.75" customHeight="1" outlineLevel="2">
      <c r="A2846" s="791" t="s">
        <v>776</v>
      </c>
      <c r="B2846" s="791" t="s">
        <v>1034</v>
      </c>
      <c r="C2846" s="791" t="s">
        <v>1035</v>
      </c>
      <c r="D2846" s="792" t="s">
        <v>779</v>
      </c>
      <c r="E2846" s="793" t="s">
        <v>662</v>
      </c>
      <c r="F2846" s="793" t="s">
        <v>868</v>
      </c>
      <c r="G2846" s="793" t="s">
        <v>813</v>
      </c>
      <c r="H2846" s="793" t="s">
        <v>814</v>
      </c>
      <c r="I2846" s="794">
        <v>0.12534847521471917</v>
      </c>
      <c r="J2846" s="794">
        <v>158.26092991242666</v>
      </c>
      <c r="K2846" s="771"/>
    </row>
    <row r="2847" spans="1:11" ht="18.75" customHeight="1" outlineLevel="2">
      <c r="A2847" s="791" t="s">
        <v>776</v>
      </c>
      <c r="B2847" s="791" t="s">
        <v>1034</v>
      </c>
      <c r="C2847" s="791" t="s">
        <v>1035</v>
      </c>
      <c r="D2847" s="792" t="s">
        <v>779</v>
      </c>
      <c r="E2847" s="793" t="s">
        <v>662</v>
      </c>
      <c r="F2847" s="793" t="s">
        <v>869</v>
      </c>
      <c r="G2847" s="793" t="s">
        <v>813</v>
      </c>
      <c r="H2847" s="793" t="s">
        <v>814</v>
      </c>
      <c r="I2847" s="794">
        <v>6.4377477722634801E-4</v>
      </c>
      <c r="J2847" s="794">
        <v>0.81591361593218481</v>
      </c>
      <c r="K2847" s="771"/>
    </row>
    <row r="2848" spans="1:11" ht="18.75" customHeight="1" outlineLevel="2">
      <c r="A2848" s="791" t="s">
        <v>776</v>
      </c>
      <c r="B2848" s="791" t="s">
        <v>1034</v>
      </c>
      <c r="C2848" s="791" t="s">
        <v>1035</v>
      </c>
      <c r="D2848" s="792" t="s">
        <v>779</v>
      </c>
      <c r="E2848" s="793" t="s">
        <v>662</v>
      </c>
      <c r="F2848" s="793" t="s">
        <v>870</v>
      </c>
      <c r="G2848" s="793" t="s">
        <v>813</v>
      </c>
      <c r="H2848" s="793" t="s">
        <v>814</v>
      </c>
      <c r="I2848" s="794">
        <v>4.366897249339691E-3</v>
      </c>
      <c r="J2848" s="794">
        <v>6.1799463381665234</v>
      </c>
      <c r="K2848" s="771"/>
    </row>
    <row r="2849" spans="1:11" ht="18.75" customHeight="1" outlineLevel="2">
      <c r="A2849" s="791" t="s">
        <v>776</v>
      </c>
      <c r="B2849" s="791" t="s">
        <v>1034</v>
      </c>
      <c r="C2849" s="791" t="s">
        <v>1035</v>
      </c>
      <c r="D2849" s="792" t="s">
        <v>779</v>
      </c>
      <c r="E2849" s="793" t="s">
        <v>662</v>
      </c>
      <c r="F2849" s="793" t="s">
        <v>871</v>
      </c>
      <c r="G2849" s="793" t="s">
        <v>813</v>
      </c>
      <c r="H2849" s="793" t="s">
        <v>814</v>
      </c>
      <c r="I2849" s="794">
        <v>1.2260879409785456E-3</v>
      </c>
      <c r="J2849" s="794">
        <v>1.556579398025572</v>
      </c>
      <c r="K2849" s="771"/>
    </row>
    <row r="2850" spans="1:11" ht="18.75" customHeight="1" outlineLevel="2">
      <c r="A2850" s="791" t="s">
        <v>776</v>
      </c>
      <c r="B2850" s="791" t="s">
        <v>1034</v>
      </c>
      <c r="C2850" s="791" t="s">
        <v>1035</v>
      </c>
      <c r="D2850" s="792" t="s">
        <v>779</v>
      </c>
      <c r="E2850" s="793" t="s">
        <v>662</v>
      </c>
      <c r="F2850" s="793" t="s">
        <v>872</v>
      </c>
      <c r="G2850" s="793" t="s">
        <v>813</v>
      </c>
      <c r="H2850" s="793" t="s">
        <v>814</v>
      </c>
      <c r="I2850" s="794">
        <v>0.14924244930298053</v>
      </c>
      <c r="J2850" s="794">
        <v>253.59173997290131</v>
      </c>
      <c r="K2850" s="771"/>
    </row>
    <row r="2851" spans="1:11" ht="18.75" customHeight="1" outlineLevel="2">
      <c r="A2851" s="791" t="s">
        <v>776</v>
      </c>
      <c r="B2851" s="791" t="s">
        <v>1034</v>
      </c>
      <c r="C2851" s="791" t="s">
        <v>1035</v>
      </c>
      <c r="D2851" s="792" t="s">
        <v>779</v>
      </c>
      <c r="E2851" s="793" t="s">
        <v>662</v>
      </c>
      <c r="F2851" s="793" t="s">
        <v>873</v>
      </c>
      <c r="G2851" s="793" t="s">
        <v>813</v>
      </c>
      <c r="H2851" s="793" t="s">
        <v>814</v>
      </c>
      <c r="I2851" s="794">
        <v>3.1201853271590464E-2</v>
      </c>
      <c r="J2851" s="794">
        <v>16.611916692504209</v>
      </c>
      <c r="K2851" s="771"/>
    </row>
    <row r="2852" spans="1:11" ht="18.75" customHeight="1" outlineLevel="2">
      <c r="A2852" s="791" t="s">
        <v>776</v>
      </c>
      <c r="B2852" s="791" t="s">
        <v>1034</v>
      </c>
      <c r="C2852" s="791" t="s">
        <v>1035</v>
      </c>
      <c r="D2852" s="792" t="s">
        <v>779</v>
      </c>
      <c r="E2852" s="793" t="s">
        <v>662</v>
      </c>
      <c r="F2852" s="793" t="s">
        <v>874</v>
      </c>
      <c r="G2852" s="793" t="s">
        <v>813</v>
      </c>
      <c r="H2852" s="793" t="s">
        <v>814</v>
      </c>
      <c r="I2852" s="794">
        <v>0.18846335832335573</v>
      </c>
      <c r="J2852" s="794">
        <v>100.3263975979963</v>
      </c>
      <c r="K2852" s="771"/>
    </row>
    <row r="2853" spans="1:11" ht="18.75" customHeight="1" outlineLevel="2">
      <c r="A2853" s="791" t="s">
        <v>776</v>
      </c>
      <c r="B2853" s="791" t="s">
        <v>1034</v>
      </c>
      <c r="C2853" s="791" t="s">
        <v>1035</v>
      </c>
      <c r="D2853" s="792" t="s">
        <v>779</v>
      </c>
      <c r="E2853" s="793" t="s">
        <v>662</v>
      </c>
      <c r="F2853" s="793" t="s">
        <v>875</v>
      </c>
      <c r="G2853" s="793" t="s">
        <v>813</v>
      </c>
      <c r="H2853" s="793" t="s">
        <v>814</v>
      </c>
      <c r="I2853" s="794">
        <v>2.0454824381992396E-2</v>
      </c>
      <c r="J2853" s="794">
        <v>29.811657272862661</v>
      </c>
      <c r="K2853" s="771"/>
    </row>
    <row r="2854" spans="1:11" ht="18.75" customHeight="1" outlineLevel="2">
      <c r="A2854" s="791" t="s">
        <v>776</v>
      </c>
      <c r="B2854" s="791" t="s">
        <v>1034</v>
      </c>
      <c r="C2854" s="791" t="s">
        <v>1035</v>
      </c>
      <c r="D2854" s="792" t="s">
        <v>779</v>
      </c>
      <c r="E2854" s="793" t="s">
        <v>662</v>
      </c>
      <c r="F2854" s="793" t="s">
        <v>876</v>
      </c>
      <c r="G2854" s="793" t="s">
        <v>813</v>
      </c>
      <c r="H2854" s="793" t="s">
        <v>814</v>
      </c>
      <c r="I2854" s="794">
        <v>2.2462693777376093E-2</v>
      </c>
      <c r="J2854" s="794">
        <v>33.897865374707415</v>
      </c>
      <c r="K2854" s="771"/>
    </row>
    <row r="2855" spans="1:11" ht="18.75" customHeight="1" outlineLevel="2">
      <c r="A2855" s="791" t="s">
        <v>776</v>
      </c>
      <c r="B2855" s="791" t="s">
        <v>1034</v>
      </c>
      <c r="C2855" s="791" t="s">
        <v>1035</v>
      </c>
      <c r="D2855" s="792" t="s">
        <v>779</v>
      </c>
      <c r="E2855" s="793" t="s">
        <v>662</v>
      </c>
      <c r="F2855" s="793" t="s">
        <v>877</v>
      </c>
      <c r="G2855" s="793" t="s">
        <v>813</v>
      </c>
      <c r="H2855" s="793" t="s">
        <v>814</v>
      </c>
      <c r="I2855" s="794">
        <v>2.9636004964834661E-2</v>
      </c>
      <c r="J2855" s="794">
        <v>38.369045660577171</v>
      </c>
      <c r="K2855" s="771"/>
    </row>
    <row r="2856" spans="1:11" ht="18.75" customHeight="1" outlineLevel="2">
      <c r="A2856" s="791" t="s">
        <v>776</v>
      </c>
      <c r="B2856" s="791" t="s">
        <v>1034</v>
      </c>
      <c r="C2856" s="791" t="s">
        <v>1035</v>
      </c>
      <c r="D2856" s="792" t="s">
        <v>779</v>
      </c>
      <c r="E2856" s="793" t="s">
        <v>662</v>
      </c>
      <c r="F2856" s="793" t="s">
        <v>878</v>
      </c>
      <c r="G2856" s="793" t="s">
        <v>813</v>
      </c>
      <c r="H2856" s="793" t="s">
        <v>814</v>
      </c>
      <c r="I2856" s="794">
        <v>1.5122200557935188E-2</v>
      </c>
      <c r="J2856" s="794">
        <v>18.217398459913156</v>
      </c>
      <c r="K2856" s="771"/>
    </row>
    <row r="2857" spans="1:11" ht="18.75" customHeight="1" outlineLevel="2">
      <c r="A2857" s="791" t="s">
        <v>776</v>
      </c>
      <c r="B2857" s="791" t="s">
        <v>1034</v>
      </c>
      <c r="C2857" s="791" t="s">
        <v>1035</v>
      </c>
      <c r="D2857" s="792" t="s">
        <v>779</v>
      </c>
      <c r="E2857" s="793" t="s">
        <v>662</v>
      </c>
      <c r="F2857" s="793" t="s">
        <v>879</v>
      </c>
      <c r="G2857" s="793" t="s">
        <v>813</v>
      </c>
      <c r="H2857" s="793" t="s">
        <v>814</v>
      </c>
      <c r="I2857" s="794">
        <v>0.27355737729446672</v>
      </c>
      <c r="J2857" s="794">
        <v>399.60109533718105</v>
      </c>
      <c r="K2857" s="771"/>
    </row>
    <row r="2858" spans="1:11" ht="18.75" customHeight="1" outlineLevel="2">
      <c r="A2858" s="791" t="s">
        <v>776</v>
      </c>
      <c r="B2858" s="791" t="s">
        <v>1034</v>
      </c>
      <c r="C2858" s="791" t="s">
        <v>1035</v>
      </c>
      <c r="D2858" s="792" t="s">
        <v>779</v>
      </c>
      <c r="E2858" s="793" t="s">
        <v>662</v>
      </c>
      <c r="F2858" s="793" t="s">
        <v>880</v>
      </c>
      <c r="G2858" s="793" t="s">
        <v>813</v>
      </c>
      <c r="H2858" s="793" t="s">
        <v>814</v>
      </c>
      <c r="I2858" s="794">
        <v>0.30520002692280068</v>
      </c>
      <c r="J2858" s="794">
        <v>460.67337750227603</v>
      </c>
      <c r="K2858" s="771"/>
    </row>
    <row r="2859" spans="1:11" ht="18.75" customHeight="1" outlineLevel="2">
      <c r="A2859" s="791" t="s">
        <v>776</v>
      </c>
      <c r="B2859" s="791" t="s">
        <v>1034</v>
      </c>
      <c r="C2859" s="791" t="s">
        <v>1035</v>
      </c>
      <c r="D2859" s="792" t="s">
        <v>779</v>
      </c>
      <c r="E2859" s="793" t="s">
        <v>662</v>
      </c>
      <c r="F2859" s="793" t="s">
        <v>881</v>
      </c>
      <c r="G2859" s="793" t="s">
        <v>813</v>
      </c>
      <c r="H2859" s="793" t="s">
        <v>814</v>
      </c>
      <c r="I2859" s="794">
        <v>3.4151350552214008E-2</v>
      </c>
      <c r="J2859" s="794">
        <v>76.920411937647472</v>
      </c>
      <c r="K2859" s="771"/>
    </row>
    <row r="2860" spans="1:11" ht="18.75" customHeight="1" outlineLevel="2">
      <c r="A2860" s="791" t="s">
        <v>776</v>
      </c>
      <c r="B2860" s="791" t="s">
        <v>1034</v>
      </c>
      <c r="C2860" s="791" t="s">
        <v>1035</v>
      </c>
      <c r="D2860" s="792" t="s">
        <v>779</v>
      </c>
      <c r="E2860" s="793" t="s">
        <v>662</v>
      </c>
      <c r="F2860" s="793" t="s">
        <v>882</v>
      </c>
      <c r="G2860" s="793" t="s">
        <v>813</v>
      </c>
      <c r="H2860" s="793" t="s">
        <v>814</v>
      </c>
      <c r="I2860" s="794">
        <v>0.94003123865331029</v>
      </c>
      <c r="J2860" s="794">
        <v>1487.0835359654443</v>
      </c>
      <c r="K2860" s="771"/>
    </row>
    <row r="2861" spans="1:11" ht="18.75" customHeight="1" outlineLevel="2">
      <c r="A2861" s="791" t="s">
        <v>776</v>
      </c>
      <c r="B2861" s="791" t="s">
        <v>1034</v>
      </c>
      <c r="C2861" s="791" t="s">
        <v>1035</v>
      </c>
      <c r="D2861" s="792" t="s">
        <v>779</v>
      </c>
      <c r="E2861" s="793" t="s">
        <v>662</v>
      </c>
      <c r="F2861" s="793" t="s">
        <v>883</v>
      </c>
      <c r="G2861" s="793" t="s">
        <v>813</v>
      </c>
      <c r="H2861" s="793" t="s">
        <v>814</v>
      </c>
      <c r="I2861" s="794">
        <v>1.2453905400674131E-2</v>
      </c>
      <c r="J2861" s="794">
        <v>14.204389598893609</v>
      </c>
      <c r="K2861" s="771"/>
    </row>
    <row r="2862" spans="1:11" ht="18.75" customHeight="1" outlineLevel="2">
      <c r="A2862" s="791" t="s">
        <v>776</v>
      </c>
      <c r="B2862" s="791" t="s">
        <v>1034</v>
      </c>
      <c r="C2862" s="791" t="s">
        <v>1035</v>
      </c>
      <c r="D2862" s="792" t="s">
        <v>779</v>
      </c>
      <c r="E2862" s="793" t="s">
        <v>662</v>
      </c>
      <c r="F2862" s="793" t="s">
        <v>884</v>
      </c>
      <c r="G2862" s="793" t="s">
        <v>813</v>
      </c>
      <c r="H2862" s="793" t="s">
        <v>814</v>
      </c>
      <c r="I2862" s="794">
        <v>3.9447659430476713E-2</v>
      </c>
      <c r="J2862" s="794">
        <v>45.695589014653606</v>
      </c>
      <c r="K2862" s="771"/>
    </row>
    <row r="2863" spans="1:11" ht="18.75" customHeight="1" outlineLevel="2">
      <c r="A2863" s="791" t="s">
        <v>776</v>
      </c>
      <c r="B2863" s="791" t="s">
        <v>1034</v>
      </c>
      <c r="C2863" s="791" t="s">
        <v>1035</v>
      </c>
      <c r="D2863" s="792" t="s">
        <v>779</v>
      </c>
      <c r="E2863" s="793" t="s">
        <v>662</v>
      </c>
      <c r="F2863" s="793" t="s">
        <v>885</v>
      </c>
      <c r="G2863" s="793" t="s">
        <v>791</v>
      </c>
      <c r="H2863" s="793" t="s">
        <v>826</v>
      </c>
      <c r="I2863" s="794">
        <v>1.0286412010928321E-3</v>
      </c>
      <c r="J2863" s="794">
        <v>1.5164354300352216</v>
      </c>
      <c r="K2863" s="771"/>
    </row>
    <row r="2864" spans="1:11" ht="18.75" customHeight="1" outlineLevel="2">
      <c r="A2864" s="791" t="s">
        <v>776</v>
      </c>
      <c r="B2864" s="791" t="s">
        <v>1034</v>
      </c>
      <c r="C2864" s="791" t="s">
        <v>1035</v>
      </c>
      <c r="D2864" s="792" t="s">
        <v>779</v>
      </c>
      <c r="E2864" s="793" t="s">
        <v>662</v>
      </c>
      <c r="F2864" s="793" t="s">
        <v>886</v>
      </c>
      <c r="G2864" s="793" t="s">
        <v>791</v>
      </c>
      <c r="H2864" s="793" t="s">
        <v>826</v>
      </c>
      <c r="I2864" s="794">
        <v>1.3461008236781492E-3</v>
      </c>
      <c r="J2864" s="794">
        <v>5.8680584625727228</v>
      </c>
      <c r="K2864" s="771"/>
    </row>
    <row r="2865" spans="1:11" ht="18.75" customHeight="1" outlineLevel="2">
      <c r="A2865" s="791" t="s">
        <v>776</v>
      </c>
      <c r="B2865" s="791" t="s">
        <v>1034</v>
      </c>
      <c r="C2865" s="791" t="s">
        <v>1035</v>
      </c>
      <c r="D2865" s="792" t="s">
        <v>779</v>
      </c>
      <c r="E2865" s="793" t="s">
        <v>662</v>
      </c>
      <c r="F2865" s="793" t="s">
        <v>887</v>
      </c>
      <c r="G2865" s="793" t="s">
        <v>791</v>
      </c>
      <c r="H2865" s="793" t="s">
        <v>826</v>
      </c>
      <c r="I2865" s="794">
        <v>5.0197832139724119E-5</v>
      </c>
      <c r="J2865" s="794">
        <v>4.7072010943569734E-2</v>
      </c>
      <c r="K2865" s="771"/>
    </row>
    <row r="2866" spans="1:11" ht="18.75" customHeight="1" outlineLevel="2">
      <c r="A2866" s="791" t="s">
        <v>776</v>
      </c>
      <c r="B2866" s="791" t="s">
        <v>1034</v>
      </c>
      <c r="C2866" s="791" t="s">
        <v>1035</v>
      </c>
      <c r="D2866" s="792" t="s">
        <v>779</v>
      </c>
      <c r="E2866" s="793" t="s">
        <v>662</v>
      </c>
      <c r="F2866" s="793" t="s">
        <v>888</v>
      </c>
      <c r="G2866" s="793" t="s">
        <v>791</v>
      </c>
      <c r="H2866" s="793" t="s">
        <v>826</v>
      </c>
      <c r="I2866" s="794">
        <v>4.5026652826373652E-3</v>
      </c>
      <c r="J2866" s="794">
        <v>4.2138736465109714</v>
      </c>
      <c r="K2866" s="771"/>
    </row>
    <row r="2867" spans="1:11" ht="18.75" customHeight="1" outlineLevel="2">
      <c r="A2867" s="791" t="s">
        <v>776</v>
      </c>
      <c r="B2867" s="791" t="s">
        <v>1034</v>
      </c>
      <c r="C2867" s="791" t="s">
        <v>1035</v>
      </c>
      <c r="D2867" s="792" t="s">
        <v>779</v>
      </c>
      <c r="E2867" s="793" t="s">
        <v>662</v>
      </c>
      <c r="F2867" s="793" t="s">
        <v>889</v>
      </c>
      <c r="G2867" s="793" t="s">
        <v>791</v>
      </c>
      <c r="H2867" s="793" t="s">
        <v>826</v>
      </c>
      <c r="I2867" s="794">
        <v>8.654356755029883E-4</v>
      </c>
      <c r="J2867" s="794">
        <v>1.2467402228475999</v>
      </c>
      <c r="K2867" s="771"/>
    </row>
    <row r="2868" spans="1:11" ht="18.75" customHeight="1" outlineLevel="2">
      <c r="A2868" s="791" t="s">
        <v>776</v>
      </c>
      <c r="B2868" s="791" t="s">
        <v>1034</v>
      </c>
      <c r="C2868" s="791" t="s">
        <v>1035</v>
      </c>
      <c r="D2868" s="792" t="s">
        <v>779</v>
      </c>
      <c r="E2868" s="793" t="s">
        <v>662</v>
      </c>
      <c r="F2868" s="793" t="s">
        <v>890</v>
      </c>
      <c r="G2868" s="793" t="s">
        <v>791</v>
      </c>
      <c r="H2868" s="793" t="s">
        <v>826</v>
      </c>
      <c r="I2868" s="794">
        <v>1.2367151095953112E-2</v>
      </c>
      <c r="J2868" s="794">
        <v>13.813811312807477</v>
      </c>
      <c r="K2868" s="771"/>
    </row>
    <row r="2869" spans="1:11" ht="18.75" customHeight="1" outlineLevel="2">
      <c r="A2869" s="791" t="s">
        <v>776</v>
      </c>
      <c r="B2869" s="791" t="s">
        <v>1034</v>
      </c>
      <c r="C2869" s="791" t="s">
        <v>1035</v>
      </c>
      <c r="D2869" s="792" t="s">
        <v>779</v>
      </c>
      <c r="E2869" s="793" t="s">
        <v>662</v>
      </c>
      <c r="F2869" s="793" t="s">
        <v>891</v>
      </c>
      <c r="G2869" s="793" t="s">
        <v>791</v>
      </c>
      <c r="H2869" s="793" t="s">
        <v>826</v>
      </c>
      <c r="I2869" s="794">
        <v>6.3312793394096414E-2</v>
      </c>
      <c r="J2869" s="794">
        <v>30.969151424688732</v>
      </c>
      <c r="K2869" s="771"/>
    </row>
    <row r="2870" spans="1:11" ht="18.75" customHeight="1" outlineLevel="2">
      <c r="A2870" s="791" t="s">
        <v>776</v>
      </c>
      <c r="B2870" s="791" t="s">
        <v>1034</v>
      </c>
      <c r="C2870" s="791" t="s">
        <v>1035</v>
      </c>
      <c r="D2870" s="792" t="s">
        <v>779</v>
      </c>
      <c r="E2870" s="793" t="s">
        <v>662</v>
      </c>
      <c r="F2870" s="793" t="s">
        <v>892</v>
      </c>
      <c r="G2870" s="793" t="s">
        <v>791</v>
      </c>
      <c r="H2870" s="793" t="s">
        <v>826</v>
      </c>
      <c r="I2870" s="794">
        <v>7.130837274352186E-3</v>
      </c>
      <c r="J2870" s="794">
        <v>6.673479111427481</v>
      </c>
      <c r="K2870" s="771"/>
    </row>
    <row r="2871" spans="1:11" ht="18.75" customHeight="1" outlineLevel="2">
      <c r="A2871" s="791" t="s">
        <v>776</v>
      </c>
      <c r="B2871" s="791" t="s">
        <v>1034</v>
      </c>
      <c r="C2871" s="791" t="s">
        <v>1035</v>
      </c>
      <c r="D2871" s="792" t="s">
        <v>779</v>
      </c>
      <c r="E2871" s="793" t="s">
        <v>662</v>
      </c>
      <c r="F2871" s="793" t="s">
        <v>893</v>
      </c>
      <c r="G2871" s="793" t="s">
        <v>791</v>
      </c>
      <c r="H2871" s="793" t="s">
        <v>826</v>
      </c>
      <c r="I2871" s="794">
        <v>9.3616706551818037E-3</v>
      </c>
      <c r="J2871" s="794">
        <v>9.5232965201209332</v>
      </c>
      <c r="K2871" s="771"/>
    </row>
    <row r="2872" spans="1:11" ht="18.75" customHeight="1" outlineLevel="2">
      <c r="A2872" s="791" t="s">
        <v>776</v>
      </c>
      <c r="B2872" s="791" t="s">
        <v>1034</v>
      </c>
      <c r="C2872" s="791" t="s">
        <v>1035</v>
      </c>
      <c r="D2872" s="792" t="s">
        <v>779</v>
      </c>
      <c r="E2872" s="793" t="s">
        <v>662</v>
      </c>
      <c r="F2872" s="793" t="s">
        <v>894</v>
      </c>
      <c r="G2872" s="793" t="s">
        <v>791</v>
      </c>
      <c r="H2872" s="793" t="s">
        <v>826</v>
      </c>
      <c r="I2872" s="794">
        <v>1.1216468079462043E-3</v>
      </c>
      <c r="J2872" s="794">
        <v>10.177605858941545</v>
      </c>
      <c r="K2872" s="771"/>
    </row>
    <row r="2873" spans="1:11" ht="18.75" customHeight="1" outlineLevel="2">
      <c r="A2873" s="791" t="s">
        <v>776</v>
      </c>
      <c r="B2873" s="791" t="s">
        <v>1034</v>
      </c>
      <c r="C2873" s="791" t="s">
        <v>1035</v>
      </c>
      <c r="D2873" s="792" t="s">
        <v>779</v>
      </c>
      <c r="E2873" s="793" t="s">
        <v>662</v>
      </c>
      <c r="F2873" s="793" t="s">
        <v>895</v>
      </c>
      <c r="G2873" s="793" t="s">
        <v>794</v>
      </c>
      <c r="H2873" s="793" t="s">
        <v>828</v>
      </c>
      <c r="I2873" s="794">
        <v>0.20115500234245784</v>
      </c>
      <c r="J2873" s="794">
        <v>278.83292356078846</v>
      </c>
      <c r="K2873" s="771"/>
    </row>
    <row r="2874" spans="1:11" ht="18.75" customHeight="1" outlineLevel="2">
      <c r="A2874" s="791" t="s">
        <v>776</v>
      </c>
      <c r="B2874" s="791" t="s">
        <v>1034</v>
      </c>
      <c r="C2874" s="791" t="s">
        <v>1035</v>
      </c>
      <c r="D2874" s="792" t="s">
        <v>779</v>
      </c>
      <c r="E2874" s="793" t="s">
        <v>662</v>
      </c>
      <c r="F2874" s="793" t="s">
        <v>896</v>
      </c>
      <c r="G2874" s="793" t="s">
        <v>794</v>
      </c>
      <c r="H2874" s="793" t="s">
        <v>828</v>
      </c>
      <c r="I2874" s="794">
        <v>4.7248429592052221E-2</v>
      </c>
      <c r="J2874" s="794">
        <v>69.761521687640297</v>
      </c>
      <c r="K2874" s="771"/>
    </row>
    <row r="2875" spans="1:11" ht="18.75" customHeight="1" outlineLevel="2">
      <c r="A2875" s="791" t="s">
        <v>776</v>
      </c>
      <c r="B2875" s="791" t="s">
        <v>1034</v>
      </c>
      <c r="C2875" s="791" t="s">
        <v>1035</v>
      </c>
      <c r="D2875" s="792" t="s">
        <v>779</v>
      </c>
      <c r="E2875" s="793" t="s">
        <v>662</v>
      </c>
      <c r="F2875" s="793" t="s">
        <v>897</v>
      </c>
      <c r="G2875" s="793" t="s">
        <v>794</v>
      </c>
      <c r="H2875" s="793" t="s">
        <v>828</v>
      </c>
      <c r="I2875" s="794">
        <v>2.1796789017381385E-2</v>
      </c>
      <c r="J2875" s="794">
        <v>36.88758989876591</v>
      </c>
      <c r="K2875" s="771"/>
    </row>
    <row r="2876" spans="1:11" ht="18.75" customHeight="1" outlineLevel="2">
      <c r="A2876" s="791" t="s">
        <v>776</v>
      </c>
      <c r="B2876" s="791" t="s">
        <v>1034</v>
      </c>
      <c r="C2876" s="791" t="s">
        <v>1035</v>
      </c>
      <c r="D2876" s="792" t="s">
        <v>779</v>
      </c>
      <c r="E2876" s="793" t="s">
        <v>662</v>
      </c>
      <c r="F2876" s="793" t="s">
        <v>898</v>
      </c>
      <c r="G2876" s="793" t="s">
        <v>794</v>
      </c>
      <c r="H2876" s="793" t="s">
        <v>828</v>
      </c>
      <c r="I2876" s="794">
        <v>5.022473659931375E-2</v>
      </c>
      <c r="J2876" s="794">
        <v>79.298330426826126</v>
      </c>
      <c r="K2876" s="771"/>
    </row>
    <row r="2877" spans="1:11" ht="18.75" customHeight="1" outlineLevel="2">
      <c r="A2877" s="791" t="s">
        <v>776</v>
      </c>
      <c r="B2877" s="791" t="s">
        <v>1034</v>
      </c>
      <c r="C2877" s="791" t="s">
        <v>1035</v>
      </c>
      <c r="D2877" s="792" t="s">
        <v>779</v>
      </c>
      <c r="E2877" s="793" t="s">
        <v>662</v>
      </c>
      <c r="F2877" s="793" t="s">
        <v>899</v>
      </c>
      <c r="G2877" s="793" t="s">
        <v>794</v>
      </c>
      <c r="H2877" s="793" t="s">
        <v>828</v>
      </c>
      <c r="I2877" s="794">
        <v>8.847826238631977E-2</v>
      </c>
      <c r="J2877" s="794">
        <v>125.28921613304792</v>
      </c>
      <c r="K2877" s="771"/>
    </row>
    <row r="2878" spans="1:11" ht="18.75" customHeight="1" outlineLevel="2">
      <c r="A2878" s="791" t="s">
        <v>776</v>
      </c>
      <c r="B2878" s="791" t="s">
        <v>1034</v>
      </c>
      <c r="C2878" s="791" t="s">
        <v>1035</v>
      </c>
      <c r="D2878" s="792" t="s">
        <v>779</v>
      </c>
      <c r="E2878" s="793" t="s">
        <v>662</v>
      </c>
      <c r="F2878" s="793" t="s">
        <v>900</v>
      </c>
      <c r="G2878" s="793" t="s">
        <v>794</v>
      </c>
      <c r="H2878" s="793" t="s">
        <v>828</v>
      </c>
      <c r="I2878" s="794">
        <v>4.0989640416566921E-3</v>
      </c>
      <c r="J2878" s="794">
        <v>5.8783672224697492</v>
      </c>
      <c r="K2878" s="771"/>
    </row>
    <row r="2879" spans="1:11" ht="18.75" customHeight="1" outlineLevel="2">
      <c r="A2879" s="791" t="s">
        <v>776</v>
      </c>
      <c r="B2879" s="791" t="s">
        <v>1034</v>
      </c>
      <c r="C2879" s="791" t="s">
        <v>1035</v>
      </c>
      <c r="D2879" s="792" t="s">
        <v>779</v>
      </c>
      <c r="E2879" s="793" t="s">
        <v>662</v>
      </c>
      <c r="F2879" s="793" t="s">
        <v>901</v>
      </c>
      <c r="G2879" s="793" t="s">
        <v>833</v>
      </c>
      <c r="H2879" s="793" t="s">
        <v>834</v>
      </c>
      <c r="I2879" s="794">
        <v>6.23190617838128E-3</v>
      </c>
      <c r="J2879" s="794">
        <v>6.5023534676000248</v>
      </c>
      <c r="K2879" s="771"/>
    </row>
    <row r="2880" spans="1:11" ht="18.75" customHeight="1" outlineLevel="2">
      <c r="A2880" s="791" t="s">
        <v>776</v>
      </c>
      <c r="B2880" s="791" t="s">
        <v>1034</v>
      </c>
      <c r="C2880" s="791" t="s">
        <v>1035</v>
      </c>
      <c r="D2880" s="792" t="s">
        <v>779</v>
      </c>
      <c r="E2880" s="793" t="s">
        <v>662</v>
      </c>
      <c r="F2880" s="793" t="s">
        <v>902</v>
      </c>
      <c r="G2880" s="793" t="s">
        <v>833</v>
      </c>
      <c r="H2880" s="793" t="s">
        <v>834</v>
      </c>
      <c r="I2880" s="794">
        <v>5.42456968356236E-5</v>
      </c>
      <c r="J2880" s="794">
        <v>6.9299790335629968E-2</v>
      </c>
      <c r="K2880" s="771"/>
    </row>
    <row r="2881" spans="1:11" ht="18.75" customHeight="1" outlineLevel="2">
      <c r="A2881" s="791" t="s">
        <v>776</v>
      </c>
      <c r="B2881" s="791" t="s">
        <v>1034</v>
      </c>
      <c r="C2881" s="791" t="s">
        <v>1035</v>
      </c>
      <c r="D2881" s="792" t="s">
        <v>779</v>
      </c>
      <c r="E2881" s="793" t="s">
        <v>662</v>
      </c>
      <c r="F2881" s="793" t="s">
        <v>1018</v>
      </c>
      <c r="G2881" s="793" t="s">
        <v>785</v>
      </c>
      <c r="H2881" s="793" t="s">
        <v>727</v>
      </c>
      <c r="I2881" s="794">
        <v>8.7560526000218172E-3</v>
      </c>
      <c r="J2881" s="794">
        <v>10.818214320540029</v>
      </c>
      <c r="K2881" s="771"/>
    </row>
    <row r="2882" spans="1:11" ht="18.75" customHeight="1" outlineLevel="2">
      <c r="A2882" s="791" t="s">
        <v>776</v>
      </c>
      <c r="B2882" s="791" t="s">
        <v>1034</v>
      </c>
      <c r="C2882" s="791" t="s">
        <v>1035</v>
      </c>
      <c r="D2882" s="792" t="s">
        <v>779</v>
      </c>
      <c r="E2882" s="793" t="s">
        <v>662</v>
      </c>
      <c r="F2882" s="793" t="s">
        <v>903</v>
      </c>
      <c r="G2882" s="793" t="s">
        <v>904</v>
      </c>
      <c r="H2882" s="793" t="s">
        <v>905</v>
      </c>
      <c r="I2882" s="794">
        <v>4.5110233318042043</v>
      </c>
      <c r="J2882" s="794">
        <v>3838.0623309439889</v>
      </c>
      <c r="K2882" s="771"/>
    </row>
    <row r="2883" spans="1:11" ht="18.75" customHeight="1" outlineLevel="2">
      <c r="A2883" s="791" t="s">
        <v>776</v>
      </c>
      <c r="B2883" s="791" t="s">
        <v>1034</v>
      </c>
      <c r="C2883" s="791" t="s">
        <v>1035</v>
      </c>
      <c r="D2883" s="792" t="s">
        <v>779</v>
      </c>
      <c r="E2883" s="793" t="s">
        <v>662</v>
      </c>
      <c r="F2883" s="793" t="s">
        <v>906</v>
      </c>
      <c r="G2883" s="793" t="s">
        <v>904</v>
      </c>
      <c r="H2883" s="793" t="s">
        <v>905</v>
      </c>
      <c r="I2883" s="794">
        <v>1.8987467622834937</v>
      </c>
      <c r="J2883" s="794">
        <v>1619.8408998943257</v>
      </c>
      <c r="K2883" s="771"/>
    </row>
    <row r="2884" spans="1:11" ht="18.75" customHeight="1" outlineLevel="2">
      <c r="A2884" s="791" t="s">
        <v>776</v>
      </c>
      <c r="B2884" s="791" t="s">
        <v>1034</v>
      </c>
      <c r="C2884" s="791" t="s">
        <v>1035</v>
      </c>
      <c r="D2884" s="792" t="s">
        <v>779</v>
      </c>
      <c r="E2884" s="793" t="s">
        <v>662</v>
      </c>
      <c r="F2884" s="793" t="s">
        <v>907</v>
      </c>
      <c r="G2884" s="793" t="s">
        <v>908</v>
      </c>
      <c r="H2884" s="793" t="s">
        <v>905</v>
      </c>
      <c r="I2884" s="794">
        <v>2.0058962189189011</v>
      </c>
      <c r="J2884" s="794">
        <v>3370.7594237499588</v>
      </c>
      <c r="K2884" s="771"/>
    </row>
    <row r="2885" spans="1:11" ht="18.75" customHeight="1" outlineLevel="2">
      <c r="A2885" s="791" t="s">
        <v>776</v>
      </c>
      <c r="B2885" s="791" t="s">
        <v>1034</v>
      </c>
      <c r="C2885" s="791" t="s">
        <v>1035</v>
      </c>
      <c r="D2885" s="792" t="s">
        <v>779</v>
      </c>
      <c r="E2885" s="793" t="s">
        <v>763</v>
      </c>
      <c r="F2885" s="793" t="s">
        <v>912</v>
      </c>
      <c r="G2885" s="793" t="s">
        <v>799</v>
      </c>
      <c r="H2885" s="793" t="s">
        <v>913</v>
      </c>
      <c r="I2885" s="794">
        <v>3.845308853103403E-3</v>
      </c>
      <c r="J2885" s="794">
        <v>7.3639532715053111</v>
      </c>
      <c r="K2885" s="771"/>
    </row>
    <row r="2886" spans="1:11" ht="18.75" customHeight="1" outlineLevel="2">
      <c r="A2886" s="791" t="s">
        <v>776</v>
      </c>
      <c r="B2886" s="791" t="s">
        <v>1034</v>
      </c>
      <c r="C2886" s="791" t="s">
        <v>1035</v>
      </c>
      <c r="D2886" s="792" t="s">
        <v>779</v>
      </c>
      <c r="E2886" s="793" t="s">
        <v>763</v>
      </c>
      <c r="F2886" s="793" t="s">
        <v>914</v>
      </c>
      <c r="G2886" s="793" t="s">
        <v>782</v>
      </c>
      <c r="H2886" s="793" t="s">
        <v>913</v>
      </c>
      <c r="I2886" s="794">
        <v>7.2784993531596173E-5</v>
      </c>
      <c r="J2886" s="794">
        <v>0.33881389523483418</v>
      </c>
      <c r="K2886" s="771"/>
    </row>
    <row r="2887" spans="1:11" ht="18.75" customHeight="1" outlineLevel="2">
      <c r="A2887" s="791" t="s">
        <v>776</v>
      </c>
      <c r="B2887" s="791" t="s">
        <v>1034</v>
      </c>
      <c r="C2887" s="791" t="s">
        <v>1035</v>
      </c>
      <c r="D2887" s="792" t="s">
        <v>779</v>
      </c>
      <c r="E2887" s="793" t="s">
        <v>763</v>
      </c>
      <c r="F2887" s="793" t="s">
        <v>915</v>
      </c>
      <c r="G2887" s="793" t="s">
        <v>782</v>
      </c>
      <c r="H2887" s="793" t="s">
        <v>913</v>
      </c>
      <c r="I2887" s="794">
        <v>3.9036922177903386E-5</v>
      </c>
      <c r="J2887" s="794">
        <v>0.56661559330151368</v>
      </c>
      <c r="K2887" s="771"/>
    </row>
    <row r="2888" spans="1:11" ht="18.75" customHeight="1" outlineLevel="2">
      <c r="A2888" s="791" t="s">
        <v>776</v>
      </c>
      <c r="B2888" s="791" t="s">
        <v>1034</v>
      </c>
      <c r="C2888" s="791" t="s">
        <v>1035</v>
      </c>
      <c r="D2888" s="792" t="s">
        <v>779</v>
      </c>
      <c r="E2888" s="793" t="s">
        <v>763</v>
      </c>
      <c r="F2888" s="793" t="s">
        <v>916</v>
      </c>
      <c r="G2888" s="793" t="s">
        <v>782</v>
      </c>
      <c r="H2888" s="793" t="s">
        <v>913</v>
      </c>
      <c r="I2888" s="794">
        <v>5.7878342894319577E-5</v>
      </c>
      <c r="J2888" s="794">
        <v>0.10006377736731234</v>
      </c>
      <c r="K2888" s="771"/>
    </row>
    <row r="2889" spans="1:11" ht="18.75" customHeight="1" outlineLevel="2">
      <c r="A2889" s="791" t="s">
        <v>776</v>
      </c>
      <c r="B2889" s="791" t="s">
        <v>1034</v>
      </c>
      <c r="C2889" s="791" t="s">
        <v>1035</v>
      </c>
      <c r="D2889" s="792" t="s">
        <v>779</v>
      </c>
      <c r="E2889" s="793" t="s">
        <v>763</v>
      </c>
      <c r="F2889" s="793" t="s">
        <v>917</v>
      </c>
      <c r="G2889" s="793" t="s">
        <v>782</v>
      </c>
      <c r="H2889" s="793" t="s">
        <v>913</v>
      </c>
      <c r="I2889" s="794">
        <v>1.0596314928060291E-5</v>
      </c>
      <c r="J2889" s="794">
        <v>5.8011520719788871E-2</v>
      </c>
      <c r="K2889" s="771"/>
    </row>
    <row r="2890" spans="1:11" ht="18.75" customHeight="1" outlineLevel="2">
      <c r="A2890" s="791" t="s">
        <v>776</v>
      </c>
      <c r="B2890" s="791" t="s">
        <v>1034</v>
      </c>
      <c r="C2890" s="791" t="s">
        <v>1035</v>
      </c>
      <c r="D2890" s="792" t="s">
        <v>779</v>
      </c>
      <c r="E2890" s="793" t="s">
        <v>763</v>
      </c>
      <c r="F2890" s="793" t="s">
        <v>918</v>
      </c>
      <c r="G2890" s="793" t="s">
        <v>782</v>
      </c>
      <c r="H2890" s="793" t="s">
        <v>913</v>
      </c>
      <c r="I2890" s="794">
        <v>2.3453324313959956E-4</v>
      </c>
      <c r="J2890" s="794">
        <v>1.0478206585369327</v>
      </c>
      <c r="K2890" s="771"/>
    </row>
    <row r="2891" spans="1:11" ht="18.75" customHeight="1" outlineLevel="2">
      <c r="A2891" s="791" t="s">
        <v>776</v>
      </c>
      <c r="B2891" s="791" t="s">
        <v>1034</v>
      </c>
      <c r="C2891" s="791" t="s">
        <v>1035</v>
      </c>
      <c r="D2891" s="792" t="s">
        <v>779</v>
      </c>
      <c r="E2891" s="793" t="s">
        <v>763</v>
      </c>
      <c r="F2891" s="793" t="s">
        <v>919</v>
      </c>
      <c r="G2891" s="793" t="s">
        <v>782</v>
      </c>
      <c r="H2891" s="793" t="s">
        <v>913</v>
      </c>
      <c r="I2891" s="794">
        <v>4.4861997438438176E-4</v>
      </c>
      <c r="J2891" s="794">
        <v>0.52629811065695065</v>
      </c>
      <c r="K2891" s="771"/>
    </row>
    <row r="2892" spans="1:11" ht="18.75" customHeight="1" outlineLevel="2">
      <c r="A2892" s="791" t="s">
        <v>776</v>
      </c>
      <c r="B2892" s="791" t="s">
        <v>1034</v>
      </c>
      <c r="C2892" s="791" t="s">
        <v>1035</v>
      </c>
      <c r="D2892" s="792" t="s">
        <v>779</v>
      </c>
      <c r="E2892" s="793" t="s">
        <v>763</v>
      </c>
      <c r="F2892" s="793" t="s">
        <v>920</v>
      </c>
      <c r="G2892" s="793" t="s">
        <v>782</v>
      </c>
      <c r="H2892" s="793" t="s">
        <v>913</v>
      </c>
      <c r="I2892" s="794">
        <v>4.8726028612018564E-5</v>
      </c>
      <c r="J2892" s="794">
        <v>0.96942715854897699</v>
      </c>
      <c r="K2892" s="771"/>
    </row>
    <row r="2893" spans="1:11" ht="18.75" customHeight="1" outlineLevel="2">
      <c r="A2893" s="791" t="s">
        <v>776</v>
      </c>
      <c r="B2893" s="791" t="s">
        <v>1034</v>
      </c>
      <c r="C2893" s="791" t="s">
        <v>1035</v>
      </c>
      <c r="D2893" s="792" t="s">
        <v>779</v>
      </c>
      <c r="E2893" s="793" t="s">
        <v>763</v>
      </c>
      <c r="F2893" s="793" t="s">
        <v>921</v>
      </c>
      <c r="G2893" s="793" t="s">
        <v>782</v>
      </c>
      <c r="H2893" s="793" t="s">
        <v>913</v>
      </c>
      <c r="I2893" s="794">
        <v>2.2614991197689613E-4</v>
      </c>
      <c r="J2893" s="794">
        <v>0.39500985392734717</v>
      </c>
      <c r="K2893" s="771"/>
    </row>
    <row r="2894" spans="1:11" ht="18.75" customHeight="1" outlineLevel="2">
      <c r="A2894" s="791" t="s">
        <v>776</v>
      </c>
      <c r="B2894" s="791" t="s">
        <v>1034</v>
      </c>
      <c r="C2894" s="791" t="s">
        <v>1035</v>
      </c>
      <c r="D2894" s="792" t="s">
        <v>779</v>
      </c>
      <c r="E2894" s="793" t="s">
        <v>763</v>
      </c>
      <c r="F2894" s="793" t="s">
        <v>922</v>
      </c>
      <c r="G2894" s="793" t="s">
        <v>782</v>
      </c>
      <c r="H2894" s="793" t="s">
        <v>913</v>
      </c>
      <c r="I2894" s="794">
        <v>3.3806820311789288E-5</v>
      </c>
      <c r="J2894" s="794">
        <v>6.4742133314270131E-2</v>
      </c>
      <c r="K2894" s="771"/>
    </row>
    <row r="2895" spans="1:11" ht="18.75" customHeight="1" outlineLevel="2">
      <c r="A2895" s="791" t="s">
        <v>776</v>
      </c>
      <c r="B2895" s="791" t="s">
        <v>1034</v>
      </c>
      <c r="C2895" s="791" t="s">
        <v>1035</v>
      </c>
      <c r="D2895" s="792" t="s">
        <v>779</v>
      </c>
      <c r="E2895" s="793" t="s">
        <v>763</v>
      </c>
      <c r="F2895" s="793" t="s">
        <v>923</v>
      </c>
      <c r="G2895" s="793" t="s">
        <v>782</v>
      </c>
      <c r="H2895" s="793" t="s">
        <v>913</v>
      </c>
      <c r="I2895" s="794">
        <v>1.8527859610533934E-4</v>
      </c>
      <c r="J2895" s="794">
        <v>0.6732051762832576</v>
      </c>
      <c r="K2895" s="771"/>
    </row>
    <row r="2896" spans="1:11" ht="18.75" customHeight="1" outlineLevel="2">
      <c r="A2896" s="791" t="s">
        <v>776</v>
      </c>
      <c r="B2896" s="791" t="s">
        <v>1034</v>
      </c>
      <c r="C2896" s="791" t="s">
        <v>1035</v>
      </c>
      <c r="D2896" s="792" t="s">
        <v>779</v>
      </c>
      <c r="E2896" s="793" t="s">
        <v>763</v>
      </c>
      <c r="F2896" s="793" t="s">
        <v>924</v>
      </c>
      <c r="G2896" s="793" t="s">
        <v>782</v>
      </c>
      <c r="H2896" s="793" t="s">
        <v>913</v>
      </c>
      <c r="I2896" s="794">
        <v>1.5263935432635963E-4</v>
      </c>
      <c r="J2896" s="794">
        <v>1.6256431599559402</v>
      </c>
      <c r="K2896" s="771"/>
    </row>
    <row r="2897" spans="1:11" ht="18.75" customHeight="1" outlineLevel="2">
      <c r="A2897" s="791" t="s">
        <v>776</v>
      </c>
      <c r="B2897" s="791" t="s">
        <v>1034</v>
      </c>
      <c r="C2897" s="791" t="s">
        <v>1035</v>
      </c>
      <c r="D2897" s="792" t="s">
        <v>779</v>
      </c>
      <c r="E2897" s="793" t="s">
        <v>763</v>
      </c>
      <c r="F2897" s="793" t="s">
        <v>925</v>
      </c>
      <c r="G2897" s="793" t="s">
        <v>782</v>
      </c>
      <c r="H2897" s="793" t="s">
        <v>913</v>
      </c>
      <c r="I2897" s="794">
        <v>1.0740396204205993E-5</v>
      </c>
      <c r="J2897" s="794">
        <v>0.17103890874062655</v>
      </c>
      <c r="K2897" s="771"/>
    </row>
    <row r="2898" spans="1:11" ht="18.75" customHeight="1" outlineLevel="2">
      <c r="A2898" s="791" t="s">
        <v>776</v>
      </c>
      <c r="B2898" s="791" t="s">
        <v>1034</v>
      </c>
      <c r="C2898" s="791" t="s">
        <v>1035</v>
      </c>
      <c r="D2898" s="792" t="s">
        <v>779</v>
      </c>
      <c r="E2898" s="793" t="s">
        <v>763</v>
      </c>
      <c r="F2898" s="793" t="s">
        <v>926</v>
      </c>
      <c r="G2898" s="793" t="s">
        <v>782</v>
      </c>
      <c r="H2898" s="793" t="s">
        <v>913</v>
      </c>
      <c r="I2898" s="794">
        <v>7.9650454633524057E-4</v>
      </c>
      <c r="J2898" s="794">
        <v>1.4642966947303946</v>
      </c>
      <c r="K2898" s="771"/>
    </row>
    <row r="2899" spans="1:11" ht="18.75" customHeight="1" outlineLevel="2">
      <c r="A2899" s="791" t="s">
        <v>776</v>
      </c>
      <c r="B2899" s="791" t="s">
        <v>1034</v>
      </c>
      <c r="C2899" s="791" t="s">
        <v>1035</v>
      </c>
      <c r="D2899" s="792" t="s">
        <v>779</v>
      </c>
      <c r="E2899" s="793" t="s">
        <v>763</v>
      </c>
      <c r="F2899" s="793" t="s">
        <v>927</v>
      </c>
      <c r="G2899" s="793" t="s">
        <v>782</v>
      </c>
      <c r="H2899" s="793" t="s">
        <v>913</v>
      </c>
      <c r="I2899" s="794">
        <v>4.4397060521042688E-4</v>
      </c>
      <c r="J2899" s="794">
        <v>0.61452467505283481</v>
      </c>
      <c r="K2899" s="771"/>
    </row>
    <row r="2900" spans="1:11" ht="18.75" customHeight="1" outlineLevel="2">
      <c r="A2900" s="791" t="s">
        <v>776</v>
      </c>
      <c r="B2900" s="791" t="s">
        <v>1034</v>
      </c>
      <c r="C2900" s="791" t="s">
        <v>1035</v>
      </c>
      <c r="D2900" s="792" t="s">
        <v>779</v>
      </c>
      <c r="E2900" s="793" t="s">
        <v>763</v>
      </c>
      <c r="F2900" s="793" t="s">
        <v>928</v>
      </c>
      <c r="G2900" s="793" t="s">
        <v>785</v>
      </c>
      <c r="H2900" s="793" t="s">
        <v>913</v>
      </c>
      <c r="I2900" s="794">
        <v>3.3009493714285915E-3</v>
      </c>
      <c r="J2900" s="794">
        <v>10.161606733128341</v>
      </c>
      <c r="K2900" s="771"/>
    </row>
    <row r="2901" spans="1:11" ht="18.75" customHeight="1" outlineLevel="2">
      <c r="A2901" s="791" t="s">
        <v>776</v>
      </c>
      <c r="B2901" s="791" t="s">
        <v>1034</v>
      </c>
      <c r="C2901" s="791" t="s">
        <v>1035</v>
      </c>
      <c r="D2901" s="792" t="s">
        <v>779</v>
      </c>
      <c r="E2901" s="793" t="s">
        <v>763</v>
      </c>
      <c r="F2901" s="793" t="s">
        <v>929</v>
      </c>
      <c r="G2901" s="793" t="s">
        <v>785</v>
      </c>
      <c r="H2901" s="793" t="s">
        <v>913</v>
      </c>
      <c r="I2901" s="794">
        <v>6.5625058905887657E-2</v>
      </c>
      <c r="J2901" s="794">
        <v>924.30934450134021</v>
      </c>
      <c r="K2901" s="771"/>
    </row>
    <row r="2902" spans="1:11" ht="18.75" customHeight="1" outlineLevel="2">
      <c r="A2902" s="791" t="s">
        <v>776</v>
      </c>
      <c r="B2902" s="791" t="s">
        <v>1034</v>
      </c>
      <c r="C2902" s="791" t="s">
        <v>1035</v>
      </c>
      <c r="D2902" s="792" t="s">
        <v>779</v>
      </c>
      <c r="E2902" s="793" t="s">
        <v>763</v>
      </c>
      <c r="F2902" s="793" t="s">
        <v>930</v>
      </c>
      <c r="G2902" s="793" t="s">
        <v>785</v>
      </c>
      <c r="H2902" s="793" t="s">
        <v>913</v>
      </c>
      <c r="I2902" s="794">
        <v>3.9069910723845298E-4</v>
      </c>
      <c r="J2902" s="794">
        <v>6.8857470886924004</v>
      </c>
      <c r="K2902" s="771"/>
    </row>
    <row r="2903" spans="1:11" ht="18.75" customHeight="1" outlineLevel="2">
      <c r="A2903" s="791" t="s">
        <v>776</v>
      </c>
      <c r="B2903" s="791" t="s">
        <v>1034</v>
      </c>
      <c r="C2903" s="791" t="s">
        <v>1035</v>
      </c>
      <c r="D2903" s="792" t="s">
        <v>779</v>
      </c>
      <c r="E2903" s="793" t="s">
        <v>763</v>
      </c>
      <c r="F2903" s="793" t="s">
        <v>931</v>
      </c>
      <c r="G2903" s="793" t="s">
        <v>785</v>
      </c>
      <c r="H2903" s="793" t="s">
        <v>913</v>
      </c>
      <c r="I2903" s="794">
        <v>1.3069656325349958E-4</v>
      </c>
      <c r="J2903" s="794">
        <v>2.1720099141504314</v>
      </c>
      <c r="K2903" s="771"/>
    </row>
    <row r="2904" spans="1:11" ht="18.75" customHeight="1" outlineLevel="2">
      <c r="A2904" s="791" t="s">
        <v>776</v>
      </c>
      <c r="B2904" s="791" t="s">
        <v>1034</v>
      </c>
      <c r="C2904" s="791" t="s">
        <v>1035</v>
      </c>
      <c r="D2904" s="792" t="s">
        <v>779</v>
      </c>
      <c r="E2904" s="793" t="s">
        <v>763</v>
      </c>
      <c r="F2904" s="793" t="s">
        <v>932</v>
      </c>
      <c r="G2904" s="793" t="s">
        <v>785</v>
      </c>
      <c r="H2904" s="793" t="s">
        <v>913</v>
      </c>
      <c r="I2904" s="794">
        <v>1.3955140840590587E-4</v>
      </c>
      <c r="J2904" s="794">
        <v>0.53642166461725782</v>
      </c>
      <c r="K2904" s="771"/>
    </row>
    <row r="2905" spans="1:11" ht="18.75" customHeight="1" outlineLevel="2">
      <c r="A2905" s="791" t="s">
        <v>776</v>
      </c>
      <c r="B2905" s="791" t="s">
        <v>1034</v>
      </c>
      <c r="C2905" s="791" t="s">
        <v>1035</v>
      </c>
      <c r="D2905" s="792" t="s">
        <v>779</v>
      </c>
      <c r="E2905" s="793" t="s">
        <v>763</v>
      </c>
      <c r="F2905" s="793" t="s">
        <v>933</v>
      </c>
      <c r="G2905" s="793" t="s">
        <v>785</v>
      </c>
      <c r="H2905" s="793" t="s">
        <v>913</v>
      </c>
      <c r="I2905" s="794">
        <v>1.9587771008782026E-4</v>
      </c>
      <c r="J2905" s="794">
        <v>4.266037783325463</v>
      </c>
      <c r="K2905" s="771"/>
    </row>
    <row r="2906" spans="1:11" ht="18.75" customHeight="1" outlineLevel="2">
      <c r="A2906" s="791" t="s">
        <v>776</v>
      </c>
      <c r="B2906" s="791" t="s">
        <v>1034</v>
      </c>
      <c r="C2906" s="791" t="s">
        <v>1035</v>
      </c>
      <c r="D2906" s="792" t="s">
        <v>779</v>
      </c>
      <c r="E2906" s="793" t="s">
        <v>763</v>
      </c>
      <c r="F2906" s="793" t="s">
        <v>934</v>
      </c>
      <c r="G2906" s="793" t="s">
        <v>813</v>
      </c>
      <c r="H2906" s="793" t="s">
        <v>913</v>
      </c>
      <c r="I2906" s="794">
        <v>1.6730020926204957E-3</v>
      </c>
      <c r="J2906" s="794">
        <v>25.353177688855897</v>
      </c>
      <c r="K2906" s="771"/>
    </row>
    <row r="2907" spans="1:11" ht="18.75" customHeight="1" outlineLevel="2">
      <c r="A2907" s="791" t="s">
        <v>776</v>
      </c>
      <c r="B2907" s="791" t="s">
        <v>1034</v>
      </c>
      <c r="C2907" s="791" t="s">
        <v>1035</v>
      </c>
      <c r="D2907" s="792" t="s">
        <v>779</v>
      </c>
      <c r="E2907" s="793" t="s">
        <v>763</v>
      </c>
      <c r="F2907" s="793" t="s">
        <v>935</v>
      </c>
      <c r="G2907" s="793" t="s">
        <v>791</v>
      </c>
      <c r="H2907" s="793" t="s">
        <v>913</v>
      </c>
      <c r="I2907" s="794">
        <v>4.7744775063115077E-5</v>
      </c>
      <c r="J2907" s="794">
        <v>6.0162330922892408E-2</v>
      </c>
      <c r="K2907" s="771"/>
    </row>
    <row r="2908" spans="1:11" ht="18.75" customHeight="1" outlineLevel="2">
      <c r="A2908" s="791" t="s">
        <v>776</v>
      </c>
      <c r="B2908" s="791" t="s">
        <v>1034</v>
      </c>
      <c r="C2908" s="791" t="s">
        <v>1035</v>
      </c>
      <c r="D2908" s="792" t="s">
        <v>779</v>
      </c>
      <c r="E2908" s="793" t="s">
        <v>763</v>
      </c>
      <c r="F2908" s="793" t="s">
        <v>936</v>
      </c>
      <c r="G2908" s="793" t="s">
        <v>791</v>
      </c>
      <c r="H2908" s="793" t="s">
        <v>913</v>
      </c>
      <c r="I2908" s="794">
        <v>6.9177787140937985E-6</v>
      </c>
      <c r="J2908" s="794">
        <v>0.11717928613733612</v>
      </c>
      <c r="K2908" s="771"/>
    </row>
    <row r="2909" spans="1:11" ht="18.75" customHeight="1" outlineLevel="2">
      <c r="A2909" s="791" t="s">
        <v>776</v>
      </c>
      <c r="B2909" s="791" t="s">
        <v>1034</v>
      </c>
      <c r="C2909" s="791" t="s">
        <v>1035</v>
      </c>
      <c r="D2909" s="792" t="s">
        <v>779</v>
      </c>
      <c r="E2909" s="793" t="s">
        <v>763</v>
      </c>
      <c r="F2909" s="793" t="s">
        <v>937</v>
      </c>
      <c r="G2909" s="793" t="s">
        <v>794</v>
      </c>
      <c r="H2909" s="793" t="s">
        <v>913</v>
      </c>
      <c r="I2909" s="794">
        <v>1.0913432942486742E-2</v>
      </c>
      <c r="J2909" s="794">
        <v>26.79599560197736</v>
      </c>
      <c r="K2909" s="771"/>
    </row>
    <row r="2910" spans="1:11" ht="18.75" customHeight="1" outlineLevel="2">
      <c r="A2910" s="791" t="s">
        <v>776</v>
      </c>
      <c r="B2910" s="791" t="s">
        <v>1034</v>
      </c>
      <c r="C2910" s="791" t="s">
        <v>1035</v>
      </c>
      <c r="D2910" s="792" t="s">
        <v>779</v>
      </c>
      <c r="E2910" s="793" t="s">
        <v>763</v>
      </c>
      <c r="F2910" s="793" t="s">
        <v>938</v>
      </c>
      <c r="G2910" s="793" t="s">
        <v>794</v>
      </c>
      <c r="H2910" s="793" t="s">
        <v>913</v>
      </c>
      <c r="I2910" s="794">
        <v>1.2841436416120577E-3</v>
      </c>
      <c r="J2910" s="794">
        <v>5.8653062625769783</v>
      </c>
      <c r="K2910" s="771"/>
    </row>
    <row r="2911" spans="1:11" ht="18.75" customHeight="1" outlineLevel="2">
      <c r="A2911" s="791" t="s">
        <v>776</v>
      </c>
      <c r="B2911" s="791" t="s">
        <v>1034</v>
      </c>
      <c r="C2911" s="791" t="s">
        <v>1035</v>
      </c>
      <c r="D2911" s="792" t="s">
        <v>779</v>
      </c>
      <c r="E2911" s="793" t="s">
        <v>763</v>
      </c>
      <c r="F2911" s="793" t="s">
        <v>939</v>
      </c>
      <c r="G2911" s="793" t="s">
        <v>794</v>
      </c>
      <c r="H2911" s="793" t="s">
        <v>913</v>
      </c>
      <c r="I2911" s="794">
        <v>6.695635740925442E-4</v>
      </c>
      <c r="J2911" s="794">
        <v>6.848764657288819</v>
      </c>
      <c r="K2911" s="771"/>
    </row>
    <row r="2912" spans="1:11" ht="18.75" customHeight="1" outlineLevel="2">
      <c r="A2912" s="791" t="s">
        <v>776</v>
      </c>
      <c r="B2912" s="791" t="s">
        <v>1034</v>
      </c>
      <c r="C2912" s="791" t="s">
        <v>1035</v>
      </c>
      <c r="D2912" s="792" t="s">
        <v>779</v>
      </c>
      <c r="E2912" s="793" t="s">
        <v>763</v>
      </c>
      <c r="F2912" s="793" t="s">
        <v>940</v>
      </c>
      <c r="G2912" s="793" t="s">
        <v>794</v>
      </c>
      <c r="H2912" s="793" t="s">
        <v>913</v>
      </c>
      <c r="I2912" s="794">
        <v>1.1084584328151265E-3</v>
      </c>
      <c r="J2912" s="794">
        <v>8.512017420237834</v>
      </c>
      <c r="K2912" s="771"/>
    </row>
    <row r="2913" spans="1:11" ht="18.75" customHeight="1" outlineLevel="2">
      <c r="A2913" s="791" t="s">
        <v>776</v>
      </c>
      <c r="B2913" s="791" t="s">
        <v>1034</v>
      </c>
      <c r="C2913" s="791" t="s">
        <v>1035</v>
      </c>
      <c r="D2913" s="792" t="s">
        <v>779</v>
      </c>
      <c r="E2913" s="793" t="s">
        <v>763</v>
      </c>
      <c r="F2913" s="793" t="s">
        <v>941</v>
      </c>
      <c r="G2913" s="793" t="s">
        <v>794</v>
      </c>
      <c r="H2913" s="793" t="s">
        <v>913</v>
      </c>
      <c r="I2913" s="794">
        <v>3.8370562762180782E-5</v>
      </c>
      <c r="J2913" s="794">
        <v>0.11576811874830646</v>
      </c>
      <c r="K2913" s="771"/>
    </row>
    <row r="2914" spans="1:11" ht="18.75" customHeight="1" outlineLevel="2">
      <c r="A2914" s="791" t="s">
        <v>776</v>
      </c>
      <c r="B2914" s="791" t="s">
        <v>1034</v>
      </c>
      <c r="C2914" s="791" t="s">
        <v>1035</v>
      </c>
      <c r="D2914" s="792" t="s">
        <v>779</v>
      </c>
      <c r="E2914" s="793" t="s">
        <v>763</v>
      </c>
      <c r="F2914" s="793" t="s">
        <v>942</v>
      </c>
      <c r="G2914" s="793" t="s">
        <v>794</v>
      </c>
      <c r="H2914" s="793" t="s">
        <v>913</v>
      </c>
      <c r="I2914" s="794">
        <v>9.0956673589785903E-6</v>
      </c>
      <c r="J2914" s="794">
        <v>0.1051074208020695</v>
      </c>
      <c r="K2914" s="771"/>
    </row>
    <row r="2915" spans="1:11" ht="18.75" customHeight="1" outlineLevel="2">
      <c r="A2915" s="791" t="s">
        <v>776</v>
      </c>
      <c r="B2915" s="791" t="s">
        <v>1034</v>
      </c>
      <c r="C2915" s="791" t="s">
        <v>1035</v>
      </c>
      <c r="D2915" s="792" t="s">
        <v>779</v>
      </c>
      <c r="E2915" s="793" t="s">
        <v>764</v>
      </c>
      <c r="F2915" s="793" t="s">
        <v>945</v>
      </c>
      <c r="G2915" s="793" t="s">
        <v>244</v>
      </c>
      <c r="H2915" s="793" t="s">
        <v>905</v>
      </c>
      <c r="I2915" s="794">
        <v>7.1165128908696057E-2</v>
      </c>
      <c r="J2915" s="794">
        <v>2561.2885373942977</v>
      </c>
      <c r="K2915" s="771"/>
    </row>
    <row r="2916" spans="1:11" ht="18.75" customHeight="1" outlineLevel="2">
      <c r="A2916" s="791" t="s">
        <v>776</v>
      </c>
      <c r="B2916" s="791" t="s">
        <v>1034</v>
      </c>
      <c r="C2916" s="791" t="s">
        <v>1035</v>
      </c>
      <c r="D2916" s="792" t="s">
        <v>779</v>
      </c>
      <c r="E2916" s="793" t="s">
        <v>764</v>
      </c>
      <c r="F2916" s="793" t="s">
        <v>946</v>
      </c>
      <c r="G2916" s="793" t="s">
        <v>244</v>
      </c>
      <c r="H2916" s="793" t="s">
        <v>905</v>
      </c>
      <c r="I2916" s="794">
        <v>4.0035538981700769E-4</v>
      </c>
      <c r="J2916" s="794">
        <v>7.5945155419977448</v>
      </c>
      <c r="K2916" s="771"/>
    </row>
    <row r="2917" spans="1:11" ht="18.75" customHeight="1" outlineLevel="2">
      <c r="A2917" s="791" t="s">
        <v>776</v>
      </c>
      <c r="B2917" s="791" t="s">
        <v>1034</v>
      </c>
      <c r="C2917" s="791" t="s">
        <v>1035</v>
      </c>
      <c r="D2917" s="792" t="s">
        <v>779</v>
      </c>
      <c r="E2917" s="793" t="s">
        <v>947</v>
      </c>
      <c r="F2917" s="793" t="s">
        <v>948</v>
      </c>
      <c r="G2917" s="793" t="s">
        <v>799</v>
      </c>
      <c r="H2917" s="793" t="s">
        <v>800</v>
      </c>
      <c r="I2917" s="794">
        <v>4.661726690934313E-3</v>
      </c>
      <c r="J2917" s="794">
        <v>115.24447296446014</v>
      </c>
      <c r="K2917" s="771"/>
    </row>
    <row r="2918" spans="1:11" ht="18.75" customHeight="1" outlineLevel="2">
      <c r="A2918" s="791" t="s">
        <v>776</v>
      </c>
      <c r="B2918" s="791" t="s">
        <v>1034</v>
      </c>
      <c r="C2918" s="791" t="s">
        <v>1035</v>
      </c>
      <c r="D2918" s="792" t="s">
        <v>779</v>
      </c>
      <c r="E2918" s="793" t="s">
        <v>947</v>
      </c>
      <c r="F2918" s="793" t="s">
        <v>949</v>
      </c>
      <c r="G2918" s="793" t="s">
        <v>782</v>
      </c>
      <c r="H2918" s="793" t="s">
        <v>804</v>
      </c>
      <c r="I2918" s="794">
        <v>6.9481571355933889E-4</v>
      </c>
      <c r="J2918" s="794">
        <v>40.521951319131766</v>
      </c>
      <c r="K2918" s="771"/>
    </row>
    <row r="2919" spans="1:11" ht="18.75" customHeight="1" outlineLevel="2">
      <c r="A2919" s="791" t="s">
        <v>776</v>
      </c>
      <c r="B2919" s="791" t="s">
        <v>1034</v>
      </c>
      <c r="C2919" s="791" t="s">
        <v>1035</v>
      </c>
      <c r="D2919" s="792" t="s">
        <v>779</v>
      </c>
      <c r="E2919" s="793" t="s">
        <v>947</v>
      </c>
      <c r="F2919" s="793" t="s">
        <v>950</v>
      </c>
      <c r="G2919" s="793" t="s">
        <v>782</v>
      </c>
      <c r="H2919" s="793" t="s">
        <v>804</v>
      </c>
      <c r="I2919" s="794">
        <v>5.9742318275113884E-6</v>
      </c>
      <c r="J2919" s="794">
        <v>6.5989132679017182E-2</v>
      </c>
      <c r="K2919" s="771"/>
    </row>
    <row r="2920" spans="1:11" ht="18.75" customHeight="1" outlineLevel="2">
      <c r="A2920" s="791" t="s">
        <v>776</v>
      </c>
      <c r="B2920" s="791" t="s">
        <v>1034</v>
      </c>
      <c r="C2920" s="791" t="s">
        <v>1035</v>
      </c>
      <c r="D2920" s="792" t="s">
        <v>779</v>
      </c>
      <c r="E2920" s="793" t="s">
        <v>947</v>
      </c>
      <c r="F2920" s="793" t="s">
        <v>951</v>
      </c>
      <c r="G2920" s="793" t="s">
        <v>782</v>
      </c>
      <c r="H2920" s="793" t="s">
        <v>804</v>
      </c>
      <c r="I2920" s="794">
        <v>8.6641744351185601E-5</v>
      </c>
      <c r="J2920" s="794">
        <v>1.0870209685283545</v>
      </c>
      <c r="K2920" s="771"/>
    </row>
    <row r="2921" spans="1:11" ht="18.75" customHeight="1" outlineLevel="2">
      <c r="A2921" s="791" t="s">
        <v>776</v>
      </c>
      <c r="B2921" s="791" t="s">
        <v>1034</v>
      </c>
      <c r="C2921" s="791" t="s">
        <v>1035</v>
      </c>
      <c r="D2921" s="792" t="s">
        <v>779</v>
      </c>
      <c r="E2921" s="793" t="s">
        <v>947</v>
      </c>
      <c r="F2921" s="793" t="s">
        <v>952</v>
      </c>
      <c r="G2921" s="793" t="s">
        <v>782</v>
      </c>
      <c r="H2921" s="793" t="s">
        <v>804</v>
      </c>
      <c r="I2921" s="794">
        <v>1.9785540104800972E-3</v>
      </c>
      <c r="J2921" s="794">
        <v>101.43257899183789</v>
      </c>
      <c r="K2921" s="771"/>
    </row>
    <row r="2922" spans="1:11" ht="18.75" customHeight="1" outlineLevel="2">
      <c r="A2922" s="791" t="s">
        <v>776</v>
      </c>
      <c r="B2922" s="791" t="s">
        <v>1034</v>
      </c>
      <c r="C2922" s="791" t="s">
        <v>1035</v>
      </c>
      <c r="D2922" s="792" t="s">
        <v>779</v>
      </c>
      <c r="E2922" s="793" t="s">
        <v>947</v>
      </c>
      <c r="F2922" s="793" t="s">
        <v>953</v>
      </c>
      <c r="G2922" s="793" t="s">
        <v>782</v>
      </c>
      <c r="H2922" s="793" t="s">
        <v>804</v>
      </c>
      <c r="I2922" s="794">
        <v>1.5019737250900446E-3</v>
      </c>
      <c r="J2922" s="794">
        <v>110.36552368028329</v>
      </c>
      <c r="K2922" s="771"/>
    </row>
    <row r="2923" spans="1:11" ht="18.75" customHeight="1" outlineLevel="2">
      <c r="A2923" s="791" t="s">
        <v>776</v>
      </c>
      <c r="B2923" s="791" t="s">
        <v>1034</v>
      </c>
      <c r="C2923" s="791" t="s">
        <v>1035</v>
      </c>
      <c r="D2923" s="792" t="s">
        <v>779</v>
      </c>
      <c r="E2923" s="793" t="s">
        <v>947</v>
      </c>
      <c r="F2923" s="793" t="s">
        <v>954</v>
      </c>
      <c r="G2923" s="793" t="s">
        <v>782</v>
      </c>
      <c r="H2923" s="793" t="s">
        <v>804</v>
      </c>
      <c r="I2923" s="794">
        <v>1.6969166698786199E-4</v>
      </c>
      <c r="J2923" s="794">
        <v>6.09417727991418</v>
      </c>
      <c r="K2923" s="771"/>
    </row>
    <row r="2924" spans="1:11" ht="18.75" customHeight="1" outlineLevel="2">
      <c r="A2924" s="791" t="s">
        <v>776</v>
      </c>
      <c r="B2924" s="791" t="s">
        <v>1034</v>
      </c>
      <c r="C2924" s="791" t="s">
        <v>1035</v>
      </c>
      <c r="D2924" s="792" t="s">
        <v>779</v>
      </c>
      <c r="E2924" s="793" t="s">
        <v>947</v>
      </c>
      <c r="F2924" s="793" t="s">
        <v>955</v>
      </c>
      <c r="G2924" s="793" t="s">
        <v>782</v>
      </c>
      <c r="H2924" s="793" t="s">
        <v>804</v>
      </c>
      <c r="I2924" s="794">
        <v>9.025745505073326E-5</v>
      </c>
      <c r="J2924" s="794">
        <v>4.1498717147738464</v>
      </c>
      <c r="K2924" s="771"/>
    </row>
    <row r="2925" spans="1:11" ht="18.75" customHeight="1" outlineLevel="2">
      <c r="A2925" s="791" t="s">
        <v>776</v>
      </c>
      <c r="B2925" s="791" t="s">
        <v>1034</v>
      </c>
      <c r="C2925" s="791" t="s">
        <v>1035</v>
      </c>
      <c r="D2925" s="792" t="s">
        <v>779</v>
      </c>
      <c r="E2925" s="793" t="s">
        <v>947</v>
      </c>
      <c r="F2925" s="793" t="s">
        <v>956</v>
      </c>
      <c r="G2925" s="793" t="s">
        <v>782</v>
      </c>
      <c r="H2925" s="793" t="s">
        <v>804</v>
      </c>
      <c r="I2925" s="794">
        <v>4.7971484767119242E-4</v>
      </c>
      <c r="J2925" s="794">
        <v>11.395949464472007</v>
      </c>
      <c r="K2925" s="771"/>
    </row>
    <row r="2926" spans="1:11" ht="18.75" customHeight="1" outlineLevel="2">
      <c r="A2926" s="791" t="s">
        <v>776</v>
      </c>
      <c r="B2926" s="791" t="s">
        <v>1034</v>
      </c>
      <c r="C2926" s="791" t="s">
        <v>1035</v>
      </c>
      <c r="D2926" s="792" t="s">
        <v>779</v>
      </c>
      <c r="E2926" s="793" t="s">
        <v>947</v>
      </c>
      <c r="F2926" s="793" t="s">
        <v>957</v>
      </c>
      <c r="G2926" s="793" t="s">
        <v>782</v>
      </c>
      <c r="H2926" s="793" t="s">
        <v>804</v>
      </c>
      <c r="I2926" s="794">
        <v>1.3752053024518982E-3</v>
      </c>
      <c r="J2926" s="794">
        <v>48.766283936145932</v>
      </c>
      <c r="K2926" s="771"/>
    </row>
    <row r="2927" spans="1:11" ht="18.75" customHeight="1" outlineLevel="2">
      <c r="A2927" s="791" t="s">
        <v>776</v>
      </c>
      <c r="B2927" s="791" t="s">
        <v>1034</v>
      </c>
      <c r="C2927" s="791" t="s">
        <v>1035</v>
      </c>
      <c r="D2927" s="792" t="s">
        <v>779</v>
      </c>
      <c r="E2927" s="793" t="s">
        <v>947</v>
      </c>
      <c r="F2927" s="793" t="s">
        <v>958</v>
      </c>
      <c r="G2927" s="793" t="s">
        <v>782</v>
      </c>
      <c r="H2927" s="793" t="s">
        <v>804</v>
      </c>
      <c r="I2927" s="794">
        <v>9.7222519247257928E-4</v>
      </c>
      <c r="J2927" s="794">
        <v>53.54235882539561</v>
      </c>
      <c r="K2927" s="771"/>
    </row>
    <row r="2928" spans="1:11" ht="18.75" customHeight="1" outlineLevel="2">
      <c r="A2928" s="791" t="s">
        <v>776</v>
      </c>
      <c r="B2928" s="791" t="s">
        <v>1034</v>
      </c>
      <c r="C2928" s="791" t="s">
        <v>1035</v>
      </c>
      <c r="D2928" s="792" t="s">
        <v>779</v>
      </c>
      <c r="E2928" s="793" t="s">
        <v>947</v>
      </c>
      <c r="F2928" s="793" t="s">
        <v>959</v>
      </c>
      <c r="G2928" s="793" t="s">
        <v>782</v>
      </c>
      <c r="H2928" s="793" t="s">
        <v>804</v>
      </c>
      <c r="I2928" s="794">
        <v>5.3301888617039968E-3</v>
      </c>
      <c r="J2928" s="794">
        <v>411.12373694077337</v>
      </c>
      <c r="K2928" s="771"/>
    </row>
    <row r="2929" spans="1:11" ht="18.75" customHeight="1" outlineLevel="2">
      <c r="A2929" s="791" t="s">
        <v>776</v>
      </c>
      <c r="B2929" s="791" t="s">
        <v>1034</v>
      </c>
      <c r="C2929" s="791" t="s">
        <v>1035</v>
      </c>
      <c r="D2929" s="792" t="s">
        <v>779</v>
      </c>
      <c r="E2929" s="793" t="s">
        <v>947</v>
      </c>
      <c r="F2929" s="793" t="s">
        <v>960</v>
      </c>
      <c r="G2929" s="793" t="s">
        <v>782</v>
      </c>
      <c r="H2929" s="793" t="s">
        <v>804</v>
      </c>
      <c r="I2929" s="794">
        <v>1.1273751572886855E-4</v>
      </c>
      <c r="J2929" s="794">
        <v>3.4185426447615392</v>
      </c>
      <c r="K2929" s="771"/>
    </row>
    <row r="2930" spans="1:11" ht="18.75" customHeight="1" outlineLevel="2">
      <c r="A2930" s="791" t="s">
        <v>776</v>
      </c>
      <c r="B2930" s="791" t="s">
        <v>1034</v>
      </c>
      <c r="C2930" s="791" t="s">
        <v>1035</v>
      </c>
      <c r="D2930" s="792" t="s">
        <v>779</v>
      </c>
      <c r="E2930" s="793" t="s">
        <v>947</v>
      </c>
      <c r="F2930" s="793" t="s">
        <v>961</v>
      </c>
      <c r="G2930" s="793" t="s">
        <v>782</v>
      </c>
      <c r="H2930" s="793" t="s">
        <v>804</v>
      </c>
      <c r="I2930" s="794">
        <v>4.4397266613197511E-5</v>
      </c>
      <c r="J2930" s="794">
        <v>2.0931809926513512</v>
      </c>
      <c r="K2930" s="771"/>
    </row>
    <row r="2931" spans="1:11" ht="18.75" customHeight="1" outlineLevel="2">
      <c r="A2931" s="791" t="s">
        <v>776</v>
      </c>
      <c r="B2931" s="791" t="s">
        <v>1034</v>
      </c>
      <c r="C2931" s="791" t="s">
        <v>1035</v>
      </c>
      <c r="D2931" s="792" t="s">
        <v>779</v>
      </c>
      <c r="E2931" s="793" t="s">
        <v>947</v>
      </c>
      <c r="F2931" s="793" t="s">
        <v>962</v>
      </c>
      <c r="G2931" s="793" t="s">
        <v>782</v>
      </c>
      <c r="H2931" s="793" t="s">
        <v>804</v>
      </c>
      <c r="I2931" s="794">
        <v>1.572855945979431E-3</v>
      </c>
      <c r="J2931" s="794">
        <v>93.972337776096694</v>
      </c>
      <c r="K2931" s="771"/>
    </row>
    <row r="2932" spans="1:11" ht="18.75" customHeight="1" outlineLevel="2">
      <c r="A2932" s="791" t="s">
        <v>776</v>
      </c>
      <c r="B2932" s="791" t="s">
        <v>1034</v>
      </c>
      <c r="C2932" s="791" t="s">
        <v>1035</v>
      </c>
      <c r="D2932" s="792" t="s">
        <v>779</v>
      </c>
      <c r="E2932" s="793" t="s">
        <v>947</v>
      </c>
      <c r="F2932" s="793" t="s">
        <v>963</v>
      </c>
      <c r="G2932" s="793" t="s">
        <v>782</v>
      </c>
      <c r="H2932" s="793" t="s">
        <v>804</v>
      </c>
      <c r="I2932" s="794">
        <v>1.3522067057673355E-3</v>
      </c>
      <c r="J2932" s="794">
        <v>102.29010704712373</v>
      </c>
      <c r="K2932" s="771"/>
    </row>
    <row r="2933" spans="1:11" ht="18.75" customHeight="1" outlineLevel="2">
      <c r="A2933" s="791" t="s">
        <v>776</v>
      </c>
      <c r="B2933" s="791" t="s">
        <v>1034</v>
      </c>
      <c r="C2933" s="791" t="s">
        <v>1035</v>
      </c>
      <c r="D2933" s="792" t="s">
        <v>779</v>
      </c>
      <c r="E2933" s="793" t="s">
        <v>947</v>
      </c>
      <c r="F2933" s="793" t="s">
        <v>964</v>
      </c>
      <c r="G2933" s="793" t="s">
        <v>782</v>
      </c>
      <c r="H2933" s="793" t="s">
        <v>804</v>
      </c>
      <c r="I2933" s="794">
        <v>4.9370335266031044E-3</v>
      </c>
      <c r="J2933" s="794">
        <v>351.8634521598546</v>
      </c>
      <c r="K2933" s="771"/>
    </row>
    <row r="2934" spans="1:11" ht="18.75" customHeight="1" outlineLevel="2">
      <c r="A2934" s="791" t="s">
        <v>776</v>
      </c>
      <c r="B2934" s="791" t="s">
        <v>1034</v>
      </c>
      <c r="C2934" s="791" t="s">
        <v>1035</v>
      </c>
      <c r="D2934" s="792" t="s">
        <v>779</v>
      </c>
      <c r="E2934" s="793" t="s">
        <v>947</v>
      </c>
      <c r="F2934" s="793" t="s">
        <v>965</v>
      </c>
      <c r="G2934" s="793" t="s">
        <v>782</v>
      </c>
      <c r="H2934" s="793" t="s">
        <v>804</v>
      </c>
      <c r="I2934" s="794">
        <v>3.398412481971015E-4</v>
      </c>
      <c r="J2934" s="794">
        <v>16.545237363052305</v>
      </c>
      <c r="K2934" s="771"/>
    </row>
    <row r="2935" spans="1:11" ht="18.75" customHeight="1" outlineLevel="2">
      <c r="A2935" s="791" t="s">
        <v>776</v>
      </c>
      <c r="B2935" s="791" t="s">
        <v>1034</v>
      </c>
      <c r="C2935" s="791" t="s">
        <v>1035</v>
      </c>
      <c r="D2935" s="792" t="s">
        <v>779</v>
      </c>
      <c r="E2935" s="793" t="s">
        <v>947</v>
      </c>
      <c r="F2935" s="793" t="s">
        <v>966</v>
      </c>
      <c r="G2935" s="793" t="s">
        <v>782</v>
      </c>
      <c r="H2935" s="793" t="s">
        <v>804</v>
      </c>
      <c r="I2935" s="794">
        <v>2.8576288167302976E-3</v>
      </c>
      <c r="J2935" s="794">
        <v>131.60846126193513</v>
      </c>
      <c r="K2935" s="771"/>
    </row>
    <row r="2936" spans="1:11" ht="18.75" customHeight="1" outlineLevel="2">
      <c r="A2936" s="791" t="s">
        <v>776</v>
      </c>
      <c r="B2936" s="791" t="s">
        <v>1034</v>
      </c>
      <c r="C2936" s="791" t="s">
        <v>1035</v>
      </c>
      <c r="D2936" s="792" t="s">
        <v>779</v>
      </c>
      <c r="E2936" s="793" t="s">
        <v>947</v>
      </c>
      <c r="F2936" s="793" t="s">
        <v>967</v>
      </c>
      <c r="G2936" s="793" t="s">
        <v>782</v>
      </c>
      <c r="H2936" s="793" t="s">
        <v>804</v>
      </c>
      <c r="I2936" s="794">
        <v>6.9820627974457386E-3</v>
      </c>
      <c r="J2936" s="794">
        <v>447.44356941486973</v>
      </c>
      <c r="K2936" s="771"/>
    </row>
    <row r="2937" spans="1:11" ht="18.75" customHeight="1" outlineLevel="2">
      <c r="A2937" s="791" t="s">
        <v>776</v>
      </c>
      <c r="B2937" s="791" t="s">
        <v>1034</v>
      </c>
      <c r="C2937" s="791" t="s">
        <v>1035</v>
      </c>
      <c r="D2937" s="792" t="s">
        <v>779</v>
      </c>
      <c r="E2937" s="793" t="s">
        <v>947</v>
      </c>
      <c r="F2937" s="793" t="s">
        <v>968</v>
      </c>
      <c r="G2937" s="793" t="s">
        <v>782</v>
      </c>
      <c r="H2937" s="793" t="s">
        <v>804</v>
      </c>
      <c r="I2937" s="794">
        <v>1.5292437435286983E-2</v>
      </c>
      <c r="J2937" s="794">
        <v>300.17349425352609</v>
      </c>
      <c r="K2937" s="771"/>
    </row>
    <row r="2938" spans="1:11" ht="18.75" customHeight="1" outlineLevel="2">
      <c r="A2938" s="791" t="s">
        <v>776</v>
      </c>
      <c r="B2938" s="791" t="s">
        <v>1034</v>
      </c>
      <c r="C2938" s="791" t="s">
        <v>1035</v>
      </c>
      <c r="D2938" s="792" t="s">
        <v>779</v>
      </c>
      <c r="E2938" s="793" t="s">
        <v>947</v>
      </c>
      <c r="F2938" s="793" t="s">
        <v>969</v>
      </c>
      <c r="G2938" s="793" t="s">
        <v>782</v>
      </c>
      <c r="H2938" s="793" t="s">
        <v>804</v>
      </c>
      <c r="I2938" s="794">
        <v>5.6226642966723571E-3</v>
      </c>
      <c r="J2938" s="794">
        <v>409.31626905622426</v>
      </c>
      <c r="K2938" s="771"/>
    </row>
    <row r="2939" spans="1:11" ht="18.75" customHeight="1" outlineLevel="2">
      <c r="A2939" s="791" t="s">
        <v>776</v>
      </c>
      <c r="B2939" s="791" t="s">
        <v>1034</v>
      </c>
      <c r="C2939" s="791" t="s">
        <v>1035</v>
      </c>
      <c r="D2939" s="792" t="s">
        <v>779</v>
      </c>
      <c r="E2939" s="793" t="s">
        <v>947</v>
      </c>
      <c r="F2939" s="793" t="s">
        <v>970</v>
      </c>
      <c r="G2939" s="793" t="s">
        <v>782</v>
      </c>
      <c r="H2939" s="793" t="s">
        <v>804</v>
      </c>
      <c r="I2939" s="794">
        <v>1.0237777180729114E-2</v>
      </c>
      <c r="J2939" s="794">
        <v>235.62087477894451</v>
      </c>
      <c r="K2939" s="771"/>
    </row>
    <row r="2940" spans="1:11" ht="18.75" customHeight="1" outlineLevel="2">
      <c r="A2940" s="791" t="s">
        <v>776</v>
      </c>
      <c r="B2940" s="791" t="s">
        <v>1034</v>
      </c>
      <c r="C2940" s="791" t="s">
        <v>1035</v>
      </c>
      <c r="D2940" s="792" t="s">
        <v>779</v>
      </c>
      <c r="E2940" s="793" t="s">
        <v>947</v>
      </c>
      <c r="F2940" s="793" t="s">
        <v>971</v>
      </c>
      <c r="G2940" s="793" t="s">
        <v>782</v>
      </c>
      <c r="H2940" s="793" t="s">
        <v>804</v>
      </c>
      <c r="I2940" s="794">
        <v>6.0097745742375538E-4</v>
      </c>
      <c r="J2940" s="794">
        <v>43.920138872476372</v>
      </c>
      <c r="K2940" s="771"/>
    </row>
    <row r="2941" spans="1:11" ht="18.75" customHeight="1" outlineLevel="2">
      <c r="A2941" s="791" t="s">
        <v>776</v>
      </c>
      <c r="B2941" s="791" t="s">
        <v>1034</v>
      </c>
      <c r="C2941" s="791" t="s">
        <v>1035</v>
      </c>
      <c r="D2941" s="792" t="s">
        <v>779</v>
      </c>
      <c r="E2941" s="793" t="s">
        <v>947</v>
      </c>
      <c r="F2941" s="793" t="s">
        <v>972</v>
      </c>
      <c r="G2941" s="793" t="s">
        <v>782</v>
      </c>
      <c r="H2941" s="793" t="s">
        <v>804</v>
      </c>
      <c r="I2941" s="794">
        <v>3.1214275405801168E-5</v>
      </c>
      <c r="J2941" s="794">
        <v>0.72056794562255577</v>
      </c>
      <c r="K2941" s="771"/>
    </row>
    <row r="2942" spans="1:11" ht="18.75" customHeight="1" outlineLevel="2">
      <c r="A2942" s="791" t="s">
        <v>776</v>
      </c>
      <c r="B2942" s="791" t="s">
        <v>1034</v>
      </c>
      <c r="C2942" s="791" t="s">
        <v>1035</v>
      </c>
      <c r="D2942" s="792" t="s">
        <v>779</v>
      </c>
      <c r="E2942" s="793" t="s">
        <v>947</v>
      </c>
      <c r="F2942" s="793" t="s">
        <v>973</v>
      </c>
      <c r="G2942" s="793" t="s">
        <v>782</v>
      </c>
      <c r="H2942" s="793" t="s">
        <v>804</v>
      </c>
      <c r="I2942" s="794">
        <v>8.5217838796069307E-4</v>
      </c>
      <c r="J2942" s="794">
        <v>45.813017513224324</v>
      </c>
      <c r="K2942" s="771"/>
    </row>
    <row r="2943" spans="1:11" ht="18.75" customHeight="1" outlineLevel="2">
      <c r="A2943" s="791" t="s">
        <v>776</v>
      </c>
      <c r="B2943" s="791" t="s">
        <v>1034</v>
      </c>
      <c r="C2943" s="791" t="s">
        <v>1035</v>
      </c>
      <c r="D2943" s="792" t="s">
        <v>779</v>
      </c>
      <c r="E2943" s="793" t="s">
        <v>947</v>
      </c>
      <c r="F2943" s="793" t="s">
        <v>974</v>
      </c>
      <c r="G2943" s="793" t="s">
        <v>785</v>
      </c>
      <c r="H2943" s="793" t="s">
        <v>727</v>
      </c>
      <c r="I2943" s="794">
        <v>6.868161347260537E-4</v>
      </c>
      <c r="J2943" s="794">
        <v>16.615908066268219</v>
      </c>
      <c r="K2943" s="771"/>
    </row>
    <row r="2944" spans="1:11" ht="18.75" customHeight="1" outlineLevel="2">
      <c r="A2944" s="791" t="s">
        <v>776</v>
      </c>
      <c r="B2944" s="791" t="s">
        <v>1034</v>
      </c>
      <c r="C2944" s="791" t="s">
        <v>1035</v>
      </c>
      <c r="D2944" s="792" t="s">
        <v>779</v>
      </c>
      <c r="E2944" s="793" t="s">
        <v>947</v>
      </c>
      <c r="F2944" s="793" t="s">
        <v>975</v>
      </c>
      <c r="G2944" s="793" t="s">
        <v>785</v>
      </c>
      <c r="H2944" s="793" t="s">
        <v>727</v>
      </c>
      <c r="I2944" s="794">
        <v>3.4180288230050726E-3</v>
      </c>
      <c r="J2944" s="794">
        <v>241.05690215914075</v>
      </c>
      <c r="K2944" s="771"/>
    </row>
    <row r="2945" spans="1:11" ht="18.75" customHeight="1" outlineLevel="2">
      <c r="A2945" s="791" t="s">
        <v>776</v>
      </c>
      <c r="B2945" s="791" t="s">
        <v>1034</v>
      </c>
      <c r="C2945" s="791" t="s">
        <v>1035</v>
      </c>
      <c r="D2945" s="792" t="s">
        <v>779</v>
      </c>
      <c r="E2945" s="793" t="s">
        <v>947</v>
      </c>
      <c r="F2945" s="793" t="s">
        <v>976</v>
      </c>
      <c r="G2945" s="793" t="s">
        <v>785</v>
      </c>
      <c r="H2945" s="793" t="s">
        <v>727</v>
      </c>
      <c r="I2945" s="794">
        <v>2.0079123988944779E-3</v>
      </c>
      <c r="J2945" s="794">
        <v>105.28868898105613</v>
      </c>
      <c r="K2945" s="771"/>
    </row>
    <row r="2946" spans="1:11" ht="18.75" customHeight="1" outlineLevel="2">
      <c r="A2946" s="791" t="s">
        <v>776</v>
      </c>
      <c r="B2946" s="791" t="s">
        <v>1034</v>
      </c>
      <c r="C2946" s="791" t="s">
        <v>1035</v>
      </c>
      <c r="D2946" s="792" t="s">
        <v>779</v>
      </c>
      <c r="E2946" s="793" t="s">
        <v>947</v>
      </c>
      <c r="F2946" s="793" t="s">
        <v>977</v>
      </c>
      <c r="G2946" s="793" t="s">
        <v>785</v>
      </c>
      <c r="H2946" s="793" t="s">
        <v>727</v>
      </c>
      <c r="I2946" s="794">
        <v>2.3767190518250306E-3</v>
      </c>
      <c r="J2946" s="794">
        <v>106.76684717305655</v>
      </c>
      <c r="K2946" s="771"/>
    </row>
    <row r="2947" spans="1:11" ht="18.75" customHeight="1" outlineLevel="2">
      <c r="A2947" s="791" t="s">
        <v>776</v>
      </c>
      <c r="B2947" s="791" t="s">
        <v>1034</v>
      </c>
      <c r="C2947" s="791" t="s">
        <v>1035</v>
      </c>
      <c r="D2947" s="792" t="s">
        <v>779</v>
      </c>
      <c r="E2947" s="793" t="s">
        <v>947</v>
      </c>
      <c r="F2947" s="793" t="s">
        <v>978</v>
      </c>
      <c r="G2947" s="793" t="s">
        <v>785</v>
      </c>
      <c r="H2947" s="793" t="s">
        <v>727</v>
      </c>
      <c r="I2947" s="794">
        <v>1.5053052094883299E-4</v>
      </c>
      <c r="J2947" s="794">
        <v>4.1175892213407872</v>
      </c>
      <c r="K2947" s="771"/>
    </row>
    <row r="2948" spans="1:11" ht="18.75" customHeight="1" outlineLevel="2">
      <c r="A2948" s="791" t="s">
        <v>776</v>
      </c>
      <c r="B2948" s="791" t="s">
        <v>1034</v>
      </c>
      <c r="C2948" s="791" t="s">
        <v>1035</v>
      </c>
      <c r="D2948" s="792" t="s">
        <v>779</v>
      </c>
      <c r="E2948" s="793" t="s">
        <v>947</v>
      </c>
      <c r="F2948" s="793" t="s">
        <v>979</v>
      </c>
      <c r="G2948" s="793" t="s">
        <v>785</v>
      </c>
      <c r="H2948" s="793" t="s">
        <v>727</v>
      </c>
      <c r="I2948" s="794">
        <v>1.0406309928110376E-2</v>
      </c>
      <c r="J2948" s="794">
        <v>342.01784280021201</v>
      </c>
      <c r="K2948" s="771"/>
    </row>
    <row r="2949" spans="1:11" ht="18.75" customHeight="1" outlineLevel="2">
      <c r="A2949" s="791" t="s">
        <v>776</v>
      </c>
      <c r="B2949" s="791" t="s">
        <v>1034</v>
      </c>
      <c r="C2949" s="791" t="s">
        <v>1035</v>
      </c>
      <c r="D2949" s="792" t="s">
        <v>779</v>
      </c>
      <c r="E2949" s="793" t="s">
        <v>947</v>
      </c>
      <c r="F2949" s="793" t="s">
        <v>980</v>
      </c>
      <c r="G2949" s="793" t="s">
        <v>785</v>
      </c>
      <c r="H2949" s="793" t="s">
        <v>727</v>
      </c>
      <c r="I2949" s="794">
        <v>1.874120464598345E-3</v>
      </c>
      <c r="J2949" s="794">
        <v>151.92946719842479</v>
      </c>
      <c r="K2949" s="771"/>
    </row>
    <row r="2950" spans="1:11" ht="18.75" customHeight="1" outlineLevel="2">
      <c r="A2950" s="791" t="s">
        <v>776</v>
      </c>
      <c r="B2950" s="791" t="s">
        <v>1034</v>
      </c>
      <c r="C2950" s="791" t="s">
        <v>1035</v>
      </c>
      <c r="D2950" s="792" t="s">
        <v>779</v>
      </c>
      <c r="E2950" s="793" t="s">
        <v>947</v>
      </c>
      <c r="F2950" s="793" t="s">
        <v>981</v>
      </c>
      <c r="G2950" s="793" t="s">
        <v>813</v>
      </c>
      <c r="H2950" s="793" t="s">
        <v>814</v>
      </c>
      <c r="I2950" s="794">
        <v>1.1877011714967793E-6</v>
      </c>
      <c r="J2950" s="794">
        <v>2.9768388520452226E-2</v>
      </c>
      <c r="K2950" s="771"/>
    </row>
    <row r="2951" spans="1:11" ht="18.75" customHeight="1" outlineLevel="2">
      <c r="A2951" s="791" t="s">
        <v>776</v>
      </c>
      <c r="B2951" s="791" t="s">
        <v>1034</v>
      </c>
      <c r="C2951" s="791" t="s">
        <v>1035</v>
      </c>
      <c r="D2951" s="792" t="s">
        <v>779</v>
      </c>
      <c r="E2951" s="793" t="s">
        <v>947</v>
      </c>
      <c r="F2951" s="793" t="s">
        <v>982</v>
      </c>
      <c r="G2951" s="793" t="s">
        <v>813</v>
      </c>
      <c r="H2951" s="793" t="s">
        <v>814</v>
      </c>
      <c r="I2951" s="794">
        <v>1.395901376385669E-4</v>
      </c>
      <c r="J2951" s="794">
        <v>7.8192648392000761</v>
      </c>
      <c r="K2951" s="771"/>
    </row>
    <row r="2952" spans="1:11" ht="18.75" customHeight="1" outlineLevel="2">
      <c r="A2952" s="791" t="s">
        <v>776</v>
      </c>
      <c r="B2952" s="791" t="s">
        <v>1034</v>
      </c>
      <c r="C2952" s="791" t="s">
        <v>1035</v>
      </c>
      <c r="D2952" s="792" t="s">
        <v>779</v>
      </c>
      <c r="E2952" s="793" t="s">
        <v>947</v>
      </c>
      <c r="F2952" s="793" t="s">
        <v>983</v>
      </c>
      <c r="G2952" s="793" t="s">
        <v>813</v>
      </c>
      <c r="H2952" s="793" t="s">
        <v>814</v>
      </c>
      <c r="I2952" s="794">
        <v>9.3930994871043103E-3</v>
      </c>
      <c r="J2952" s="794">
        <v>208.66907110806972</v>
      </c>
      <c r="K2952" s="771"/>
    </row>
    <row r="2953" spans="1:11" ht="18.75" customHeight="1" outlineLevel="2">
      <c r="A2953" s="791" t="s">
        <v>776</v>
      </c>
      <c r="B2953" s="791" t="s">
        <v>1034</v>
      </c>
      <c r="C2953" s="791" t="s">
        <v>1035</v>
      </c>
      <c r="D2953" s="792" t="s">
        <v>779</v>
      </c>
      <c r="E2953" s="793" t="s">
        <v>947</v>
      </c>
      <c r="F2953" s="793" t="s">
        <v>984</v>
      </c>
      <c r="G2953" s="793" t="s">
        <v>813</v>
      </c>
      <c r="H2953" s="793" t="s">
        <v>814</v>
      </c>
      <c r="I2953" s="794">
        <v>2.4702182083301124E-3</v>
      </c>
      <c r="J2953" s="794">
        <v>43.075943644457737</v>
      </c>
      <c r="K2953" s="771"/>
    </row>
    <row r="2954" spans="1:11" ht="18.75" customHeight="1" outlineLevel="2">
      <c r="A2954" s="791" t="s">
        <v>776</v>
      </c>
      <c r="B2954" s="791" t="s">
        <v>1034</v>
      </c>
      <c r="C2954" s="791" t="s">
        <v>1035</v>
      </c>
      <c r="D2954" s="792" t="s">
        <v>779</v>
      </c>
      <c r="E2954" s="793" t="s">
        <v>947</v>
      </c>
      <c r="F2954" s="793" t="s">
        <v>985</v>
      </c>
      <c r="G2954" s="793" t="s">
        <v>813</v>
      </c>
      <c r="H2954" s="793" t="s">
        <v>814</v>
      </c>
      <c r="I2954" s="794">
        <v>5.8386291476736178E-3</v>
      </c>
      <c r="J2954" s="794">
        <v>284.45753898004767</v>
      </c>
      <c r="K2954" s="771"/>
    </row>
    <row r="2955" spans="1:11" ht="18.75" customHeight="1" outlineLevel="2">
      <c r="A2955" s="791" t="s">
        <v>776</v>
      </c>
      <c r="B2955" s="791" t="s">
        <v>1034</v>
      </c>
      <c r="C2955" s="791" t="s">
        <v>1035</v>
      </c>
      <c r="D2955" s="792" t="s">
        <v>779</v>
      </c>
      <c r="E2955" s="793" t="s">
        <v>947</v>
      </c>
      <c r="F2955" s="793" t="s">
        <v>986</v>
      </c>
      <c r="G2955" s="793" t="s">
        <v>813</v>
      </c>
      <c r="H2955" s="793" t="s">
        <v>814</v>
      </c>
      <c r="I2955" s="794">
        <v>1.0012999368845569E-3</v>
      </c>
      <c r="J2955" s="794">
        <v>33.516263357669324</v>
      </c>
      <c r="K2955" s="771"/>
    </row>
    <row r="2956" spans="1:11" ht="18.75" customHeight="1" outlineLevel="2">
      <c r="A2956" s="791" t="s">
        <v>776</v>
      </c>
      <c r="B2956" s="791" t="s">
        <v>1034</v>
      </c>
      <c r="C2956" s="791" t="s">
        <v>1035</v>
      </c>
      <c r="D2956" s="792" t="s">
        <v>779</v>
      </c>
      <c r="E2956" s="793" t="s">
        <v>947</v>
      </c>
      <c r="F2956" s="793" t="s">
        <v>987</v>
      </c>
      <c r="G2956" s="793" t="s">
        <v>813</v>
      </c>
      <c r="H2956" s="793" t="s">
        <v>814</v>
      </c>
      <c r="I2956" s="794">
        <v>2.8151407433126935E-5</v>
      </c>
      <c r="J2956" s="794">
        <v>0.85105140896817699</v>
      </c>
      <c r="K2956" s="771"/>
    </row>
    <row r="2957" spans="1:11" ht="18.75" customHeight="1" outlineLevel="2">
      <c r="A2957" s="791" t="s">
        <v>776</v>
      </c>
      <c r="B2957" s="791" t="s">
        <v>1034</v>
      </c>
      <c r="C2957" s="791" t="s">
        <v>1035</v>
      </c>
      <c r="D2957" s="792" t="s">
        <v>779</v>
      </c>
      <c r="E2957" s="793" t="s">
        <v>947</v>
      </c>
      <c r="F2957" s="793" t="s">
        <v>988</v>
      </c>
      <c r="G2957" s="793" t="s">
        <v>791</v>
      </c>
      <c r="H2957" s="793" t="s">
        <v>826</v>
      </c>
      <c r="I2957" s="794">
        <v>1.3737301964435277E-5</v>
      </c>
      <c r="J2957" s="794">
        <v>0.11741826164021454</v>
      </c>
      <c r="K2957" s="771"/>
    </row>
    <row r="2958" spans="1:11" ht="18.75" customHeight="1" outlineLevel="2">
      <c r="A2958" s="791" t="s">
        <v>776</v>
      </c>
      <c r="B2958" s="791" t="s">
        <v>1034</v>
      </c>
      <c r="C2958" s="791" t="s">
        <v>1035</v>
      </c>
      <c r="D2958" s="792" t="s">
        <v>779</v>
      </c>
      <c r="E2958" s="793" t="s">
        <v>947</v>
      </c>
      <c r="F2958" s="793" t="s">
        <v>989</v>
      </c>
      <c r="G2958" s="793" t="s">
        <v>791</v>
      </c>
      <c r="H2958" s="793" t="s">
        <v>826</v>
      </c>
      <c r="I2958" s="794">
        <v>8.3097281635469811E-2</v>
      </c>
      <c r="J2958" s="794">
        <v>4875.4614565825123</v>
      </c>
      <c r="K2958" s="771"/>
    </row>
    <row r="2959" spans="1:11" ht="18.75" customHeight="1" outlineLevel="2">
      <c r="A2959" s="791" t="s">
        <v>776</v>
      </c>
      <c r="B2959" s="791" t="s">
        <v>1034</v>
      </c>
      <c r="C2959" s="791" t="s">
        <v>1035</v>
      </c>
      <c r="D2959" s="792" t="s">
        <v>779</v>
      </c>
      <c r="E2959" s="793" t="s">
        <v>947</v>
      </c>
      <c r="F2959" s="793" t="s">
        <v>990</v>
      </c>
      <c r="G2959" s="793" t="s">
        <v>791</v>
      </c>
      <c r="H2959" s="793" t="s">
        <v>826</v>
      </c>
      <c r="I2959" s="794">
        <v>3.9661500572344818E-3</v>
      </c>
      <c r="J2959" s="794">
        <v>437.12676296751988</v>
      </c>
      <c r="K2959" s="771"/>
    </row>
    <row r="2960" spans="1:11" ht="18.75" customHeight="1" outlineLevel="2">
      <c r="A2960" s="791" t="s">
        <v>776</v>
      </c>
      <c r="B2960" s="791" t="s">
        <v>1034</v>
      </c>
      <c r="C2960" s="791" t="s">
        <v>1035</v>
      </c>
      <c r="D2960" s="792" t="s">
        <v>779</v>
      </c>
      <c r="E2960" s="793" t="s">
        <v>947</v>
      </c>
      <c r="F2960" s="793" t="s">
        <v>991</v>
      </c>
      <c r="G2960" s="793" t="s">
        <v>791</v>
      </c>
      <c r="H2960" s="793" t="s">
        <v>826</v>
      </c>
      <c r="I2960" s="794">
        <v>3.1503420980802613E-5</v>
      </c>
      <c r="J2960" s="794">
        <v>2.4195274186449036</v>
      </c>
      <c r="K2960" s="771"/>
    </row>
    <row r="2961" spans="1:11" ht="18.75" customHeight="1" outlineLevel="2">
      <c r="A2961" s="791" t="s">
        <v>776</v>
      </c>
      <c r="B2961" s="791" t="s">
        <v>1034</v>
      </c>
      <c r="C2961" s="791" t="s">
        <v>1035</v>
      </c>
      <c r="D2961" s="792" t="s">
        <v>779</v>
      </c>
      <c r="E2961" s="793" t="s">
        <v>947</v>
      </c>
      <c r="F2961" s="793" t="s">
        <v>992</v>
      </c>
      <c r="G2961" s="793" t="s">
        <v>791</v>
      </c>
      <c r="H2961" s="793" t="s">
        <v>826</v>
      </c>
      <c r="I2961" s="794">
        <v>6.1411387664745466E-6</v>
      </c>
      <c r="J2961" s="794">
        <v>0.50826893571689946</v>
      </c>
      <c r="K2961" s="771"/>
    </row>
    <row r="2962" spans="1:11" ht="18.75" customHeight="1" outlineLevel="2">
      <c r="A2962" s="791" t="s">
        <v>776</v>
      </c>
      <c r="B2962" s="791" t="s">
        <v>1034</v>
      </c>
      <c r="C2962" s="791" t="s">
        <v>1035</v>
      </c>
      <c r="D2962" s="792" t="s">
        <v>779</v>
      </c>
      <c r="E2962" s="793" t="s">
        <v>947</v>
      </c>
      <c r="F2962" s="793" t="s">
        <v>993</v>
      </c>
      <c r="G2962" s="793" t="s">
        <v>791</v>
      </c>
      <c r="H2962" s="793" t="s">
        <v>826</v>
      </c>
      <c r="I2962" s="794">
        <v>4.0316523131274324E-4</v>
      </c>
      <c r="J2962" s="794">
        <v>37.070251603198642</v>
      </c>
      <c r="K2962" s="771"/>
    </row>
    <row r="2963" spans="1:11" ht="18.75" customHeight="1" outlineLevel="2">
      <c r="A2963" s="791" t="s">
        <v>776</v>
      </c>
      <c r="B2963" s="791" t="s">
        <v>1034</v>
      </c>
      <c r="C2963" s="791" t="s">
        <v>1035</v>
      </c>
      <c r="D2963" s="792" t="s">
        <v>779</v>
      </c>
      <c r="E2963" s="793" t="s">
        <v>947</v>
      </c>
      <c r="F2963" s="793" t="s">
        <v>994</v>
      </c>
      <c r="G2963" s="793" t="s">
        <v>791</v>
      </c>
      <c r="H2963" s="793" t="s">
        <v>826</v>
      </c>
      <c r="I2963" s="794">
        <v>8.5239440641354776E-7</v>
      </c>
      <c r="J2963" s="794">
        <v>0.10256196608027493</v>
      </c>
      <c r="K2963" s="771"/>
    </row>
    <row r="2964" spans="1:11" ht="18.75" customHeight="1" outlineLevel="2">
      <c r="A2964" s="791" t="s">
        <v>776</v>
      </c>
      <c r="B2964" s="791" t="s">
        <v>1034</v>
      </c>
      <c r="C2964" s="791" t="s">
        <v>1035</v>
      </c>
      <c r="D2964" s="792" t="s">
        <v>779</v>
      </c>
      <c r="E2964" s="793" t="s">
        <v>947</v>
      </c>
      <c r="F2964" s="793" t="s">
        <v>995</v>
      </c>
      <c r="G2964" s="793" t="s">
        <v>791</v>
      </c>
      <c r="H2964" s="793" t="s">
        <v>826</v>
      </c>
      <c r="I2964" s="794">
        <v>3.6287396272992366E-4</v>
      </c>
      <c r="J2964" s="794">
        <v>34.276351271802753</v>
      </c>
      <c r="K2964" s="771"/>
    </row>
    <row r="2965" spans="1:11" ht="18.75" customHeight="1" outlineLevel="2">
      <c r="A2965" s="791" t="s">
        <v>776</v>
      </c>
      <c r="B2965" s="791" t="s">
        <v>1034</v>
      </c>
      <c r="C2965" s="791" t="s">
        <v>1035</v>
      </c>
      <c r="D2965" s="792" t="s">
        <v>779</v>
      </c>
      <c r="E2965" s="793" t="s">
        <v>947</v>
      </c>
      <c r="F2965" s="793" t="s">
        <v>996</v>
      </c>
      <c r="G2965" s="793" t="s">
        <v>791</v>
      </c>
      <c r="H2965" s="793" t="s">
        <v>826</v>
      </c>
      <c r="I2965" s="794">
        <v>1.0729013066417582E-3</v>
      </c>
      <c r="J2965" s="794">
        <v>95.385451682126885</v>
      </c>
      <c r="K2965" s="771"/>
    </row>
    <row r="2966" spans="1:11" ht="18.75" customHeight="1" outlineLevel="2">
      <c r="A2966" s="791" t="s">
        <v>776</v>
      </c>
      <c r="B2966" s="791" t="s">
        <v>1034</v>
      </c>
      <c r="C2966" s="791" t="s">
        <v>1035</v>
      </c>
      <c r="D2966" s="792" t="s">
        <v>779</v>
      </c>
      <c r="E2966" s="793" t="s">
        <v>947</v>
      </c>
      <c r="F2966" s="793" t="s">
        <v>997</v>
      </c>
      <c r="G2966" s="793" t="s">
        <v>791</v>
      </c>
      <c r="H2966" s="793" t="s">
        <v>826</v>
      </c>
      <c r="I2966" s="794">
        <v>1.6271813055778626E-3</v>
      </c>
      <c r="J2966" s="794">
        <v>70.334518444708479</v>
      </c>
      <c r="K2966" s="771"/>
    </row>
    <row r="2967" spans="1:11" ht="18.75" customHeight="1" outlineLevel="2">
      <c r="A2967" s="791" t="s">
        <v>776</v>
      </c>
      <c r="B2967" s="791" t="s">
        <v>1034</v>
      </c>
      <c r="C2967" s="791" t="s">
        <v>1035</v>
      </c>
      <c r="D2967" s="792" t="s">
        <v>779</v>
      </c>
      <c r="E2967" s="793" t="s">
        <v>947</v>
      </c>
      <c r="F2967" s="793" t="s">
        <v>998</v>
      </c>
      <c r="G2967" s="793" t="s">
        <v>794</v>
      </c>
      <c r="H2967" s="793" t="s">
        <v>828</v>
      </c>
      <c r="I2967" s="794">
        <v>5.5723278190222157E-3</v>
      </c>
      <c r="J2967" s="794">
        <v>203.76317732235501</v>
      </c>
      <c r="K2967" s="771"/>
    </row>
    <row r="2968" spans="1:11" ht="18.75" customHeight="1" outlineLevel="2">
      <c r="A2968" s="791" t="s">
        <v>776</v>
      </c>
      <c r="B2968" s="791" t="s">
        <v>1034</v>
      </c>
      <c r="C2968" s="791" t="s">
        <v>1035</v>
      </c>
      <c r="D2968" s="792" t="s">
        <v>779</v>
      </c>
      <c r="E2968" s="793" t="s">
        <v>947</v>
      </c>
      <c r="F2968" s="793" t="s">
        <v>999</v>
      </c>
      <c r="G2968" s="793" t="s">
        <v>794</v>
      </c>
      <c r="H2968" s="793" t="s">
        <v>828</v>
      </c>
      <c r="I2968" s="794">
        <v>1.3141263893883569E-3</v>
      </c>
      <c r="J2968" s="794">
        <v>48.091828485732428</v>
      </c>
      <c r="K2968" s="771"/>
    </row>
    <row r="2969" spans="1:11" ht="18.75" customHeight="1" outlineLevel="2">
      <c r="A2969" s="791" t="s">
        <v>776</v>
      </c>
      <c r="B2969" s="791" t="s">
        <v>1034</v>
      </c>
      <c r="C2969" s="791" t="s">
        <v>1035</v>
      </c>
      <c r="D2969" s="792" t="s">
        <v>779</v>
      </c>
      <c r="E2969" s="793" t="s">
        <v>947</v>
      </c>
      <c r="F2969" s="793" t="s">
        <v>1000</v>
      </c>
      <c r="G2969" s="793" t="s">
        <v>794</v>
      </c>
      <c r="H2969" s="793" t="s">
        <v>828</v>
      </c>
      <c r="I2969" s="794">
        <v>3.688200055348357E-3</v>
      </c>
      <c r="J2969" s="794">
        <v>133.42489380630997</v>
      </c>
      <c r="K2969" s="771"/>
    </row>
    <row r="2970" spans="1:11" ht="18.75" customHeight="1" outlineLevel="2">
      <c r="A2970" s="791" t="s">
        <v>776</v>
      </c>
      <c r="B2970" s="791" t="s">
        <v>1034</v>
      </c>
      <c r="C2970" s="791" t="s">
        <v>1035</v>
      </c>
      <c r="D2970" s="792" t="s">
        <v>779</v>
      </c>
      <c r="E2970" s="793" t="s">
        <v>947</v>
      </c>
      <c r="F2970" s="793" t="s">
        <v>1001</v>
      </c>
      <c r="G2970" s="793" t="s">
        <v>794</v>
      </c>
      <c r="H2970" s="793" t="s">
        <v>828</v>
      </c>
      <c r="I2970" s="794">
        <v>3.1143781412281647E-3</v>
      </c>
      <c r="J2970" s="794">
        <v>67.743901807068639</v>
      </c>
      <c r="K2970" s="771"/>
    </row>
    <row r="2971" spans="1:11" ht="18.75" customHeight="1" outlineLevel="2">
      <c r="A2971" s="791" t="s">
        <v>776</v>
      </c>
      <c r="B2971" s="791" t="s">
        <v>1034</v>
      </c>
      <c r="C2971" s="791" t="s">
        <v>1035</v>
      </c>
      <c r="D2971" s="792" t="s">
        <v>779</v>
      </c>
      <c r="E2971" s="793" t="s">
        <v>947</v>
      </c>
      <c r="F2971" s="793" t="s">
        <v>1002</v>
      </c>
      <c r="G2971" s="793" t="s">
        <v>794</v>
      </c>
      <c r="H2971" s="793" t="s">
        <v>828</v>
      </c>
      <c r="I2971" s="794">
        <v>1.5492279875988556E-4</v>
      </c>
      <c r="J2971" s="794">
        <v>6.5152636130081518</v>
      </c>
      <c r="K2971" s="771"/>
    </row>
    <row r="2972" spans="1:11" ht="18.75" customHeight="1" outlineLevel="2">
      <c r="A2972" s="791" t="s">
        <v>776</v>
      </c>
      <c r="B2972" s="791" t="s">
        <v>1034</v>
      </c>
      <c r="C2972" s="791" t="s">
        <v>1035</v>
      </c>
      <c r="D2972" s="792" t="s">
        <v>779</v>
      </c>
      <c r="E2972" s="793" t="s">
        <v>947</v>
      </c>
      <c r="F2972" s="793" t="s">
        <v>1003</v>
      </c>
      <c r="G2972" s="793" t="s">
        <v>794</v>
      </c>
      <c r="H2972" s="793" t="s">
        <v>828</v>
      </c>
      <c r="I2972" s="794">
        <v>1.7922807808217102E-4</v>
      </c>
      <c r="J2972" s="794">
        <v>5.7665300319569024</v>
      </c>
      <c r="K2972" s="771"/>
    </row>
    <row r="2973" spans="1:11" ht="18.75" customHeight="1" outlineLevel="2">
      <c r="A2973" s="791" t="s">
        <v>776</v>
      </c>
      <c r="B2973" s="791" t="s">
        <v>1034</v>
      </c>
      <c r="C2973" s="791" t="s">
        <v>1035</v>
      </c>
      <c r="D2973" s="792" t="s">
        <v>779</v>
      </c>
      <c r="E2973" s="793" t="s">
        <v>947</v>
      </c>
      <c r="F2973" s="793" t="s">
        <v>1004</v>
      </c>
      <c r="G2973" s="793" t="s">
        <v>833</v>
      </c>
      <c r="H2973" s="793" t="s">
        <v>834</v>
      </c>
      <c r="I2973" s="794">
        <v>2.2654217290741575E-3</v>
      </c>
      <c r="J2973" s="794">
        <v>148.4709343453668</v>
      </c>
      <c r="K2973" s="771"/>
    </row>
    <row r="2974" spans="1:11" ht="18.75" customHeight="1" outlineLevel="2">
      <c r="A2974" s="791" t="s">
        <v>776</v>
      </c>
      <c r="B2974" s="791" t="s">
        <v>1034</v>
      </c>
      <c r="C2974" s="791" t="s">
        <v>1035</v>
      </c>
      <c r="D2974" s="792" t="s">
        <v>779</v>
      </c>
      <c r="E2974" s="793" t="s">
        <v>947</v>
      </c>
      <c r="F2974" s="793" t="s">
        <v>1019</v>
      </c>
      <c r="G2974" s="793" t="s">
        <v>785</v>
      </c>
      <c r="H2974" s="793" t="s">
        <v>727</v>
      </c>
      <c r="I2974" s="794">
        <v>4.6144460379188247E-3</v>
      </c>
      <c r="J2974" s="794">
        <v>146.58617839097403</v>
      </c>
      <c r="K2974" s="771"/>
    </row>
    <row r="2975" spans="1:11" ht="18.75" customHeight="1" outlineLevel="2">
      <c r="A2975" s="791" t="s">
        <v>776</v>
      </c>
      <c r="B2975" s="791" t="s">
        <v>1036</v>
      </c>
      <c r="C2975" s="791" t="s">
        <v>1022</v>
      </c>
      <c r="D2975" s="792" t="s">
        <v>779</v>
      </c>
      <c r="E2975" s="793" t="s">
        <v>780</v>
      </c>
      <c r="F2975" s="793" t="s">
        <v>781</v>
      </c>
      <c r="G2975" s="793" t="s">
        <v>782</v>
      </c>
      <c r="H2975" s="793" t="s">
        <v>783</v>
      </c>
      <c r="I2975" s="794">
        <v>3.5393955980395291E-2</v>
      </c>
      <c r="J2975" s="794">
        <v>0.52065330079508465</v>
      </c>
      <c r="K2975" s="771"/>
    </row>
    <row r="2976" spans="1:11" ht="18.75" customHeight="1" outlineLevel="2">
      <c r="A2976" s="791" t="s">
        <v>776</v>
      </c>
      <c r="B2976" s="791" t="s">
        <v>1036</v>
      </c>
      <c r="C2976" s="791" t="s">
        <v>1022</v>
      </c>
      <c r="D2976" s="792" t="s">
        <v>779</v>
      </c>
      <c r="E2976" s="793" t="s">
        <v>780</v>
      </c>
      <c r="F2976" s="793" t="s">
        <v>784</v>
      </c>
      <c r="G2976" s="793" t="s">
        <v>785</v>
      </c>
      <c r="H2976" s="793" t="s">
        <v>783</v>
      </c>
      <c r="I2976" s="794">
        <v>6.2757341043729431</v>
      </c>
      <c r="J2976" s="794">
        <v>1019.142216190729</v>
      </c>
      <c r="K2976" s="771"/>
    </row>
    <row r="2977" spans="1:11" ht="18.75" customHeight="1" outlineLevel="2">
      <c r="A2977" s="791" t="s">
        <v>776</v>
      </c>
      <c r="B2977" s="791" t="s">
        <v>1036</v>
      </c>
      <c r="C2977" s="791" t="s">
        <v>1022</v>
      </c>
      <c r="D2977" s="792" t="s">
        <v>779</v>
      </c>
      <c r="E2977" s="793" t="s">
        <v>780</v>
      </c>
      <c r="F2977" s="793" t="s">
        <v>786</v>
      </c>
      <c r="G2977" s="793" t="s">
        <v>785</v>
      </c>
      <c r="H2977" s="793" t="s">
        <v>783</v>
      </c>
      <c r="I2977" s="794">
        <v>5.0965207388724816E-3</v>
      </c>
      <c r="J2977" s="794">
        <v>0.86339445080254973</v>
      </c>
      <c r="K2977" s="771"/>
    </row>
    <row r="2978" spans="1:11" ht="18.75" customHeight="1" outlineLevel="2">
      <c r="A2978" s="791" t="s">
        <v>776</v>
      </c>
      <c r="B2978" s="791" t="s">
        <v>1036</v>
      </c>
      <c r="C2978" s="791" t="s">
        <v>1022</v>
      </c>
      <c r="D2978" s="792" t="s">
        <v>779</v>
      </c>
      <c r="E2978" s="793" t="s">
        <v>780</v>
      </c>
      <c r="F2978" s="793" t="s">
        <v>787</v>
      </c>
      <c r="G2978" s="793" t="s">
        <v>785</v>
      </c>
      <c r="H2978" s="793" t="s">
        <v>783</v>
      </c>
      <c r="I2978" s="794">
        <v>2.561136493601057E-3</v>
      </c>
      <c r="J2978" s="794">
        <v>0.47049102725586445</v>
      </c>
      <c r="K2978" s="771"/>
    </row>
    <row r="2979" spans="1:11" ht="18.75" customHeight="1" outlineLevel="2">
      <c r="A2979" s="791" t="s">
        <v>776</v>
      </c>
      <c r="B2979" s="791" t="s">
        <v>1036</v>
      </c>
      <c r="C2979" s="791" t="s">
        <v>1022</v>
      </c>
      <c r="D2979" s="792" t="s">
        <v>779</v>
      </c>
      <c r="E2979" s="793" t="s">
        <v>780</v>
      </c>
      <c r="F2979" s="793" t="s">
        <v>788</v>
      </c>
      <c r="G2979" s="793" t="s">
        <v>785</v>
      </c>
      <c r="H2979" s="793" t="s">
        <v>783</v>
      </c>
      <c r="I2979" s="794">
        <v>3.8363787641221309E-2</v>
      </c>
      <c r="J2979" s="794">
        <v>6.1110102598596026</v>
      </c>
      <c r="K2979" s="771"/>
    </row>
    <row r="2980" spans="1:11" ht="18.75" customHeight="1" outlineLevel="2">
      <c r="A2980" s="791" t="s">
        <v>776</v>
      </c>
      <c r="B2980" s="791" t="s">
        <v>1036</v>
      </c>
      <c r="C2980" s="791" t="s">
        <v>1022</v>
      </c>
      <c r="D2980" s="792" t="s">
        <v>779</v>
      </c>
      <c r="E2980" s="793" t="s">
        <v>780</v>
      </c>
      <c r="F2980" s="793" t="s">
        <v>789</v>
      </c>
      <c r="G2980" s="793" t="s">
        <v>785</v>
      </c>
      <c r="H2980" s="793" t="s">
        <v>783</v>
      </c>
      <c r="I2980" s="794">
        <v>2.3442695145920078E-2</v>
      </c>
      <c r="J2980" s="794">
        <v>5.7667075494643356</v>
      </c>
      <c r="K2980" s="771"/>
    </row>
    <row r="2981" spans="1:11" ht="18.75" customHeight="1" outlineLevel="2">
      <c r="A2981" s="791" t="s">
        <v>776</v>
      </c>
      <c r="B2981" s="791" t="s">
        <v>1036</v>
      </c>
      <c r="C2981" s="791" t="s">
        <v>1022</v>
      </c>
      <c r="D2981" s="792" t="s">
        <v>779</v>
      </c>
      <c r="E2981" s="793" t="s">
        <v>780</v>
      </c>
      <c r="F2981" s="793" t="s">
        <v>790</v>
      </c>
      <c r="G2981" s="793" t="s">
        <v>791</v>
      </c>
      <c r="H2981" s="793" t="s">
        <v>783</v>
      </c>
      <c r="I2981" s="794">
        <v>4.177432566215473E-3</v>
      </c>
      <c r="J2981" s="794">
        <v>5.5488457838324241E-2</v>
      </c>
      <c r="K2981" s="771"/>
    </row>
    <row r="2982" spans="1:11" ht="18.75" customHeight="1" outlineLevel="2">
      <c r="A2982" s="791" t="s">
        <v>776</v>
      </c>
      <c r="B2982" s="791" t="s">
        <v>1036</v>
      </c>
      <c r="C2982" s="791" t="s">
        <v>1022</v>
      </c>
      <c r="D2982" s="792" t="s">
        <v>779</v>
      </c>
      <c r="E2982" s="793" t="s">
        <v>780</v>
      </c>
      <c r="F2982" s="793" t="s">
        <v>792</v>
      </c>
      <c r="G2982" s="793" t="s">
        <v>791</v>
      </c>
      <c r="H2982" s="793" t="s">
        <v>783</v>
      </c>
      <c r="I2982" s="794">
        <v>3.1008401856613708E-2</v>
      </c>
      <c r="J2982" s="794">
        <v>6.0221311463616551</v>
      </c>
      <c r="K2982" s="771"/>
    </row>
    <row r="2983" spans="1:11" ht="18.75" customHeight="1" outlineLevel="2">
      <c r="A2983" s="791" t="s">
        <v>776</v>
      </c>
      <c r="B2983" s="791" t="s">
        <v>1036</v>
      </c>
      <c r="C2983" s="791" t="s">
        <v>1022</v>
      </c>
      <c r="D2983" s="792" t="s">
        <v>779</v>
      </c>
      <c r="E2983" s="793" t="s">
        <v>780</v>
      </c>
      <c r="F2983" s="793" t="s">
        <v>793</v>
      </c>
      <c r="G2983" s="793" t="s">
        <v>794</v>
      </c>
      <c r="H2983" s="793" t="s">
        <v>783</v>
      </c>
      <c r="I2983" s="794">
        <v>8.8263315568186549</v>
      </c>
      <c r="J2983" s="794">
        <v>229.066788554439</v>
      </c>
      <c r="K2983" s="771"/>
    </row>
    <row r="2984" spans="1:11" ht="18.75" customHeight="1" outlineLevel="2">
      <c r="A2984" s="791" t="s">
        <v>776</v>
      </c>
      <c r="B2984" s="791" t="s">
        <v>1036</v>
      </c>
      <c r="C2984" s="791" t="s">
        <v>1022</v>
      </c>
      <c r="D2984" s="792" t="s">
        <v>779</v>
      </c>
      <c r="E2984" s="793" t="s">
        <v>780</v>
      </c>
      <c r="F2984" s="793" t="s">
        <v>795</v>
      </c>
      <c r="G2984" s="793" t="s">
        <v>794</v>
      </c>
      <c r="H2984" s="793" t="s">
        <v>783</v>
      </c>
      <c r="I2984" s="794">
        <v>0.26690699668065987</v>
      </c>
      <c r="J2984" s="794">
        <v>10.936041167794995</v>
      </c>
      <c r="K2984" s="771"/>
    </row>
    <row r="2985" spans="1:11" ht="18.75" customHeight="1" outlineLevel="2">
      <c r="A2985" s="791" t="s">
        <v>776</v>
      </c>
      <c r="B2985" s="791" t="s">
        <v>1036</v>
      </c>
      <c r="C2985" s="791" t="s">
        <v>1022</v>
      </c>
      <c r="D2985" s="792" t="s">
        <v>779</v>
      </c>
      <c r="E2985" s="793" t="s">
        <v>780</v>
      </c>
      <c r="F2985" s="793" t="s">
        <v>796</v>
      </c>
      <c r="G2985" s="793" t="s">
        <v>794</v>
      </c>
      <c r="H2985" s="793" t="s">
        <v>783</v>
      </c>
      <c r="I2985" s="794">
        <v>0.13873173857785373</v>
      </c>
      <c r="J2985" s="794">
        <v>15.987248926530507</v>
      </c>
      <c r="K2985" s="771"/>
    </row>
    <row r="2986" spans="1:11" ht="18.75" customHeight="1" outlineLevel="2">
      <c r="A2986" s="791" t="s">
        <v>776</v>
      </c>
      <c r="B2986" s="791" t="s">
        <v>1036</v>
      </c>
      <c r="C2986" s="791" t="s">
        <v>1022</v>
      </c>
      <c r="D2986" s="792" t="s">
        <v>779</v>
      </c>
      <c r="E2986" s="793" t="s">
        <v>780</v>
      </c>
      <c r="F2986" s="793" t="s">
        <v>797</v>
      </c>
      <c r="G2986" s="793" t="s">
        <v>794</v>
      </c>
      <c r="H2986" s="793" t="s">
        <v>783</v>
      </c>
      <c r="I2986" s="794">
        <v>2.7129713777583957</v>
      </c>
      <c r="J2986" s="794">
        <v>567.73114710235882</v>
      </c>
      <c r="K2986" s="771"/>
    </row>
    <row r="2987" spans="1:11" ht="18.75" customHeight="1" outlineLevel="2">
      <c r="A2987" s="791" t="s">
        <v>776</v>
      </c>
      <c r="B2987" s="791" t="s">
        <v>1036</v>
      </c>
      <c r="C2987" s="791" t="s">
        <v>1022</v>
      </c>
      <c r="D2987" s="792" t="s">
        <v>779</v>
      </c>
      <c r="E2987" s="793" t="s">
        <v>662</v>
      </c>
      <c r="F2987" s="793" t="s">
        <v>798</v>
      </c>
      <c r="G2987" s="793" t="s">
        <v>799</v>
      </c>
      <c r="H2987" s="793" t="s">
        <v>800</v>
      </c>
      <c r="I2987" s="794">
        <v>1.2541844371136988</v>
      </c>
      <c r="J2987" s="794">
        <v>360.36771856418108</v>
      </c>
      <c r="K2987" s="771"/>
    </row>
    <row r="2988" spans="1:11" ht="18.75" customHeight="1" outlineLevel="2">
      <c r="A2988" s="791" t="s">
        <v>776</v>
      </c>
      <c r="B2988" s="791" t="s">
        <v>1036</v>
      </c>
      <c r="C2988" s="791" t="s">
        <v>1022</v>
      </c>
      <c r="D2988" s="792" t="s">
        <v>779</v>
      </c>
      <c r="E2988" s="793" t="s">
        <v>662</v>
      </c>
      <c r="F2988" s="793" t="s">
        <v>801</v>
      </c>
      <c r="G2988" s="793" t="s">
        <v>799</v>
      </c>
      <c r="H2988" s="793" t="s">
        <v>800</v>
      </c>
      <c r="I2988" s="794">
        <v>0.38310397222494075</v>
      </c>
      <c r="J2988" s="794">
        <v>154.76357178554861</v>
      </c>
      <c r="K2988" s="771"/>
    </row>
    <row r="2989" spans="1:11" ht="18.75" customHeight="1" outlineLevel="2">
      <c r="A2989" s="791" t="s">
        <v>776</v>
      </c>
      <c r="B2989" s="791" t="s">
        <v>1036</v>
      </c>
      <c r="C2989" s="791" t="s">
        <v>1022</v>
      </c>
      <c r="D2989" s="792" t="s">
        <v>779</v>
      </c>
      <c r="E2989" s="793" t="s">
        <v>662</v>
      </c>
      <c r="F2989" s="793" t="s">
        <v>802</v>
      </c>
      <c r="G2989" s="793" t="s">
        <v>799</v>
      </c>
      <c r="H2989" s="793" t="s">
        <v>800</v>
      </c>
      <c r="I2989" s="794">
        <v>0.17437131520028734</v>
      </c>
      <c r="J2989" s="794">
        <v>224.2545008937845</v>
      </c>
      <c r="K2989" s="771"/>
    </row>
    <row r="2990" spans="1:11" ht="18.75" customHeight="1" outlineLevel="2">
      <c r="A2990" s="791" t="s">
        <v>776</v>
      </c>
      <c r="B2990" s="791" t="s">
        <v>1036</v>
      </c>
      <c r="C2990" s="791" t="s">
        <v>1022</v>
      </c>
      <c r="D2990" s="792" t="s">
        <v>779</v>
      </c>
      <c r="E2990" s="793" t="s">
        <v>662</v>
      </c>
      <c r="F2990" s="793" t="s">
        <v>803</v>
      </c>
      <c r="G2990" s="793" t="s">
        <v>782</v>
      </c>
      <c r="H2990" s="793" t="s">
        <v>804</v>
      </c>
      <c r="I2990" s="794">
        <v>0.10940455941487583</v>
      </c>
      <c r="J2990" s="794">
        <v>67.883377552985294</v>
      </c>
      <c r="K2990" s="771"/>
    </row>
    <row r="2991" spans="1:11" ht="18.75" customHeight="1" outlineLevel="2">
      <c r="A2991" s="791" t="s">
        <v>776</v>
      </c>
      <c r="B2991" s="791" t="s">
        <v>1036</v>
      </c>
      <c r="C2991" s="791" t="s">
        <v>1022</v>
      </c>
      <c r="D2991" s="792" t="s">
        <v>779</v>
      </c>
      <c r="E2991" s="793" t="s">
        <v>662</v>
      </c>
      <c r="F2991" s="793" t="s">
        <v>805</v>
      </c>
      <c r="G2991" s="793" t="s">
        <v>782</v>
      </c>
      <c r="H2991" s="793" t="s">
        <v>804</v>
      </c>
      <c r="I2991" s="794">
        <v>9.0794246180821159E-3</v>
      </c>
      <c r="J2991" s="794">
        <v>4.3972237977217201</v>
      </c>
      <c r="K2991" s="771"/>
    </row>
    <row r="2992" spans="1:11" ht="18.75" customHeight="1" outlineLevel="2">
      <c r="A2992" s="791" t="s">
        <v>776</v>
      </c>
      <c r="B2992" s="791" t="s">
        <v>1036</v>
      </c>
      <c r="C2992" s="791" t="s">
        <v>1022</v>
      </c>
      <c r="D2992" s="792" t="s">
        <v>779</v>
      </c>
      <c r="E2992" s="793" t="s">
        <v>662</v>
      </c>
      <c r="F2992" s="793" t="s">
        <v>806</v>
      </c>
      <c r="G2992" s="793" t="s">
        <v>782</v>
      </c>
      <c r="H2992" s="793" t="s">
        <v>804</v>
      </c>
      <c r="I2992" s="794">
        <v>1.100307810294914E-2</v>
      </c>
      <c r="J2992" s="794">
        <v>5.2559310518750886</v>
      </c>
      <c r="K2992" s="771"/>
    </row>
    <row r="2993" spans="1:11" ht="18.75" customHeight="1" outlineLevel="2">
      <c r="A2993" s="791" t="s">
        <v>776</v>
      </c>
      <c r="B2993" s="791" t="s">
        <v>1036</v>
      </c>
      <c r="C2993" s="791" t="s">
        <v>1022</v>
      </c>
      <c r="D2993" s="792" t="s">
        <v>779</v>
      </c>
      <c r="E2993" s="793" t="s">
        <v>662</v>
      </c>
      <c r="F2993" s="793" t="s">
        <v>807</v>
      </c>
      <c r="G2993" s="793" t="s">
        <v>782</v>
      </c>
      <c r="H2993" s="793" t="s">
        <v>804</v>
      </c>
      <c r="I2993" s="794">
        <v>8.1372493630389758E-5</v>
      </c>
      <c r="J2993" s="794">
        <v>3.6417954709615667E-2</v>
      </c>
      <c r="K2993" s="771"/>
    </row>
    <row r="2994" spans="1:11" ht="18.75" customHeight="1" outlineLevel="2">
      <c r="A2994" s="791" t="s">
        <v>776</v>
      </c>
      <c r="B2994" s="791" t="s">
        <v>1036</v>
      </c>
      <c r="C2994" s="791" t="s">
        <v>1022</v>
      </c>
      <c r="D2994" s="792" t="s">
        <v>779</v>
      </c>
      <c r="E2994" s="793" t="s">
        <v>662</v>
      </c>
      <c r="F2994" s="793" t="s">
        <v>808</v>
      </c>
      <c r="G2994" s="793" t="s">
        <v>782</v>
      </c>
      <c r="H2994" s="793" t="s">
        <v>804</v>
      </c>
      <c r="I2994" s="794">
        <v>0.31365137688221562</v>
      </c>
      <c r="J2994" s="794">
        <v>175.13793695099571</v>
      </c>
      <c r="K2994" s="771"/>
    </row>
    <row r="2995" spans="1:11" ht="18.75" customHeight="1" outlineLevel="2">
      <c r="A2995" s="791" t="s">
        <v>776</v>
      </c>
      <c r="B2995" s="791" t="s">
        <v>1036</v>
      </c>
      <c r="C2995" s="791" t="s">
        <v>1022</v>
      </c>
      <c r="D2995" s="792" t="s">
        <v>779</v>
      </c>
      <c r="E2995" s="793" t="s">
        <v>662</v>
      </c>
      <c r="F2995" s="793" t="s">
        <v>809</v>
      </c>
      <c r="G2995" s="793" t="s">
        <v>782</v>
      </c>
      <c r="H2995" s="793" t="s">
        <v>804</v>
      </c>
      <c r="I2995" s="794">
        <v>2.2933168364524612E-3</v>
      </c>
      <c r="J2995" s="794">
        <v>1.0263662910697195</v>
      </c>
      <c r="K2995" s="771"/>
    </row>
    <row r="2996" spans="1:11" ht="18.75" customHeight="1" outlineLevel="2">
      <c r="A2996" s="791" t="s">
        <v>776</v>
      </c>
      <c r="B2996" s="791" t="s">
        <v>1036</v>
      </c>
      <c r="C2996" s="791" t="s">
        <v>1022</v>
      </c>
      <c r="D2996" s="792" t="s">
        <v>779</v>
      </c>
      <c r="E2996" s="793" t="s">
        <v>662</v>
      </c>
      <c r="F2996" s="793" t="s">
        <v>810</v>
      </c>
      <c r="G2996" s="793" t="s">
        <v>785</v>
      </c>
      <c r="H2996" s="793" t="s">
        <v>727</v>
      </c>
      <c r="I2996" s="794">
        <v>6.2155019512909341E-3</v>
      </c>
      <c r="J2996" s="794">
        <v>2.7817196755926323</v>
      </c>
      <c r="K2996" s="771"/>
    </row>
    <row r="2997" spans="1:11" ht="18.75" customHeight="1" outlineLevel="2">
      <c r="A2997" s="791" t="s">
        <v>776</v>
      </c>
      <c r="B2997" s="791" t="s">
        <v>1036</v>
      </c>
      <c r="C2997" s="791" t="s">
        <v>1022</v>
      </c>
      <c r="D2997" s="792" t="s">
        <v>779</v>
      </c>
      <c r="E2997" s="793" t="s">
        <v>662</v>
      </c>
      <c r="F2997" s="793" t="s">
        <v>811</v>
      </c>
      <c r="G2997" s="793" t="s">
        <v>785</v>
      </c>
      <c r="H2997" s="793" t="s">
        <v>727</v>
      </c>
      <c r="I2997" s="794">
        <v>4.7561743165287518E-4</v>
      </c>
      <c r="J2997" s="794">
        <v>0.21286109718169055</v>
      </c>
      <c r="K2997" s="771"/>
    </row>
    <row r="2998" spans="1:11" ht="18.75" customHeight="1" outlineLevel="2">
      <c r="A2998" s="791" t="s">
        <v>776</v>
      </c>
      <c r="B2998" s="791" t="s">
        <v>1036</v>
      </c>
      <c r="C2998" s="791" t="s">
        <v>1022</v>
      </c>
      <c r="D2998" s="792" t="s">
        <v>779</v>
      </c>
      <c r="E2998" s="793" t="s">
        <v>662</v>
      </c>
      <c r="F2998" s="793" t="s">
        <v>812</v>
      </c>
      <c r="G2998" s="793" t="s">
        <v>813</v>
      </c>
      <c r="H2998" s="793" t="s">
        <v>814</v>
      </c>
      <c r="I2998" s="794">
        <v>5.4757824788264714E-2</v>
      </c>
      <c r="J2998" s="794">
        <v>29.988997419044328</v>
      </c>
      <c r="K2998" s="771"/>
    </row>
    <row r="2999" spans="1:11" ht="18.75" customHeight="1" outlineLevel="2">
      <c r="A2999" s="791" t="s">
        <v>776</v>
      </c>
      <c r="B2999" s="791" t="s">
        <v>1036</v>
      </c>
      <c r="C2999" s="791" t="s">
        <v>1022</v>
      </c>
      <c r="D2999" s="792" t="s">
        <v>779</v>
      </c>
      <c r="E2999" s="793" t="s">
        <v>662</v>
      </c>
      <c r="F2999" s="793" t="s">
        <v>815</v>
      </c>
      <c r="G2999" s="793" t="s">
        <v>813</v>
      </c>
      <c r="H2999" s="793" t="s">
        <v>814</v>
      </c>
      <c r="I2999" s="794">
        <v>0.7606970282606379</v>
      </c>
      <c r="J2999" s="794">
        <v>408.83324757962242</v>
      </c>
      <c r="K2999" s="771"/>
    </row>
    <row r="3000" spans="1:11" ht="18.75" customHeight="1" outlineLevel="2">
      <c r="A3000" s="791" t="s">
        <v>776</v>
      </c>
      <c r="B3000" s="791" t="s">
        <v>1036</v>
      </c>
      <c r="C3000" s="791" t="s">
        <v>1022</v>
      </c>
      <c r="D3000" s="792" t="s">
        <v>779</v>
      </c>
      <c r="E3000" s="793" t="s">
        <v>662</v>
      </c>
      <c r="F3000" s="793" t="s">
        <v>816</v>
      </c>
      <c r="G3000" s="793" t="s">
        <v>813</v>
      </c>
      <c r="H3000" s="793" t="s">
        <v>814</v>
      </c>
      <c r="I3000" s="794">
        <v>0.77069014165559957</v>
      </c>
      <c r="J3000" s="794">
        <v>400.40980041953384</v>
      </c>
      <c r="K3000" s="771"/>
    </row>
    <row r="3001" spans="1:11" ht="18.75" customHeight="1" outlineLevel="2">
      <c r="A3001" s="791" t="s">
        <v>776</v>
      </c>
      <c r="B3001" s="791" t="s">
        <v>1036</v>
      </c>
      <c r="C3001" s="791" t="s">
        <v>1022</v>
      </c>
      <c r="D3001" s="792" t="s">
        <v>779</v>
      </c>
      <c r="E3001" s="793" t="s">
        <v>662</v>
      </c>
      <c r="F3001" s="793" t="s">
        <v>817</v>
      </c>
      <c r="G3001" s="793" t="s">
        <v>813</v>
      </c>
      <c r="H3001" s="793" t="s">
        <v>814</v>
      </c>
      <c r="I3001" s="794">
        <v>7.1928234893980303</v>
      </c>
      <c r="J3001" s="794">
        <v>3937.3775033488223</v>
      </c>
      <c r="K3001" s="771"/>
    </row>
    <row r="3002" spans="1:11" ht="18.75" customHeight="1" outlineLevel="2">
      <c r="A3002" s="791" t="s">
        <v>776</v>
      </c>
      <c r="B3002" s="791" t="s">
        <v>1036</v>
      </c>
      <c r="C3002" s="791" t="s">
        <v>1022</v>
      </c>
      <c r="D3002" s="792" t="s">
        <v>779</v>
      </c>
      <c r="E3002" s="793" t="s">
        <v>662</v>
      </c>
      <c r="F3002" s="793" t="s">
        <v>818</v>
      </c>
      <c r="G3002" s="793" t="s">
        <v>813</v>
      </c>
      <c r="H3002" s="793" t="s">
        <v>814</v>
      </c>
      <c r="I3002" s="794">
        <v>0.94674898959484388</v>
      </c>
      <c r="J3002" s="794">
        <v>556.08225385712876</v>
      </c>
      <c r="K3002" s="771"/>
    </row>
    <row r="3003" spans="1:11" ht="18.75" customHeight="1" outlineLevel="2">
      <c r="A3003" s="791" t="s">
        <v>776</v>
      </c>
      <c r="B3003" s="791" t="s">
        <v>1036</v>
      </c>
      <c r="C3003" s="791" t="s">
        <v>1022</v>
      </c>
      <c r="D3003" s="792" t="s">
        <v>779</v>
      </c>
      <c r="E3003" s="793" t="s">
        <v>662</v>
      </c>
      <c r="F3003" s="793" t="s">
        <v>819</v>
      </c>
      <c r="G3003" s="793" t="s">
        <v>813</v>
      </c>
      <c r="H3003" s="793" t="s">
        <v>814</v>
      </c>
      <c r="I3003" s="794">
        <v>6.8061125520823627</v>
      </c>
      <c r="J3003" s="794">
        <v>3440.7414660840486</v>
      </c>
      <c r="K3003" s="771"/>
    </row>
    <row r="3004" spans="1:11" ht="18.75" customHeight="1" outlineLevel="2">
      <c r="A3004" s="791" t="s">
        <v>776</v>
      </c>
      <c r="B3004" s="791" t="s">
        <v>1036</v>
      </c>
      <c r="C3004" s="791" t="s">
        <v>1022</v>
      </c>
      <c r="D3004" s="792" t="s">
        <v>779</v>
      </c>
      <c r="E3004" s="793" t="s">
        <v>662</v>
      </c>
      <c r="F3004" s="793" t="s">
        <v>820</v>
      </c>
      <c r="G3004" s="793" t="s">
        <v>813</v>
      </c>
      <c r="H3004" s="793" t="s">
        <v>814</v>
      </c>
      <c r="I3004" s="794">
        <v>0.66731192247752358</v>
      </c>
      <c r="J3004" s="794">
        <v>357.89315154815534</v>
      </c>
      <c r="K3004" s="771"/>
    </row>
    <row r="3005" spans="1:11" ht="18.75" customHeight="1" outlineLevel="2">
      <c r="A3005" s="791" t="s">
        <v>776</v>
      </c>
      <c r="B3005" s="791" t="s">
        <v>1036</v>
      </c>
      <c r="C3005" s="791" t="s">
        <v>1022</v>
      </c>
      <c r="D3005" s="792" t="s">
        <v>779</v>
      </c>
      <c r="E3005" s="793" t="s">
        <v>662</v>
      </c>
      <c r="F3005" s="793" t="s">
        <v>821</v>
      </c>
      <c r="G3005" s="793" t="s">
        <v>813</v>
      </c>
      <c r="H3005" s="793" t="s">
        <v>814</v>
      </c>
      <c r="I3005" s="794">
        <v>6.0070292261713432</v>
      </c>
      <c r="J3005" s="794">
        <v>3212.828735961637</v>
      </c>
      <c r="K3005" s="771"/>
    </row>
    <row r="3006" spans="1:11" ht="18.75" customHeight="1" outlineLevel="2">
      <c r="A3006" s="791" t="s">
        <v>776</v>
      </c>
      <c r="B3006" s="791" t="s">
        <v>1036</v>
      </c>
      <c r="C3006" s="791" t="s">
        <v>1022</v>
      </c>
      <c r="D3006" s="792" t="s">
        <v>779</v>
      </c>
      <c r="E3006" s="793" t="s">
        <v>662</v>
      </c>
      <c r="F3006" s="793" t="s">
        <v>822</v>
      </c>
      <c r="G3006" s="793" t="s">
        <v>813</v>
      </c>
      <c r="H3006" s="793" t="s">
        <v>814</v>
      </c>
      <c r="I3006" s="794">
        <v>1.2094334468364782</v>
      </c>
      <c r="J3006" s="794">
        <v>177.07698719532266</v>
      </c>
      <c r="K3006" s="771"/>
    </row>
    <row r="3007" spans="1:11" ht="18.75" customHeight="1" outlineLevel="2">
      <c r="A3007" s="791" t="s">
        <v>776</v>
      </c>
      <c r="B3007" s="791" t="s">
        <v>1036</v>
      </c>
      <c r="C3007" s="791" t="s">
        <v>1022</v>
      </c>
      <c r="D3007" s="792" t="s">
        <v>779</v>
      </c>
      <c r="E3007" s="793" t="s">
        <v>662</v>
      </c>
      <c r="F3007" s="793" t="s">
        <v>823</v>
      </c>
      <c r="G3007" s="793" t="s">
        <v>813</v>
      </c>
      <c r="H3007" s="793" t="s">
        <v>814</v>
      </c>
      <c r="I3007" s="794">
        <v>7.9901016548684627</v>
      </c>
      <c r="J3007" s="794">
        <v>1169.8239800587671</v>
      </c>
      <c r="K3007" s="771"/>
    </row>
    <row r="3008" spans="1:11" ht="18.75" customHeight="1" outlineLevel="2">
      <c r="A3008" s="791" t="s">
        <v>776</v>
      </c>
      <c r="B3008" s="791" t="s">
        <v>1036</v>
      </c>
      <c r="C3008" s="791" t="s">
        <v>1022</v>
      </c>
      <c r="D3008" s="792" t="s">
        <v>779</v>
      </c>
      <c r="E3008" s="793" t="s">
        <v>662</v>
      </c>
      <c r="F3008" s="793" t="s">
        <v>824</v>
      </c>
      <c r="G3008" s="793" t="s">
        <v>813</v>
      </c>
      <c r="H3008" s="793" t="s">
        <v>814</v>
      </c>
      <c r="I3008" s="794">
        <v>3.4357841195226226E-3</v>
      </c>
      <c r="J3008" s="794">
        <v>1.7143913232434831</v>
      </c>
      <c r="K3008" s="771"/>
    </row>
    <row r="3009" spans="1:11" ht="18.75" customHeight="1" outlineLevel="2">
      <c r="A3009" s="791" t="s">
        <v>776</v>
      </c>
      <c r="B3009" s="791" t="s">
        <v>1036</v>
      </c>
      <c r="C3009" s="791" t="s">
        <v>1022</v>
      </c>
      <c r="D3009" s="792" t="s">
        <v>779</v>
      </c>
      <c r="E3009" s="793" t="s">
        <v>662</v>
      </c>
      <c r="F3009" s="793" t="s">
        <v>825</v>
      </c>
      <c r="G3009" s="793" t="s">
        <v>791</v>
      </c>
      <c r="H3009" s="793" t="s">
        <v>826</v>
      </c>
      <c r="I3009" s="794">
        <v>5.1878108207433014E-4</v>
      </c>
      <c r="J3009" s="794">
        <v>0.31548257255979673</v>
      </c>
      <c r="K3009" s="771"/>
    </row>
    <row r="3010" spans="1:11" ht="18.75" customHeight="1" outlineLevel="2">
      <c r="A3010" s="791" t="s">
        <v>776</v>
      </c>
      <c r="B3010" s="791" t="s">
        <v>1036</v>
      </c>
      <c r="C3010" s="791" t="s">
        <v>1022</v>
      </c>
      <c r="D3010" s="792" t="s">
        <v>779</v>
      </c>
      <c r="E3010" s="793" t="s">
        <v>662</v>
      </c>
      <c r="F3010" s="793" t="s">
        <v>827</v>
      </c>
      <c r="G3010" s="793" t="s">
        <v>794</v>
      </c>
      <c r="H3010" s="793" t="s">
        <v>828</v>
      </c>
      <c r="I3010" s="794">
        <v>7.7784177352502204E-2</v>
      </c>
      <c r="J3010" s="794">
        <v>38.51168588109234</v>
      </c>
      <c r="K3010" s="771"/>
    </row>
    <row r="3011" spans="1:11" ht="18.75" customHeight="1" outlineLevel="2">
      <c r="A3011" s="791" t="s">
        <v>776</v>
      </c>
      <c r="B3011" s="791" t="s">
        <v>1036</v>
      </c>
      <c r="C3011" s="791" t="s">
        <v>1022</v>
      </c>
      <c r="D3011" s="792" t="s">
        <v>779</v>
      </c>
      <c r="E3011" s="793" t="s">
        <v>662</v>
      </c>
      <c r="F3011" s="793" t="s">
        <v>829</v>
      </c>
      <c r="G3011" s="793" t="s">
        <v>794</v>
      </c>
      <c r="H3011" s="793" t="s">
        <v>828</v>
      </c>
      <c r="I3011" s="794">
        <v>0.4963867797524249</v>
      </c>
      <c r="J3011" s="794">
        <v>256.9163375341185</v>
      </c>
      <c r="K3011" s="771"/>
    </row>
    <row r="3012" spans="1:11" ht="18.75" customHeight="1" outlineLevel="2">
      <c r="A3012" s="791" t="s">
        <v>776</v>
      </c>
      <c r="B3012" s="791" t="s">
        <v>1036</v>
      </c>
      <c r="C3012" s="791" t="s">
        <v>1022</v>
      </c>
      <c r="D3012" s="792" t="s">
        <v>779</v>
      </c>
      <c r="E3012" s="793" t="s">
        <v>662</v>
      </c>
      <c r="F3012" s="793" t="s">
        <v>830</v>
      </c>
      <c r="G3012" s="793" t="s">
        <v>794</v>
      </c>
      <c r="H3012" s="793" t="s">
        <v>828</v>
      </c>
      <c r="I3012" s="794">
        <v>1.9909994450067662E-4</v>
      </c>
      <c r="J3012" s="794">
        <v>8.9106617367290863E-2</v>
      </c>
      <c r="K3012" s="771"/>
    </row>
    <row r="3013" spans="1:11" ht="18.75" customHeight="1" outlineLevel="2">
      <c r="A3013" s="791" t="s">
        <v>776</v>
      </c>
      <c r="B3013" s="791" t="s">
        <v>1036</v>
      </c>
      <c r="C3013" s="791" t="s">
        <v>1022</v>
      </c>
      <c r="D3013" s="792" t="s">
        <v>779</v>
      </c>
      <c r="E3013" s="793" t="s">
        <v>662</v>
      </c>
      <c r="F3013" s="793" t="s">
        <v>831</v>
      </c>
      <c r="G3013" s="793" t="s">
        <v>794</v>
      </c>
      <c r="H3013" s="793" t="s">
        <v>828</v>
      </c>
      <c r="I3013" s="794">
        <v>3.4729365228541018E-3</v>
      </c>
      <c r="J3013" s="794">
        <v>1.5542993137802277</v>
      </c>
      <c r="K3013" s="771"/>
    </row>
    <row r="3014" spans="1:11" ht="18.75" customHeight="1" outlineLevel="2">
      <c r="A3014" s="791" t="s">
        <v>776</v>
      </c>
      <c r="B3014" s="791" t="s">
        <v>1036</v>
      </c>
      <c r="C3014" s="791" t="s">
        <v>1022</v>
      </c>
      <c r="D3014" s="792" t="s">
        <v>779</v>
      </c>
      <c r="E3014" s="793" t="s">
        <v>662</v>
      </c>
      <c r="F3014" s="793" t="s">
        <v>832</v>
      </c>
      <c r="G3014" s="793" t="s">
        <v>833</v>
      </c>
      <c r="H3014" s="793" t="s">
        <v>834</v>
      </c>
      <c r="I3014" s="794">
        <v>2.9219641630124026E-3</v>
      </c>
      <c r="J3014" s="794">
        <v>1.6869317628762364</v>
      </c>
      <c r="K3014" s="771"/>
    </row>
    <row r="3015" spans="1:11" ht="18.75" customHeight="1" outlineLevel="2">
      <c r="A3015" s="791" t="s">
        <v>776</v>
      </c>
      <c r="B3015" s="791" t="s">
        <v>1036</v>
      </c>
      <c r="C3015" s="791" t="s">
        <v>1022</v>
      </c>
      <c r="D3015" s="792" t="s">
        <v>779</v>
      </c>
      <c r="E3015" s="793" t="s">
        <v>662</v>
      </c>
      <c r="F3015" s="793" t="s">
        <v>835</v>
      </c>
      <c r="G3015" s="793" t="s">
        <v>799</v>
      </c>
      <c r="H3015" s="793" t="s">
        <v>800</v>
      </c>
      <c r="I3015" s="794">
        <v>0.2377102159417869</v>
      </c>
      <c r="J3015" s="794">
        <v>168.06823628326225</v>
      </c>
      <c r="K3015" s="771"/>
    </row>
    <row r="3016" spans="1:11" ht="18.75" customHeight="1" outlineLevel="2">
      <c r="A3016" s="791" t="s">
        <v>776</v>
      </c>
      <c r="B3016" s="791" t="s">
        <v>1036</v>
      </c>
      <c r="C3016" s="791" t="s">
        <v>1022</v>
      </c>
      <c r="D3016" s="792" t="s">
        <v>779</v>
      </c>
      <c r="E3016" s="793" t="s">
        <v>662</v>
      </c>
      <c r="F3016" s="793" t="s">
        <v>836</v>
      </c>
      <c r="G3016" s="793" t="s">
        <v>799</v>
      </c>
      <c r="H3016" s="793" t="s">
        <v>800</v>
      </c>
      <c r="I3016" s="794">
        <v>1.7516958071047171</v>
      </c>
      <c r="J3016" s="794">
        <v>1597.7882596465981</v>
      </c>
      <c r="K3016" s="771"/>
    </row>
    <row r="3017" spans="1:11" ht="18.75" customHeight="1" outlineLevel="2">
      <c r="A3017" s="791" t="s">
        <v>776</v>
      </c>
      <c r="B3017" s="791" t="s">
        <v>1036</v>
      </c>
      <c r="C3017" s="791" t="s">
        <v>1022</v>
      </c>
      <c r="D3017" s="792" t="s">
        <v>779</v>
      </c>
      <c r="E3017" s="793" t="s">
        <v>662</v>
      </c>
      <c r="F3017" s="793" t="s">
        <v>837</v>
      </c>
      <c r="G3017" s="793" t="s">
        <v>799</v>
      </c>
      <c r="H3017" s="793" t="s">
        <v>800</v>
      </c>
      <c r="I3017" s="794">
        <v>1.5768312335675556</v>
      </c>
      <c r="J3017" s="794">
        <v>2095.1337416265715</v>
      </c>
      <c r="K3017" s="771"/>
    </row>
    <row r="3018" spans="1:11" ht="18.75" customHeight="1" outlineLevel="2">
      <c r="A3018" s="791" t="s">
        <v>776</v>
      </c>
      <c r="B3018" s="791" t="s">
        <v>1036</v>
      </c>
      <c r="C3018" s="791" t="s">
        <v>1022</v>
      </c>
      <c r="D3018" s="792" t="s">
        <v>779</v>
      </c>
      <c r="E3018" s="793" t="s">
        <v>662</v>
      </c>
      <c r="F3018" s="793" t="s">
        <v>838</v>
      </c>
      <c r="G3018" s="793" t="s">
        <v>799</v>
      </c>
      <c r="H3018" s="793" t="s">
        <v>800</v>
      </c>
      <c r="I3018" s="794">
        <v>0.23537197833317969</v>
      </c>
      <c r="J3018" s="794">
        <v>214.30408742885419</v>
      </c>
      <c r="K3018" s="771"/>
    </row>
    <row r="3019" spans="1:11" ht="18.75" customHeight="1" outlineLevel="2">
      <c r="A3019" s="791" t="s">
        <v>776</v>
      </c>
      <c r="B3019" s="791" t="s">
        <v>1036</v>
      </c>
      <c r="C3019" s="791" t="s">
        <v>1022</v>
      </c>
      <c r="D3019" s="792" t="s">
        <v>779</v>
      </c>
      <c r="E3019" s="793" t="s">
        <v>662</v>
      </c>
      <c r="F3019" s="793" t="s">
        <v>839</v>
      </c>
      <c r="G3019" s="793" t="s">
        <v>782</v>
      </c>
      <c r="H3019" s="793" t="s">
        <v>804</v>
      </c>
      <c r="I3019" s="794">
        <v>3.6946465259461533E-2</v>
      </c>
      <c r="J3019" s="794">
        <v>60.175534584969469</v>
      </c>
      <c r="K3019" s="771"/>
    </row>
    <row r="3020" spans="1:11" ht="18.75" customHeight="1" outlineLevel="2">
      <c r="A3020" s="791" t="s">
        <v>776</v>
      </c>
      <c r="B3020" s="791" t="s">
        <v>1036</v>
      </c>
      <c r="C3020" s="791" t="s">
        <v>1022</v>
      </c>
      <c r="D3020" s="792" t="s">
        <v>779</v>
      </c>
      <c r="E3020" s="793" t="s">
        <v>662</v>
      </c>
      <c r="F3020" s="793" t="s">
        <v>840</v>
      </c>
      <c r="G3020" s="793" t="s">
        <v>782</v>
      </c>
      <c r="H3020" s="793" t="s">
        <v>804</v>
      </c>
      <c r="I3020" s="794">
        <v>2.9523534797255228E-4</v>
      </c>
      <c r="J3020" s="794">
        <v>0.4491580289322914</v>
      </c>
      <c r="K3020" s="771"/>
    </row>
    <row r="3021" spans="1:11" ht="18.75" customHeight="1" outlineLevel="2">
      <c r="A3021" s="791" t="s">
        <v>776</v>
      </c>
      <c r="B3021" s="791" t="s">
        <v>1036</v>
      </c>
      <c r="C3021" s="791" t="s">
        <v>1022</v>
      </c>
      <c r="D3021" s="792" t="s">
        <v>779</v>
      </c>
      <c r="E3021" s="793" t="s">
        <v>662</v>
      </c>
      <c r="F3021" s="793" t="s">
        <v>841</v>
      </c>
      <c r="G3021" s="793" t="s">
        <v>782</v>
      </c>
      <c r="H3021" s="793" t="s">
        <v>804</v>
      </c>
      <c r="I3021" s="794">
        <v>7.9827095867199355E-2</v>
      </c>
      <c r="J3021" s="794">
        <v>113.04706960160439</v>
      </c>
      <c r="K3021" s="771"/>
    </row>
    <row r="3022" spans="1:11" ht="18.75" customHeight="1" outlineLevel="2">
      <c r="A3022" s="791" t="s">
        <v>776</v>
      </c>
      <c r="B3022" s="791" t="s">
        <v>1036</v>
      </c>
      <c r="C3022" s="791" t="s">
        <v>1022</v>
      </c>
      <c r="D3022" s="792" t="s">
        <v>779</v>
      </c>
      <c r="E3022" s="793" t="s">
        <v>662</v>
      </c>
      <c r="F3022" s="793" t="s">
        <v>842</v>
      </c>
      <c r="G3022" s="793" t="s">
        <v>782</v>
      </c>
      <c r="H3022" s="793" t="s">
        <v>804</v>
      </c>
      <c r="I3022" s="794">
        <v>6.5141630458418129E-2</v>
      </c>
      <c r="J3022" s="794">
        <v>106.43191036441712</v>
      </c>
      <c r="K3022" s="771"/>
    </row>
    <row r="3023" spans="1:11" ht="18.75" customHeight="1" outlineLevel="2">
      <c r="A3023" s="791" t="s">
        <v>776</v>
      </c>
      <c r="B3023" s="791" t="s">
        <v>1036</v>
      </c>
      <c r="C3023" s="791" t="s">
        <v>1022</v>
      </c>
      <c r="D3023" s="792" t="s">
        <v>779</v>
      </c>
      <c r="E3023" s="793" t="s">
        <v>662</v>
      </c>
      <c r="F3023" s="793" t="s">
        <v>843</v>
      </c>
      <c r="G3023" s="793" t="s">
        <v>782</v>
      </c>
      <c r="H3023" s="793" t="s">
        <v>804</v>
      </c>
      <c r="I3023" s="794">
        <v>0.14567781467108495</v>
      </c>
      <c r="J3023" s="794">
        <v>212.40533588798345</v>
      </c>
      <c r="K3023" s="771"/>
    </row>
    <row r="3024" spans="1:11" ht="18.75" customHeight="1" outlineLevel="2">
      <c r="A3024" s="791" t="s">
        <v>776</v>
      </c>
      <c r="B3024" s="791" t="s">
        <v>1036</v>
      </c>
      <c r="C3024" s="791" t="s">
        <v>1022</v>
      </c>
      <c r="D3024" s="792" t="s">
        <v>779</v>
      </c>
      <c r="E3024" s="793" t="s">
        <v>662</v>
      </c>
      <c r="F3024" s="793" t="s">
        <v>844</v>
      </c>
      <c r="G3024" s="793" t="s">
        <v>782</v>
      </c>
      <c r="H3024" s="793" t="s">
        <v>804</v>
      </c>
      <c r="I3024" s="794">
        <v>6.3198482521363453E-2</v>
      </c>
      <c r="J3024" s="794">
        <v>89.438365604564865</v>
      </c>
      <c r="K3024" s="771"/>
    </row>
    <row r="3025" spans="1:11" ht="18.75" customHeight="1" outlineLevel="2">
      <c r="A3025" s="791" t="s">
        <v>776</v>
      </c>
      <c r="B3025" s="791" t="s">
        <v>1036</v>
      </c>
      <c r="C3025" s="791" t="s">
        <v>1022</v>
      </c>
      <c r="D3025" s="792" t="s">
        <v>779</v>
      </c>
      <c r="E3025" s="793" t="s">
        <v>662</v>
      </c>
      <c r="F3025" s="793" t="s">
        <v>845</v>
      </c>
      <c r="G3025" s="793" t="s">
        <v>782</v>
      </c>
      <c r="H3025" s="793" t="s">
        <v>804</v>
      </c>
      <c r="I3025" s="794">
        <v>3.4418975886008544E-3</v>
      </c>
      <c r="J3025" s="794">
        <v>4.6613618941614519</v>
      </c>
      <c r="K3025" s="771"/>
    </row>
    <row r="3026" spans="1:11" ht="18.75" customHeight="1" outlineLevel="2">
      <c r="A3026" s="791" t="s">
        <v>776</v>
      </c>
      <c r="B3026" s="791" t="s">
        <v>1036</v>
      </c>
      <c r="C3026" s="791" t="s">
        <v>1022</v>
      </c>
      <c r="D3026" s="792" t="s">
        <v>779</v>
      </c>
      <c r="E3026" s="793" t="s">
        <v>662</v>
      </c>
      <c r="F3026" s="793" t="s">
        <v>846</v>
      </c>
      <c r="G3026" s="793" t="s">
        <v>782</v>
      </c>
      <c r="H3026" s="793" t="s">
        <v>804</v>
      </c>
      <c r="I3026" s="794">
        <v>0.11977630117801508</v>
      </c>
      <c r="J3026" s="794">
        <v>187.16703657184419</v>
      </c>
      <c r="K3026" s="771"/>
    </row>
    <row r="3027" spans="1:11" ht="18.75" customHeight="1" outlineLevel="2">
      <c r="A3027" s="791" t="s">
        <v>776</v>
      </c>
      <c r="B3027" s="791" t="s">
        <v>1036</v>
      </c>
      <c r="C3027" s="791" t="s">
        <v>1022</v>
      </c>
      <c r="D3027" s="792" t="s">
        <v>779</v>
      </c>
      <c r="E3027" s="793" t="s">
        <v>662</v>
      </c>
      <c r="F3027" s="793" t="s">
        <v>847</v>
      </c>
      <c r="G3027" s="793" t="s">
        <v>782</v>
      </c>
      <c r="H3027" s="793" t="s">
        <v>804</v>
      </c>
      <c r="I3027" s="794">
        <v>5.708944122438743E-2</v>
      </c>
      <c r="J3027" s="794">
        <v>69.416892935754262</v>
      </c>
      <c r="K3027" s="771"/>
    </row>
    <row r="3028" spans="1:11" ht="18.75" customHeight="1" outlineLevel="2">
      <c r="A3028" s="791" t="s">
        <v>776</v>
      </c>
      <c r="B3028" s="791" t="s">
        <v>1036</v>
      </c>
      <c r="C3028" s="791" t="s">
        <v>1022</v>
      </c>
      <c r="D3028" s="792" t="s">
        <v>779</v>
      </c>
      <c r="E3028" s="793" t="s">
        <v>662</v>
      </c>
      <c r="F3028" s="793" t="s">
        <v>848</v>
      </c>
      <c r="G3028" s="793" t="s">
        <v>782</v>
      </c>
      <c r="H3028" s="793" t="s">
        <v>804</v>
      </c>
      <c r="I3028" s="794">
        <v>0.26983580241840077</v>
      </c>
      <c r="J3028" s="794">
        <v>390.01518632402571</v>
      </c>
      <c r="K3028" s="771"/>
    </row>
    <row r="3029" spans="1:11" ht="18.75" customHeight="1" outlineLevel="2">
      <c r="A3029" s="791" t="s">
        <v>776</v>
      </c>
      <c r="B3029" s="791" t="s">
        <v>1036</v>
      </c>
      <c r="C3029" s="791" t="s">
        <v>1022</v>
      </c>
      <c r="D3029" s="792" t="s">
        <v>779</v>
      </c>
      <c r="E3029" s="793" t="s">
        <v>662</v>
      </c>
      <c r="F3029" s="793" t="s">
        <v>849</v>
      </c>
      <c r="G3029" s="793" t="s">
        <v>782</v>
      </c>
      <c r="H3029" s="793" t="s">
        <v>804</v>
      </c>
      <c r="I3029" s="794">
        <v>0.1367851908160167</v>
      </c>
      <c r="J3029" s="794">
        <v>187.29602369582975</v>
      </c>
      <c r="K3029" s="771"/>
    </row>
    <row r="3030" spans="1:11" ht="18.75" customHeight="1" outlineLevel="2">
      <c r="A3030" s="791" t="s">
        <v>776</v>
      </c>
      <c r="B3030" s="791" t="s">
        <v>1036</v>
      </c>
      <c r="C3030" s="791" t="s">
        <v>1022</v>
      </c>
      <c r="D3030" s="792" t="s">
        <v>779</v>
      </c>
      <c r="E3030" s="793" t="s">
        <v>662</v>
      </c>
      <c r="F3030" s="793" t="s">
        <v>850</v>
      </c>
      <c r="G3030" s="793" t="s">
        <v>782</v>
      </c>
      <c r="H3030" s="793" t="s">
        <v>804</v>
      </c>
      <c r="I3030" s="794">
        <v>1.0811111624767165E-2</v>
      </c>
      <c r="J3030" s="794">
        <v>15.086451985666777</v>
      </c>
      <c r="K3030" s="771"/>
    </row>
    <row r="3031" spans="1:11" ht="18.75" customHeight="1" outlineLevel="2">
      <c r="A3031" s="791" t="s">
        <v>776</v>
      </c>
      <c r="B3031" s="791" t="s">
        <v>1036</v>
      </c>
      <c r="C3031" s="791" t="s">
        <v>1022</v>
      </c>
      <c r="D3031" s="792" t="s">
        <v>779</v>
      </c>
      <c r="E3031" s="793" t="s">
        <v>662</v>
      </c>
      <c r="F3031" s="793" t="s">
        <v>851</v>
      </c>
      <c r="G3031" s="793" t="s">
        <v>782</v>
      </c>
      <c r="H3031" s="793" t="s">
        <v>804</v>
      </c>
      <c r="I3031" s="794">
        <v>1.7753746251833451E-2</v>
      </c>
      <c r="J3031" s="794">
        <v>25.333929116255081</v>
      </c>
      <c r="K3031" s="771"/>
    </row>
    <row r="3032" spans="1:11" ht="18.75" customHeight="1" outlineLevel="2">
      <c r="A3032" s="791" t="s">
        <v>776</v>
      </c>
      <c r="B3032" s="791" t="s">
        <v>1036</v>
      </c>
      <c r="C3032" s="791" t="s">
        <v>1022</v>
      </c>
      <c r="D3032" s="792" t="s">
        <v>779</v>
      </c>
      <c r="E3032" s="793" t="s">
        <v>662</v>
      </c>
      <c r="F3032" s="793" t="s">
        <v>852</v>
      </c>
      <c r="G3032" s="793" t="s">
        <v>782</v>
      </c>
      <c r="H3032" s="793" t="s">
        <v>804</v>
      </c>
      <c r="I3032" s="794">
        <v>7.7719231554748431E-3</v>
      </c>
      <c r="J3032" s="794">
        <v>22.637944741774973</v>
      </c>
      <c r="K3032" s="771"/>
    </row>
    <row r="3033" spans="1:11" ht="18.75" customHeight="1" outlineLevel="2">
      <c r="A3033" s="791" t="s">
        <v>776</v>
      </c>
      <c r="B3033" s="791" t="s">
        <v>1036</v>
      </c>
      <c r="C3033" s="791" t="s">
        <v>1022</v>
      </c>
      <c r="D3033" s="792" t="s">
        <v>779</v>
      </c>
      <c r="E3033" s="793" t="s">
        <v>662</v>
      </c>
      <c r="F3033" s="793" t="s">
        <v>853</v>
      </c>
      <c r="G3033" s="793" t="s">
        <v>782</v>
      </c>
      <c r="H3033" s="793" t="s">
        <v>804</v>
      </c>
      <c r="I3033" s="794">
        <v>6.2559992772957106E-3</v>
      </c>
      <c r="J3033" s="794">
        <v>53.693299028906928</v>
      </c>
      <c r="K3033" s="771"/>
    </row>
    <row r="3034" spans="1:11" ht="18.75" customHeight="1" outlineLevel="2">
      <c r="A3034" s="791" t="s">
        <v>776</v>
      </c>
      <c r="B3034" s="791" t="s">
        <v>1036</v>
      </c>
      <c r="C3034" s="791" t="s">
        <v>1022</v>
      </c>
      <c r="D3034" s="792" t="s">
        <v>779</v>
      </c>
      <c r="E3034" s="793" t="s">
        <v>662</v>
      </c>
      <c r="F3034" s="793" t="s">
        <v>854</v>
      </c>
      <c r="G3034" s="793" t="s">
        <v>782</v>
      </c>
      <c r="H3034" s="793" t="s">
        <v>804</v>
      </c>
      <c r="I3034" s="794">
        <v>8.5134243591679523E-2</v>
      </c>
      <c r="J3034" s="794">
        <v>128.02777169655391</v>
      </c>
      <c r="K3034" s="771"/>
    </row>
    <row r="3035" spans="1:11" ht="18.75" customHeight="1" outlineLevel="2">
      <c r="A3035" s="791" t="s">
        <v>776</v>
      </c>
      <c r="B3035" s="791" t="s">
        <v>1036</v>
      </c>
      <c r="C3035" s="791" t="s">
        <v>1022</v>
      </c>
      <c r="D3035" s="792" t="s">
        <v>779</v>
      </c>
      <c r="E3035" s="793" t="s">
        <v>662</v>
      </c>
      <c r="F3035" s="793" t="s">
        <v>855</v>
      </c>
      <c r="G3035" s="793" t="s">
        <v>782</v>
      </c>
      <c r="H3035" s="793" t="s">
        <v>804</v>
      </c>
      <c r="I3035" s="794">
        <v>6.076928984223539E-2</v>
      </c>
      <c r="J3035" s="794">
        <v>89.230276367846642</v>
      </c>
      <c r="K3035" s="771"/>
    </row>
    <row r="3036" spans="1:11" ht="18.75" customHeight="1" outlineLevel="2">
      <c r="A3036" s="791" t="s">
        <v>776</v>
      </c>
      <c r="B3036" s="791" t="s">
        <v>1036</v>
      </c>
      <c r="C3036" s="791" t="s">
        <v>1022</v>
      </c>
      <c r="D3036" s="792" t="s">
        <v>779</v>
      </c>
      <c r="E3036" s="793" t="s">
        <v>662</v>
      </c>
      <c r="F3036" s="793" t="s">
        <v>856</v>
      </c>
      <c r="G3036" s="793" t="s">
        <v>782</v>
      </c>
      <c r="H3036" s="793" t="s">
        <v>804</v>
      </c>
      <c r="I3036" s="794">
        <v>2.3872062153326611E-2</v>
      </c>
      <c r="J3036" s="794">
        <v>29.237581817482656</v>
      </c>
      <c r="K3036" s="771"/>
    </row>
    <row r="3037" spans="1:11" ht="18.75" customHeight="1" outlineLevel="2">
      <c r="A3037" s="791" t="s">
        <v>776</v>
      </c>
      <c r="B3037" s="791" t="s">
        <v>1036</v>
      </c>
      <c r="C3037" s="791" t="s">
        <v>1022</v>
      </c>
      <c r="D3037" s="792" t="s">
        <v>779</v>
      </c>
      <c r="E3037" s="793" t="s">
        <v>662</v>
      </c>
      <c r="F3037" s="793" t="s">
        <v>857</v>
      </c>
      <c r="G3037" s="793" t="s">
        <v>782</v>
      </c>
      <c r="H3037" s="793" t="s">
        <v>804</v>
      </c>
      <c r="I3037" s="794">
        <v>1.9862871541394926E-2</v>
      </c>
      <c r="J3037" s="794">
        <v>21.363960448684512</v>
      </c>
      <c r="K3037" s="771"/>
    </row>
    <row r="3038" spans="1:11" ht="18.75" customHeight="1" outlineLevel="2">
      <c r="A3038" s="791" t="s">
        <v>776</v>
      </c>
      <c r="B3038" s="791" t="s">
        <v>1036</v>
      </c>
      <c r="C3038" s="791" t="s">
        <v>1022</v>
      </c>
      <c r="D3038" s="792" t="s">
        <v>779</v>
      </c>
      <c r="E3038" s="793" t="s">
        <v>662</v>
      </c>
      <c r="F3038" s="793" t="s">
        <v>858</v>
      </c>
      <c r="G3038" s="793" t="s">
        <v>785</v>
      </c>
      <c r="H3038" s="793" t="s">
        <v>727</v>
      </c>
      <c r="I3038" s="794">
        <v>0.15403674128652306</v>
      </c>
      <c r="J3038" s="794">
        <v>308.33963086067882</v>
      </c>
      <c r="K3038" s="771"/>
    </row>
    <row r="3039" spans="1:11" ht="18.75" customHeight="1" outlineLevel="2">
      <c r="A3039" s="791" t="s">
        <v>776</v>
      </c>
      <c r="B3039" s="791" t="s">
        <v>1036</v>
      </c>
      <c r="C3039" s="791" t="s">
        <v>1022</v>
      </c>
      <c r="D3039" s="792" t="s">
        <v>779</v>
      </c>
      <c r="E3039" s="793" t="s">
        <v>662</v>
      </c>
      <c r="F3039" s="793" t="s">
        <v>859</v>
      </c>
      <c r="G3039" s="793" t="s">
        <v>785</v>
      </c>
      <c r="H3039" s="793" t="s">
        <v>727</v>
      </c>
      <c r="I3039" s="794">
        <v>0.11068342878602298</v>
      </c>
      <c r="J3039" s="794">
        <v>1166.9112537672763</v>
      </c>
      <c r="K3039" s="771"/>
    </row>
    <row r="3040" spans="1:11" ht="18.75" customHeight="1" outlineLevel="2">
      <c r="A3040" s="791" t="s">
        <v>776</v>
      </c>
      <c r="B3040" s="791" t="s">
        <v>1036</v>
      </c>
      <c r="C3040" s="791" t="s">
        <v>1022</v>
      </c>
      <c r="D3040" s="792" t="s">
        <v>779</v>
      </c>
      <c r="E3040" s="793" t="s">
        <v>662</v>
      </c>
      <c r="F3040" s="793" t="s">
        <v>860</v>
      </c>
      <c r="G3040" s="793" t="s">
        <v>785</v>
      </c>
      <c r="H3040" s="793" t="s">
        <v>727</v>
      </c>
      <c r="I3040" s="794">
        <v>9.1849716201066273E-2</v>
      </c>
      <c r="J3040" s="794">
        <v>250.74819450267029</v>
      </c>
      <c r="K3040" s="771"/>
    </row>
    <row r="3041" spans="1:11" ht="18.75" customHeight="1" outlineLevel="2">
      <c r="A3041" s="791" t="s">
        <v>776</v>
      </c>
      <c r="B3041" s="791" t="s">
        <v>1036</v>
      </c>
      <c r="C3041" s="791" t="s">
        <v>1022</v>
      </c>
      <c r="D3041" s="792" t="s">
        <v>779</v>
      </c>
      <c r="E3041" s="793" t="s">
        <v>662</v>
      </c>
      <c r="F3041" s="793" t="s">
        <v>861</v>
      </c>
      <c r="G3041" s="793" t="s">
        <v>785</v>
      </c>
      <c r="H3041" s="793" t="s">
        <v>727</v>
      </c>
      <c r="I3041" s="794">
        <v>0.35330795307124091</v>
      </c>
      <c r="J3041" s="794">
        <v>470.9738150942099</v>
      </c>
      <c r="K3041" s="771"/>
    </row>
    <row r="3042" spans="1:11" ht="18.75" customHeight="1" outlineLevel="2">
      <c r="A3042" s="791" t="s">
        <v>776</v>
      </c>
      <c r="B3042" s="791" t="s">
        <v>1036</v>
      </c>
      <c r="C3042" s="791" t="s">
        <v>1022</v>
      </c>
      <c r="D3042" s="792" t="s">
        <v>779</v>
      </c>
      <c r="E3042" s="793" t="s">
        <v>662</v>
      </c>
      <c r="F3042" s="793" t="s">
        <v>862</v>
      </c>
      <c r="G3042" s="793" t="s">
        <v>785</v>
      </c>
      <c r="H3042" s="793" t="s">
        <v>727</v>
      </c>
      <c r="I3042" s="794">
        <v>9.9663147249199734E-3</v>
      </c>
      <c r="J3042" s="794">
        <v>21.610295269176635</v>
      </c>
      <c r="K3042" s="771"/>
    </row>
    <row r="3043" spans="1:11" ht="18.75" customHeight="1" outlineLevel="2">
      <c r="A3043" s="791" t="s">
        <v>776</v>
      </c>
      <c r="B3043" s="791" t="s">
        <v>1036</v>
      </c>
      <c r="C3043" s="791" t="s">
        <v>1022</v>
      </c>
      <c r="D3043" s="792" t="s">
        <v>779</v>
      </c>
      <c r="E3043" s="793" t="s">
        <v>662</v>
      </c>
      <c r="F3043" s="793" t="s">
        <v>863</v>
      </c>
      <c r="G3043" s="793" t="s">
        <v>785</v>
      </c>
      <c r="H3043" s="793" t="s">
        <v>727</v>
      </c>
      <c r="I3043" s="794">
        <v>2.0029512600859292E-2</v>
      </c>
      <c r="J3043" s="794">
        <v>29.693393457820093</v>
      </c>
      <c r="K3043" s="771"/>
    </row>
    <row r="3044" spans="1:11" ht="18.75" customHeight="1" outlineLevel="2">
      <c r="A3044" s="791" t="s">
        <v>776</v>
      </c>
      <c r="B3044" s="791" t="s">
        <v>1036</v>
      </c>
      <c r="C3044" s="791" t="s">
        <v>1022</v>
      </c>
      <c r="D3044" s="792" t="s">
        <v>779</v>
      </c>
      <c r="E3044" s="793" t="s">
        <v>662</v>
      </c>
      <c r="F3044" s="793" t="s">
        <v>864</v>
      </c>
      <c r="G3044" s="793" t="s">
        <v>785</v>
      </c>
      <c r="H3044" s="793" t="s">
        <v>727</v>
      </c>
      <c r="I3044" s="794">
        <v>7.2570487871493174E-3</v>
      </c>
      <c r="J3044" s="794">
        <v>103.05636666384622</v>
      </c>
      <c r="K3044" s="771"/>
    </row>
    <row r="3045" spans="1:11" ht="18.75" customHeight="1" outlineLevel="2">
      <c r="A3045" s="791" t="s">
        <v>776</v>
      </c>
      <c r="B3045" s="791" t="s">
        <v>1036</v>
      </c>
      <c r="C3045" s="791" t="s">
        <v>1022</v>
      </c>
      <c r="D3045" s="792" t="s">
        <v>779</v>
      </c>
      <c r="E3045" s="793" t="s">
        <v>662</v>
      </c>
      <c r="F3045" s="793" t="s">
        <v>865</v>
      </c>
      <c r="G3045" s="793" t="s">
        <v>813</v>
      </c>
      <c r="H3045" s="793" t="s">
        <v>814</v>
      </c>
      <c r="I3045" s="794">
        <v>4.7354902427704575</v>
      </c>
      <c r="J3045" s="794">
        <v>5058.3562405411531</v>
      </c>
      <c r="K3045" s="771"/>
    </row>
    <row r="3046" spans="1:11" ht="18.75" customHeight="1" outlineLevel="2">
      <c r="A3046" s="791" t="s">
        <v>776</v>
      </c>
      <c r="B3046" s="791" t="s">
        <v>1036</v>
      </c>
      <c r="C3046" s="791" t="s">
        <v>1022</v>
      </c>
      <c r="D3046" s="792" t="s">
        <v>779</v>
      </c>
      <c r="E3046" s="793" t="s">
        <v>662</v>
      </c>
      <c r="F3046" s="793" t="s">
        <v>866</v>
      </c>
      <c r="G3046" s="793" t="s">
        <v>813</v>
      </c>
      <c r="H3046" s="793" t="s">
        <v>814</v>
      </c>
      <c r="I3046" s="794">
        <v>7.4218342321182771</v>
      </c>
      <c r="J3046" s="794">
        <v>10057.658021720523</v>
      </c>
      <c r="K3046" s="771"/>
    </row>
    <row r="3047" spans="1:11" ht="18.75" customHeight="1" outlineLevel="2">
      <c r="A3047" s="791" t="s">
        <v>776</v>
      </c>
      <c r="B3047" s="791" t="s">
        <v>1036</v>
      </c>
      <c r="C3047" s="791" t="s">
        <v>1022</v>
      </c>
      <c r="D3047" s="792" t="s">
        <v>779</v>
      </c>
      <c r="E3047" s="793" t="s">
        <v>662</v>
      </c>
      <c r="F3047" s="793" t="s">
        <v>867</v>
      </c>
      <c r="G3047" s="793" t="s">
        <v>813</v>
      </c>
      <c r="H3047" s="793" t="s">
        <v>814</v>
      </c>
      <c r="I3047" s="794">
        <v>0.40765323974054846</v>
      </c>
      <c r="J3047" s="794">
        <v>435.28028934667498</v>
      </c>
      <c r="K3047" s="771"/>
    </row>
    <row r="3048" spans="1:11" ht="18.75" customHeight="1" outlineLevel="2">
      <c r="A3048" s="791" t="s">
        <v>776</v>
      </c>
      <c r="B3048" s="791" t="s">
        <v>1036</v>
      </c>
      <c r="C3048" s="791" t="s">
        <v>1022</v>
      </c>
      <c r="D3048" s="792" t="s">
        <v>779</v>
      </c>
      <c r="E3048" s="793" t="s">
        <v>662</v>
      </c>
      <c r="F3048" s="793" t="s">
        <v>868</v>
      </c>
      <c r="G3048" s="793" t="s">
        <v>813</v>
      </c>
      <c r="H3048" s="793" t="s">
        <v>814</v>
      </c>
      <c r="I3048" s="794">
        <v>4.7297236148637571</v>
      </c>
      <c r="J3048" s="794">
        <v>5965.836495533068</v>
      </c>
      <c r="K3048" s="771"/>
    </row>
    <row r="3049" spans="1:11" ht="18.75" customHeight="1" outlineLevel="2">
      <c r="A3049" s="791" t="s">
        <v>776</v>
      </c>
      <c r="B3049" s="791" t="s">
        <v>1036</v>
      </c>
      <c r="C3049" s="791" t="s">
        <v>1022</v>
      </c>
      <c r="D3049" s="792" t="s">
        <v>779</v>
      </c>
      <c r="E3049" s="793" t="s">
        <v>662</v>
      </c>
      <c r="F3049" s="793" t="s">
        <v>869</v>
      </c>
      <c r="G3049" s="793" t="s">
        <v>813</v>
      </c>
      <c r="H3049" s="793" t="s">
        <v>814</v>
      </c>
      <c r="I3049" s="794">
        <v>2.2207151011345516E-2</v>
      </c>
      <c r="J3049" s="794">
        <v>28.117977888124919</v>
      </c>
      <c r="K3049" s="771"/>
    </row>
    <row r="3050" spans="1:11" ht="18.75" customHeight="1" outlineLevel="2">
      <c r="A3050" s="791" t="s">
        <v>776</v>
      </c>
      <c r="B3050" s="791" t="s">
        <v>1036</v>
      </c>
      <c r="C3050" s="791" t="s">
        <v>1022</v>
      </c>
      <c r="D3050" s="792" t="s">
        <v>779</v>
      </c>
      <c r="E3050" s="793" t="s">
        <v>662</v>
      </c>
      <c r="F3050" s="793" t="s">
        <v>870</v>
      </c>
      <c r="G3050" s="793" t="s">
        <v>813</v>
      </c>
      <c r="H3050" s="793" t="s">
        <v>814</v>
      </c>
      <c r="I3050" s="794">
        <v>0.16477434145093467</v>
      </c>
      <c r="J3050" s="794">
        <v>232.96057805223694</v>
      </c>
      <c r="K3050" s="771"/>
    </row>
    <row r="3051" spans="1:11" ht="18.75" customHeight="1" outlineLevel="2">
      <c r="A3051" s="791" t="s">
        <v>776</v>
      </c>
      <c r="B3051" s="791" t="s">
        <v>1036</v>
      </c>
      <c r="C3051" s="791" t="s">
        <v>1022</v>
      </c>
      <c r="D3051" s="792" t="s">
        <v>779</v>
      </c>
      <c r="E3051" s="793" t="s">
        <v>662</v>
      </c>
      <c r="F3051" s="793" t="s">
        <v>871</v>
      </c>
      <c r="G3051" s="793" t="s">
        <v>813</v>
      </c>
      <c r="H3051" s="793" t="s">
        <v>814</v>
      </c>
      <c r="I3051" s="794">
        <v>4.2294159727088977E-2</v>
      </c>
      <c r="J3051" s="794">
        <v>53.642762184868147</v>
      </c>
      <c r="K3051" s="771"/>
    </row>
    <row r="3052" spans="1:11" ht="18.75" customHeight="1" outlineLevel="2">
      <c r="A3052" s="791" t="s">
        <v>776</v>
      </c>
      <c r="B3052" s="791" t="s">
        <v>1036</v>
      </c>
      <c r="C3052" s="791" t="s">
        <v>1022</v>
      </c>
      <c r="D3052" s="792" t="s">
        <v>779</v>
      </c>
      <c r="E3052" s="793" t="s">
        <v>662</v>
      </c>
      <c r="F3052" s="793" t="s">
        <v>872</v>
      </c>
      <c r="G3052" s="793" t="s">
        <v>813</v>
      </c>
      <c r="H3052" s="793" t="s">
        <v>814</v>
      </c>
      <c r="I3052" s="794">
        <v>5.6312525560175937</v>
      </c>
      <c r="J3052" s="794">
        <v>9559.4453017225987</v>
      </c>
      <c r="K3052" s="771"/>
    </row>
    <row r="3053" spans="1:11" ht="18.75" customHeight="1" outlineLevel="2">
      <c r="A3053" s="791" t="s">
        <v>776</v>
      </c>
      <c r="B3053" s="791" t="s">
        <v>1036</v>
      </c>
      <c r="C3053" s="791" t="s">
        <v>1022</v>
      </c>
      <c r="D3053" s="792" t="s">
        <v>779</v>
      </c>
      <c r="E3053" s="793" t="s">
        <v>662</v>
      </c>
      <c r="F3053" s="793" t="s">
        <v>873</v>
      </c>
      <c r="G3053" s="793" t="s">
        <v>813</v>
      </c>
      <c r="H3053" s="793" t="s">
        <v>814</v>
      </c>
      <c r="I3053" s="794">
        <v>1.0776280005334919</v>
      </c>
      <c r="J3053" s="794">
        <v>572.47890224553169</v>
      </c>
      <c r="K3053" s="771"/>
    </row>
    <row r="3054" spans="1:11" ht="18.75" customHeight="1" outlineLevel="2">
      <c r="A3054" s="791" t="s">
        <v>776</v>
      </c>
      <c r="B3054" s="791" t="s">
        <v>1036</v>
      </c>
      <c r="C3054" s="791" t="s">
        <v>1022</v>
      </c>
      <c r="D3054" s="792" t="s">
        <v>779</v>
      </c>
      <c r="E3054" s="793" t="s">
        <v>662</v>
      </c>
      <c r="F3054" s="793" t="s">
        <v>874</v>
      </c>
      <c r="G3054" s="793" t="s">
        <v>813</v>
      </c>
      <c r="H3054" s="793" t="s">
        <v>814</v>
      </c>
      <c r="I3054" s="794">
        <v>7.1198868470623138</v>
      </c>
      <c r="J3054" s="794">
        <v>3781.9243053183668</v>
      </c>
      <c r="K3054" s="771"/>
    </row>
    <row r="3055" spans="1:11" ht="18.75" customHeight="1" outlineLevel="2">
      <c r="A3055" s="791" t="s">
        <v>776</v>
      </c>
      <c r="B3055" s="791" t="s">
        <v>1036</v>
      </c>
      <c r="C3055" s="791" t="s">
        <v>1022</v>
      </c>
      <c r="D3055" s="792" t="s">
        <v>779</v>
      </c>
      <c r="E3055" s="793" t="s">
        <v>662</v>
      </c>
      <c r="F3055" s="793" t="s">
        <v>875</v>
      </c>
      <c r="G3055" s="793" t="s">
        <v>813</v>
      </c>
      <c r="H3055" s="793" t="s">
        <v>814</v>
      </c>
      <c r="I3055" s="794">
        <v>0.70559352727321412</v>
      </c>
      <c r="J3055" s="794">
        <v>1027.3680400034705</v>
      </c>
      <c r="K3055" s="771"/>
    </row>
    <row r="3056" spans="1:11" ht="18.75" customHeight="1" outlineLevel="2">
      <c r="A3056" s="791" t="s">
        <v>776</v>
      </c>
      <c r="B3056" s="791" t="s">
        <v>1036</v>
      </c>
      <c r="C3056" s="791" t="s">
        <v>1022</v>
      </c>
      <c r="D3056" s="792" t="s">
        <v>779</v>
      </c>
      <c r="E3056" s="793" t="s">
        <v>662</v>
      </c>
      <c r="F3056" s="793" t="s">
        <v>876</v>
      </c>
      <c r="G3056" s="793" t="s">
        <v>813</v>
      </c>
      <c r="H3056" s="793" t="s">
        <v>814</v>
      </c>
      <c r="I3056" s="794">
        <v>0.8475754930184447</v>
      </c>
      <c r="J3056" s="794">
        <v>1277.8208972908469</v>
      </c>
      <c r="K3056" s="771"/>
    </row>
    <row r="3057" spans="1:11" ht="18.75" customHeight="1" outlineLevel="2">
      <c r="A3057" s="791" t="s">
        <v>776</v>
      </c>
      <c r="B3057" s="791" t="s">
        <v>1036</v>
      </c>
      <c r="C3057" s="791" t="s">
        <v>1022</v>
      </c>
      <c r="D3057" s="792" t="s">
        <v>779</v>
      </c>
      <c r="E3057" s="793" t="s">
        <v>662</v>
      </c>
      <c r="F3057" s="793" t="s">
        <v>877</v>
      </c>
      <c r="G3057" s="793" t="s">
        <v>813</v>
      </c>
      <c r="H3057" s="793" t="s">
        <v>814</v>
      </c>
      <c r="I3057" s="794">
        <v>1.1182403955451792</v>
      </c>
      <c r="J3057" s="794">
        <v>1446.3674507069204</v>
      </c>
      <c r="K3057" s="771"/>
    </row>
    <row r="3058" spans="1:11" ht="18.75" customHeight="1" outlineLevel="2">
      <c r="A3058" s="791" t="s">
        <v>776</v>
      </c>
      <c r="B3058" s="791" t="s">
        <v>1036</v>
      </c>
      <c r="C3058" s="791" t="s">
        <v>1022</v>
      </c>
      <c r="D3058" s="792" t="s">
        <v>779</v>
      </c>
      <c r="E3058" s="793" t="s">
        <v>662</v>
      </c>
      <c r="F3058" s="793" t="s">
        <v>878</v>
      </c>
      <c r="G3058" s="793" t="s">
        <v>813</v>
      </c>
      <c r="H3058" s="793" t="s">
        <v>814</v>
      </c>
      <c r="I3058" s="794">
        <v>0.57059973055727575</v>
      </c>
      <c r="J3058" s="794">
        <v>686.72658223250357</v>
      </c>
      <c r="K3058" s="771"/>
    </row>
    <row r="3059" spans="1:11" ht="18.75" customHeight="1" outlineLevel="2">
      <c r="A3059" s="791" t="s">
        <v>776</v>
      </c>
      <c r="B3059" s="791" t="s">
        <v>1036</v>
      </c>
      <c r="C3059" s="791" t="s">
        <v>1022</v>
      </c>
      <c r="D3059" s="792" t="s">
        <v>779</v>
      </c>
      <c r="E3059" s="793" t="s">
        <v>662</v>
      </c>
      <c r="F3059" s="793" t="s">
        <v>879</v>
      </c>
      <c r="G3059" s="793" t="s">
        <v>813</v>
      </c>
      <c r="H3059" s="793" t="s">
        <v>814</v>
      </c>
      <c r="I3059" s="794">
        <v>9.4364237714056642</v>
      </c>
      <c r="J3059" s="794">
        <v>13771.032149780156</v>
      </c>
      <c r="K3059" s="771"/>
    </row>
    <row r="3060" spans="1:11" ht="18.75" customHeight="1" outlineLevel="2">
      <c r="A3060" s="791" t="s">
        <v>776</v>
      </c>
      <c r="B3060" s="791" t="s">
        <v>1036</v>
      </c>
      <c r="C3060" s="791" t="s">
        <v>1022</v>
      </c>
      <c r="D3060" s="792" t="s">
        <v>779</v>
      </c>
      <c r="E3060" s="793" t="s">
        <v>662</v>
      </c>
      <c r="F3060" s="793" t="s">
        <v>880</v>
      </c>
      <c r="G3060" s="793" t="s">
        <v>813</v>
      </c>
      <c r="H3060" s="793" t="s">
        <v>814</v>
      </c>
      <c r="I3060" s="794">
        <v>11.515989776330048</v>
      </c>
      <c r="J3060" s="794">
        <v>17365.641813643364</v>
      </c>
      <c r="K3060" s="771"/>
    </row>
    <row r="3061" spans="1:11" ht="18.75" customHeight="1" outlineLevel="2">
      <c r="A3061" s="791" t="s">
        <v>776</v>
      </c>
      <c r="B3061" s="791" t="s">
        <v>1036</v>
      </c>
      <c r="C3061" s="791" t="s">
        <v>1022</v>
      </c>
      <c r="D3061" s="792" t="s">
        <v>779</v>
      </c>
      <c r="E3061" s="793" t="s">
        <v>662</v>
      </c>
      <c r="F3061" s="793" t="s">
        <v>881</v>
      </c>
      <c r="G3061" s="793" t="s">
        <v>813</v>
      </c>
      <c r="H3061" s="793" t="s">
        <v>814</v>
      </c>
      <c r="I3061" s="794">
        <v>1.2886155700119335</v>
      </c>
      <c r="J3061" s="794">
        <v>2899.6079735798021</v>
      </c>
      <c r="K3061" s="771"/>
    </row>
    <row r="3062" spans="1:11" ht="18.75" customHeight="1" outlineLevel="2">
      <c r="A3062" s="791" t="s">
        <v>776</v>
      </c>
      <c r="B3062" s="791" t="s">
        <v>1036</v>
      </c>
      <c r="C3062" s="791" t="s">
        <v>1022</v>
      </c>
      <c r="D3062" s="792" t="s">
        <v>779</v>
      </c>
      <c r="E3062" s="793" t="s">
        <v>662</v>
      </c>
      <c r="F3062" s="793" t="s">
        <v>882</v>
      </c>
      <c r="G3062" s="793" t="s">
        <v>813</v>
      </c>
      <c r="H3062" s="793" t="s">
        <v>814</v>
      </c>
      <c r="I3062" s="794">
        <v>35.469813352019287</v>
      </c>
      <c r="J3062" s="794">
        <v>56057.393144222428</v>
      </c>
      <c r="K3062" s="771"/>
    </row>
    <row r="3063" spans="1:11" ht="18.75" customHeight="1" outlineLevel="2">
      <c r="A3063" s="791" t="s">
        <v>776</v>
      </c>
      <c r="B3063" s="791" t="s">
        <v>1036</v>
      </c>
      <c r="C3063" s="791" t="s">
        <v>1022</v>
      </c>
      <c r="D3063" s="792" t="s">
        <v>779</v>
      </c>
      <c r="E3063" s="793" t="s">
        <v>662</v>
      </c>
      <c r="F3063" s="793" t="s">
        <v>883</v>
      </c>
      <c r="G3063" s="793" t="s">
        <v>813</v>
      </c>
      <c r="H3063" s="793" t="s">
        <v>814</v>
      </c>
      <c r="I3063" s="794">
        <v>0.42959992261289726</v>
      </c>
      <c r="J3063" s="794">
        <v>489.51093444551492</v>
      </c>
      <c r="K3063" s="771"/>
    </row>
    <row r="3064" spans="1:11" ht="18.75" customHeight="1" outlineLevel="2">
      <c r="A3064" s="791" t="s">
        <v>776</v>
      </c>
      <c r="B3064" s="791" t="s">
        <v>1036</v>
      </c>
      <c r="C3064" s="791" t="s">
        <v>1022</v>
      </c>
      <c r="D3064" s="792" t="s">
        <v>779</v>
      </c>
      <c r="E3064" s="793" t="s">
        <v>662</v>
      </c>
      <c r="F3064" s="793" t="s">
        <v>884</v>
      </c>
      <c r="G3064" s="793" t="s">
        <v>813</v>
      </c>
      <c r="H3064" s="793" t="s">
        <v>814</v>
      </c>
      <c r="I3064" s="794">
        <v>1.4884605665453625</v>
      </c>
      <c r="J3064" s="794">
        <v>1722.5503707659877</v>
      </c>
      <c r="K3064" s="771"/>
    </row>
    <row r="3065" spans="1:11" ht="18.75" customHeight="1" outlineLevel="2">
      <c r="A3065" s="791" t="s">
        <v>776</v>
      </c>
      <c r="B3065" s="791" t="s">
        <v>1036</v>
      </c>
      <c r="C3065" s="791" t="s">
        <v>1022</v>
      </c>
      <c r="D3065" s="792" t="s">
        <v>779</v>
      </c>
      <c r="E3065" s="793" t="s">
        <v>662</v>
      </c>
      <c r="F3065" s="793" t="s">
        <v>885</v>
      </c>
      <c r="G3065" s="793" t="s">
        <v>791</v>
      </c>
      <c r="H3065" s="793" t="s">
        <v>826</v>
      </c>
      <c r="I3065" s="794">
        <v>5.2107669371259365E-4</v>
      </c>
      <c r="J3065" s="794">
        <v>0.76743673139052537</v>
      </c>
      <c r="K3065" s="771"/>
    </row>
    <row r="3066" spans="1:11" ht="18.75" customHeight="1" outlineLevel="2">
      <c r="A3066" s="791" t="s">
        <v>776</v>
      </c>
      <c r="B3066" s="791" t="s">
        <v>1036</v>
      </c>
      <c r="C3066" s="791" t="s">
        <v>1022</v>
      </c>
      <c r="D3066" s="792" t="s">
        <v>779</v>
      </c>
      <c r="E3066" s="793" t="s">
        <v>662</v>
      </c>
      <c r="F3066" s="793" t="s">
        <v>886</v>
      </c>
      <c r="G3066" s="793" t="s">
        <v>791</v>
      </c>
      <c r="H3066" s="793" t="s">
        <v>826</v>
      </c>
      <c r="I3066" s="794">
        <v>6.818721431812656E-4</v>
      </c>
      <c r="J3066" s="794">
        <v>2.9697036199408533</v>
      </c>
      <c r="K3066" s="771"/>
    </row>
    <row r="3067" spans="1:11" ht="18.75" customHeight="1" outlineLevel="2">
      <c r="A3067" s="791" t="s">
        <v>776</v>
      </c>
      <c r="B3067" s="791" t="s">
        <v>1036</v>
      </c>
      <c r="C3067" s="791" t="s">
        <v>1022</v>
      </c>
      <c r="D3067" s="792" t="s">
        <v>779</v>
      </c>
      <c r="E3067" s="793" t="s">
        <v>662</v>
      </c>
      <c r="F3067" s="793" t="s">
        <v>887</v>
      </c>
      <c r="G3067" s="793" t="s">
        <v>791</v>
      </c>
      <c r="H3067" s="793" t="s">
        <v>826</v>
      </c>
      <c r="I3067" s="794">
        <v>2.542187910635075E-5</v>
      </c>
      <c r="J3067" s="794">
        <v>2.3822178877788848E-2</v>
      </c>
      <c r="K3067" s="771"/>
    </row>
    <row r="3068" spans="1:11" ht="18.75" customHeight="1" outlineLevel="2">
      <c r="A3068" s="791" t="s">
        <v>776</v>
      </c>
      <c r="B3068" s="791" t="s">
        <v>1036</v>
      </c>
      <c r="C3068" s="791" t="s">
        <v>1022</v>
      </c>
      <c r="D3068" s="792" t="s">
        <v>779</v>
      </c>
      <c r="E3068" s="793" t="s">
        <v>662</v>
      </c>
      <c r="F3068" s="793" t="s">
        <v>888</v>
      </c>
      <c r="G3068" s="793" t="s">
        <v>791</v>
      </c>
      <c r="H3068" s="793" t="s">
        <v>826</v>
      </c>
      <c r="I3068" s="794">
        <v>2.2803012070478786E-3</v>
      </c>
      <c r="J3068" s="794">
        <v>2.1325549499983643</v>
      </c>
      <c r="K3068" s="771"/>
    </row>
    <row r="3069" spans="1:11" ht="18.75" customHeight="1" outlineLevel="2">
      <c r="A3069" s="791" t="s">
        <v>776</v>
      </c>
      <c r="B3069" s="791" t="s">
        <v>1036</v>
      </c>
      <c r="C3069" s="791" t="s">
        <v>1022</v>
      </c>
      <c r="D3069" s="792" t="s">
        <v>779</v>
      </c>
      <c r="E3069" s="793" t="s">
        <v>662</v>
      </c>
      <c r="F3069" s="793" t="s">
        <v>889</v>
      </c>
      <c r="G3069" s="793" t="s">
        <v>791</v>
      </c>
      <c r="H3069" s="793" t="s">
        <v>826</v>
      </c>
      <c r="I3069" s="794">
        <v>4.3840197346740401E-4</v>
      </c>
      <c r="J3069" s="794">
        <v>0.63094956575740047</v>
      </c>
      <c r="K3069" s="771"/>
    </row>
    <row r="3070" spans="1:11" ht="18.75" customHeight="1" outlineLevel="2">
      <c r="A3070" s="791" t="s">
        <v>776</v>
      </c>
      <c r="B3070" s="791" t="s">
        <v>1036</v>
      </c>
      <c r="C3070" s="791" t="s">
        <v>1022</v>
      </c>
      <c r="D3070" s="792" t="s">
        <v>779</v>
      </c>
      <c r="E3070" s="793" t="s">
        <v>662</v>
      </c>
      <c r="F3070" s="793" t="s">
        <v>890</v>
      </c>
      <c r="G3070" s="793" t="s">
        <v>791</v>
      </c>
      <c r="H3070" s="793" t="s">
        <v>826</v>
      </c>
      <c r="I3070" s="794">
        <v>6.2641410143635529E-3</v>
      </c>
      <c r="J3070" s="794">
        <v>6.9908864060491442</v>
      </c>
      <c r="K3070" s="771"/>
    </row>
    <row r="3071" spans="1:11" ht="18.75" customHeight="1" outlineLevel="2">
      <c r="A3071" s="791" t="s">
        <v>776</v>
      </c>
      <c r="B3071" s="791" t="s">
        <v>1036</v>
      </c>
      <c r="C3071" s="791" t="s">
        <v>1022</v>
      </c>
      <c r="D3071" s="792" t="s">
        <v>779</v>
      </c>
      <c r="E3071" s="793" t="s">
        <v>662</v>
      </c>
      <c r="F3071" s="793" t="s">
        <v>891</v>
      </c>
      <c r="G3071" s="793" t="s">
        <v>791</v>
      </c>
      <c r="H3071" s="793" t="s">
        <v>826</v>
      </c>
      <c r="I3071" s="794">
        <v>3.2065816469536414E-2</v>
      </c>
      <c r="J3071" s="794">
        <v>15.672851899732175</v>
      </c>
      <c r="K3071" s="771"/>
    </row>
    <row r="3072" spans="1:11" ht="18.75" customHeight="1" outlineLevel="2">
      <c r="A3072" s="791" t="s">
        <v>776</v>
      </c>
      <c r="B3072" s="791" t="s">
        <v>1036</v>
      </c>
      <c r="C3072" s="791" t="s">
        <v>1022</v>
      </c>
      <c r="D3072" s="792" t="s">
        <v>779</v>
      </c>
      <c r="E3072" s="793" t="s">
        <v>662</v>
      </c>
      <c r="F3072" s="793" t="s">
        <v>892</v>
      </c>
      <c r="G3072" s="793" t="s">
        <v>791</v>
      </c>
      <c r="H3072" s="793" t="s">
        <v>826</v>
      </c>
      <c r="I3072" s="794">
        <v>3.6112962183368325E-3</v>
      </c>
      <c r="J3072" s="794">
        <v>3.3773113309452083</v>
      </c>
      <c r="K3072" s="771"/>
    </row>
    <row r="3073" spans="1:11" ht="18.75" customHeight="1" outlineLevel="2">
      <c r="A3073" s="791" t="s">
        <v>776</v>
      </c>
      <c r="B3073" s="791" t="s">
        <v>1036</v>
      </c>
      <c r="C3073" s="791" t="s">
        <v>1022</v>
      </c>
      <c r="D3073" s="792" t="s">
        <v>779</v>
      </c>
      <c r="E3073" s="793" t="s">
        <v>662</v>
      </c>
      <c r="F3073" s="793" t="s">
        <v>893</v>
      </c>
      <c r="G3073" s="793" t="s">
        <v>791</v>
      </c>
      <c r="H3073" s="793" t="s">
        <v>826</v>
      </c>
      <c r="I3073" s="794">
        <v>4.7412945793911098E-3</v>
      </c>
      <c r="J3073" s="794">
        <v>4.8195448661480764</v>
      </c>
      <c r="K3073" s="771"/>
    </row>
    <row r="3074" spans="1:11" ht="18.75" customHeight="1" outlineLevel="2">
      <c r="A3074" s="791" t="s">
        <v>776</v>
      </c>
      <c r="B3074" s="791" t="s">
        <v>1036</v>
      </c>
      <c r="C3074" s="791" t="s">
        <v>1022</v>
      </c>
      <c r="D3074" s="792" t="s">
        <v>779</v>
      </c>
      <c r="E3074" s="793" t="s">
        <v>662</v>
      </c>
      <c r="F3074" s="793" t="s">
        <v>894</v>
      </c>
      <c r="G3074" s="793" t="s">
        <v>791</v>
      </c>
      <c r="H3074" s="793" t="s">
        <v>826</v>
      </c>
      <c r="I3074" s="794">
        <v>5.6819028663135536E-4</v>
      </c>
      <c r="J3074" s="794">
        <v>5.1506763517207474</v>
      </c>
      <c r="K3074" s="771"/>
    </row>
    <row r="3075" spans="1:11" ht="18.75" customHeight="1" outlineLevel="2">
      <c r="A3075" s="791" t="s">
        <v>776</v>
      </c>
      <c r="B3075" s="791" t="s">
        <v>1036</v>
      </c>
      <c r="C3075" s="791" t="s">
        <v>1022</v>
      </c>
      <c r="D3075" s="792" t="s">
        <v>779</v>
      </c>
      <c r="E3075" s="793" t="s">
        <v>662</v>
      </c>
      <c r="F3075" s="793" t="s">
        <v>895</v>
      </c>
      <c r="G3075" s="793" t="s">
        <v>794</v>
      </c>
      <c r="H3075" s="793" t="s">
        <v>828</v>
      </c>
      <c r="I3075" s="794">
        <v>5.725263964709705</v>
      </c>
      <c r="J3075" s="794">
        <v>7924.253049493951</v>
      </c>
      <c r="K3075" s="771"/>
    </row>
    <row r="3076" spans="1:11" ht="18.75" customHeight="1" outlineLevel="2">
      <c r="A3076" s="791" t="s">
        <v>776</v>
      </c>
      <c r="B3076" s="791" t="s">
        <v>1036</v>
      </c>
      <c r="C3076" s="791" t="s">
        <v>1022</v>
      </c>
      <c r="D3076" s="792" t="s">
        <v>779</v>
      </c>
      <c r="E3076" s="793" t="s">
        <v>662</v>
      </c>
      <c r="F3076" s="793" t="s">
        <v>896</v>
      </c>
      <c r="G3076" s="793" t="s">
        <v>794</v>
      </c>
      <c r="H3076" s="793" t="s">
        <v>828</v>
      </c>
      <c r="I3076" s="794">
        <v>1.3447604491165486</v>
      </c>
      <c r="J3076" s="794">
        <v>1982.5772193208998</v>
      </c>
      <c r="K3076" s="771"/>
    </row>
    <row r="3077" spans="1:11" ht="18.75" customHeight="1" outlineLevel="2">
      <c r="A3077" s="791" t="s">
        <v>776</v>
      </c>
      <c r="B3077" s="791" t="s">
        <v>1036</v>
      </c>
      <c r="C3077" s="791" t="s">
        <v>1022</v>
      </c>
      <c r="D3077" s="792" t="s">
        <v>779</v>
      </c>
      <c r="E3077" s="793" t="s">
        <v>662</v>
      </c>
      <c r="F3077" s="793" t="s">
        <v>897</v>
      </c>
      <c r="G3077" s="793" t="s">
        <v>794</v>
      </c>
      <c r="H3077" s="793" t="s">
        <v>828</v>
      </c>
      <c r="I3077" s="794">
        <v>0.62037186997092608</v>
      </c>
      <c r="J3077" s="794">
        <v>1048.3212757573656</v>
      </c>
      <c r="K3077" s="771"/>
    </row>
    <row r="3078" spans="1:11" ht="18.75" customHeight="1" outlineLevel="2">
      <c r="A3078" s="791" t="s">
        <v>776</v>
      </c>
      <c r="B3078" s="791" t="s">
        <v>1036</v>
      </c>
      <c r="C3078" s="791" t="s">
        <v>1022</v>
      </c>
      <c r="D3078" s="792" t="s">
        <v>779</v>
      </c>
      <c r="E3078" s="793" t="s">
        <v>662</v>
      </c>
      <c r="F3078" s="793" t="s">
        <v>898</v>
      </c>
      <c r="G3078" s="793" t="s">
        <v>794</v>
      </c>
      <c r="H3078" s="793" t="s">
        <v>828</v>
      </c>
      <c r="I3078" s="794">
        <v>1.4294835713165646</v>
      </c>
      <c r="J3078" s="794">
        <v>2253.6074453451188</v>
      </c>
      <c r="K3078" s="771"/>
    </row>
    <row r="3079" spans="1:11" ht="18.75" customHeight="1" outlineLevel="2">
      <c r="A3079" s="791" t="s">
        <v>776</v>
      </c>
      <c r="B3079" s="791" t="s">
        <v>1036</v>
      </c>
      <c r="C3079" s="791" t="s">
        <v>1022</v>
      </c>
      <c r="D3079" s="792" t="s">
        <v>779</v>
      </c>
      <c r="E3079" s="793" t="s">
        <v>662</v>
      </c>
      <c r="F3079" s="793" t="s">
        <v>899</v>
      </c>
      <c r="G3079" s="793" t="s">
        <v>794</v>
      </c>
      <c r="H3079" s="793" t="s">
        <v>828</v>
      </c>
      <c r="I3079" s="794">
        <v>2.5182640183015184</v>
      </c>
      <c r="J3079" s="794">
        <v>3560.6395389561576</v>
      </c>
      <c r="K3079" s="771"/>
    </row>
    <row r="3080" spans="1:11" ht="18.75" customHeight="1" outlineLevel="2">
      <c r="A3080" s="791" t="s">
        <v>776</v>
      </c>
      <c r="B3080" s="791" t="s">
        <v>1036</v>
      </c>
      <c r="C3080" s="791" t="s">
        <v>1022</v>
      </c>
      <c r="D3080" s="792" t="s">
        <v>779</v>
      </c>
      <c r="E3080" s="793" t="s">
        <v>662</v>
      </c>
      <c r="F3080" s="793" t="s">
        <v>900</v>
      </c>
      <c r="G3080" s="793" t="s">
        <v>794</v>
      </c>
      <c r="H3080" s="793" t="s">
        <v>828</v>
      </c>
      <c r="I3080" s="794">
        <v>0.11666442872049043</v>
      </c>
      <c r="J3080" s="794">
        <v>167.05939841135864</v>
      </c>
      <c r="K3080" s="771"/>
    </row>
    <row r="3081" spans="1:11" ht="18.75" customHeight="1" outlineLevel="2">
      <c r="A3081" s="791" t="s">
        <v>776</v>
      </c>
      <c r="B3081" s="791" t="s">
        <v>1036</v>
      </c>
      <c r="C3081" s="791" t="s">
        <v>1022</v>
      </c>
      <c r="D3081" s="792" t="s">
        <v>779</v>
      </c>
      <c r="E3081" s="793" t="s">
        <v>662</v>
      </c>
      <c r="F3081" s="793" t="s">
        <v>901</v>
      </c>
      <c r="G3081" s="793" t="s">
        <v>833</v>
      </c>
      <c r="H3081" s="793" t="s">
        <v>834</v>
      </c>
      <c r="I3081" s="794">
        <v>3.901971024061058E-3</v>
      </c>
      <c r="J3081" s="794">
        <v>4.0652462462038947</v>
      </c>
      <c r="K3081" s="771"/>
    </row>
    <row r="3082" spans="1:11" ht="18.75" customHeight="1" outlineLevel="2">
      <c r="A3082" s="791" t="s">
        <v>776</v>
      </c>
      <c r="B3082" s="791" t="s">
        <v>1036</v>
      </c>
      <c r="C3082" s="791" t="s">
        <v>1022</v>
      </c>
      <c r="D3082" s="792" t="s">
        <v>779</v>
      </c>
      <c r="E3082" s="793" t="s">
        <v>662</v>
      </c>
      <c r="F3082" s="793" t="s">
        <v>902</v>
      </c>
      <c r="G3082" s="793" t="s">
        <v>833</v>
      </c>
      <c r="H3082" s="793" t="s">
        <v>834</v>
      </c>
      <c r="I3082" s="794">
        <v>3.3965007621726673E-5</v>
      </c>
      <c r="J3082" s="794">
        <v>4.332594848396544E-2</v>
      </c>
      <c r="K3082" s="771"/>
    </row>
    <row r="3083" spans="1:11" ht="18.75" customHeight="1" outlineLevel="2">
      <c r="A3083" s="791" t="s">
        <v>776</v>
      </c>
      <c r="B3083" s="791" t="s">
        <v>1036</v>
      </c>
      <c r="C3083" s="791" t="s">
        <v>1022</v>
      </c>
      <c r="D3083" s="792" t="s">
        <v>779</v>
      </c>
      <c r="E3083" s="793" t="s">
        <v>662</v>
      </c>
      <c r="F3083" s="793" t="s">
        <v>903</v>
      </c>
      <c r="G3083" s="793" t="s">
        <v>904</v>
      </c>
      <c r="H3083" s="793" t="s">
        <v>905</v>
      </c>
      <c r="I3083" s="794">
        <v>1.6503743815423515</v>
      </c>
      <c r="J3083" s="794">
        <v>1404.1692433282624</v>
      </c>
      <c r="K3083" s="771"/>
    </row>
    <row r="3084" spans="1:11" ht="18.75" customHeight="1" outlineLevel="2">
      <c r="A3084" s="791" t="s">
        <v>776</v>
      </c>
      <c r="B3084" s="791" t="s">
        <v>1036</v>
      </c>
      <c r="C3084" s="791" t="s">
        <v>1022</v>
      </c>
      <c r="D3084" s="792" t="s">
        <v>779</v>
      </c>
      <c r="E3084" s="793" t="s">
        <v>662</v>
      </c>
      <c r="F3084" s="793" t="s">
        <v>906</v>
      </c>
      <c r="G3084" s="793" t="s">
        <v>904</v>
      </c>
      <c r="H3084" s="793" t="s">
        <v>905</v>
      </c>
      <c r="I3084" s="794">
        <v>0.69466343253019913</v>
      </c>
      <c r="J3084" s="794">
        <v>592.62454323712689</v>
      </c>
      <c r="K3084" s="771"/>
    </row>
    <row r="3085" spans="1:11" ht="18.75" customHeight="1" outlineLevel="2">
      <c r="A3085" s="791" t="s">
        <v>776</v>
      </c>
      <c r="B3085" s="791" t="s">
        <v>1036</v>
      </c>
      <c r="C3085" s="791" t="s">
        <v>1022</v>
      </c>
      <c r="D3085" s="792" t="s">
        <v>779</v>
      </c>
      <c r="E3085" s="793" t="s">
        <v>662</v>
      </c>
      <c r="F3085" s="793" t="s">
        <v>907</v>
      </c>
      <c r="G3085" s="793" t="s">
        <v>908</v>
      </c>
      <c r="H3085" s="793" t="s">
        <v>905</v>
      </c>
      <c r="I3085" s="794">
        <v>0.26059749068195837</v>
      </c>
      <c r="J3085" s="794">
        <v>437.76097110309502</v>
      </c>
      <c r="K3085" s="771"/>
    </row>
    <row r="3086" spans="1:11" ht="18.75" customHeight="1" outlineLevel="2">
      <c r="A3086" s="791" t="s">
        <v>776</v>
      </c>
      <c r="B3086" s="791" t="s">
        <v>1036</v>
      </c>
      <c r="C3086" s="791" t="s">
        <v>1022</v>
      </c>
      <c r="D3086" s="792" t="s">
        <v>779</v>
      </c>
      <c r="E3086" s="793" t="s">
        <v>662</v>
      </c>
      <c r="F3086" s="793" t="s">
        <v>909</v>
      </c>
      <c r="G3086" s="793" t="s">
        <v>910</v>
      </c>
      <c r="H3086" s="793" t="s">
        <v>911</v>
      </c>
      <c r="I3086" s="794">
        <v>7.6161048684279323E-3</v>
      </c>
      <c r="J3086" s="794">
        <v>11.333669981335994</v>
      </c>
      <c r="K3086" s="771"/>
    </row>
    <row r="3087" spans="1:11" ht="18.75" customHeight="1" outlineLevel="2">
      <c r="A3087" s="791" t="s">
        <v>776</v>
      </c>
      <c r="B3087" s="791" t="s">
        <v>1036</v>
      </c>
      <c r="C3087" s="791" t="s">
        <v>1022</v>
      </c>
      <c r="D3087" s="792" t="s">
        <v>779</v>
      </c>
      <c r="E3087" s="793" t="s">
        <v>763</v>
      </c>
      <c r="F3087" s="793" t="s">
        <v>912</v>
      </c>
      <c r="G3087" s="793" t="s">
        <v>799</v>
      </c>
      <c r="H3087" s="793" t="s">
        <v>913</v>
      </c>
      <c r="I3087" s="794">
        <v>7.6906171678728383E-3</v>
      </c>
      <c r="J3087" s="794">
        <v>14.727907196786809</v>
      </c>
      <c r="K3087" s="771"/>
    </row>
    <row r="3088" spans="1:11" ht="18.75" customHeight="1" outlineLevel="2">
      <c r="A3088" s="791" t="s">
        <v>776</v>
      </c>
      <c r="B3088" s="791" t="s">
        <v>1036</v>
      </c>
      <c r="C3088" s="791" t="s">
        <v>1022</v>
      </c>
      <c r="D3088" s="792" t="s">
        <v>779</v>
      </c>
      <c r="E3088" s="793" t="s">
        <v>763</v>
      </c>
      <c r="F3088" s="793" t="s">
        <v>914</v>
      </c>
      <c r="G3088" s="793" t="s">
        <v>782</v>
      </c>
      <c r="H3088" s="793" t="s">
        <v>913</v>
      </c>
      <c r="I3088" s="794">
        <v>1.8959130556578379E-3</v>
      </c>
      <c r="J3088" s="794">
        <v>8.8254684477826846</v>
      </c>
      <c r="K3088" s="771"/>
    </row>
    <row r="3089" spans="1:11" ht="18.75" customHeight="1" outlineLevel="2">
      <c r="A3089" s="791" t="s">
        <v>776</v>
      </c>
      <c r="B3089" s="791" t="s">
        <v>1036</v>
      </c>
      <c r="C3089" s="791" t="s">
        <v>1022</v>
      </c>
      <c r="D3089" s="792" t="s">
        <v>779</v>
      </c>
      <c r="E3089" s="793" t="s">
        <v>763</v>
      </c>
      <c r="F3089" s="793" t="s">
        <v>915</v>
      </c>
      <c r="G3089" s="793" t="s">
        <v>782</v>
      </c>
      <c r="H3089" s="793" t="s">
        <v>913</v>
      </c>
      <c r="I3089" s="794">
        <v>1.0168389454947014E-3</v>
      </c>
      <c r="J3089" s="794">
        <v>14.759275001354126</v>
      </c>
      <c r="K3089" s="771"/>
    </row>
    <row r="3090" spans="1:11" ht="18.75" customHeight="1" outlineLevel="2">
      <c r="A3090" s="791" t="s">
        <v>776</v>
      </c>
      <c r="B3090" s="791" t="s">
        <v>1036</v>
      </c>
      <c r="C3090" s="791" t="s">
        <v>1022</v>
      </c>
      <c r="D3090" s="792" t="s">
        <v>779</v>
      </c>
      <c r="E3090" s="793" t="s">
        <v>763</v>
      </c>
      <c r="F3090" s="793" t="s">
        <v>916</v>
      </c>
      <c r="G3090" s="793" t="s">
        <v>782</v>
      </c>
      <c r="H3090" s="793" t="s">
        <v>913</v>
      </c>
      <c r="I3090" s="794">
        <v>1.5076222492276449E-3</v>
      </c>
      <c r="J3090" s="794">
        <v>2.6064749218567189</v>
      </c>
      <c r="K3090" s="771"/>
    </row>
    <row r="3091" spans="1:11" ht="18.75" customHeight="1" outlineLevel="2">
      <c r="A3091" s="791" t="s">
        <v>776</v>
      </c>
      <c r="B3091" s="791" t="s">
        <v>1036</v>
      </c>
      <c r="C3091" s="791" t="s">
        <v>1022</v>
      </c>
      <c r="D3091" s="792" t="s">
        <v>779</v>
      </c>
      <c r="E3091" s="793" t="s">
        <v>763</v>
      </c>
      <c r="F3091" s="793" t="s">
        <v>917</v>
      </c>
      <c r="G3091" s="793" t="s">
        <v>782</v>
      </c>
      <c r="H3091" s="793" t="s">
        <v>913</v>
      </c>
      <c r="I3091" s="794">
        <v>2.7601420570163909E-4</v>
      </c>
      <c r="J3091" s="794">
        <v>1.5110920927137133</v>
      </c>
      <c r="K3091" s="771"/>
    </row>
    <row r="3092" spans="1:11" ht="18.75" customHeight="1" outlineLevel="2">
      <c r="A3092" s="791" t="s">
        <v>776</v>
      </c>
      <c r="B3092" s="791" t="s">
        <v>1036</v>
      </c>
      <c r="C3092" s="791" t="s">
        <v>1022</v>
      </c>
      <c r="D3092" s="792" t="s">
        <v>779</v>
      </c>
      <c r="E3092" s="793" t="s">
        <v>763</v>
      </c>
      <c r="F3092" s="793" t="s">
        <v>918</v>
      </c>
      <c r="G3092" s="793" t="s">
        <v>782</v>
      </c>
      <c r="H3092" s="793" t="s">
        <v>913</v>
      </c>
      <c r="I3092" s="794">
        <v>6.1091501596572699E-3</v>
      </c>
      <c r="J3092" s="794">
        <v>27.293764354570996</v>
      </c>
      <c r="K3092" s="771"/>
    </row>
    <row r="3093" spans="1:11" ht="18.75" customHeight="1" outlineLevel="2">
      <c r="A3093" s="791" t="s">
        <v>776</v>
      </c>
      <c r="B3093" s="791" t="s">
        <v>1036</v>
      </c>
      <c r="C3093" s="791" t="s">
        <v>1022</v>
      </c>
      <c r="D3093" s="792" t="s">
        <v>779</v>
      </c>
      <c r="E3093" s="793" t="s">
        <v>763</v>
      </c>
      <c r="F3093" s="793" t="s">
        <v>919</v>
      </c>
      <c r="G3093" s="793" t="s">
        <v>782</v>
      </c>
      <c r="H3093" s="793" t="s">
        <v>913</v>
      </c>
      <c r="I3093" s="794">
        <v>1.1685708658535271E-2</v>
      </c>
      <c r="J3093" s="794">
        <v>13.709079650555404</v>
      </c>
      <c r="K3093" s="771"/>
    </row>
    <row r="3094" spans="1:11" ht="18.75" customHeight="1" outlineLevel="2">
      <c r="A3094" s="791" t="s">
        <v>776</v>
      </c>
      <c r="B3094" s="791" t="s">
        <v>1036</v>
      </c>
      <c r="C3094" s="791" t="s">
        <v>1022</v>
      </c>
      <c r="D3094" s="792" t="s">
        <v>779</v>
      </c>
      <c r="E3094" s="793" t="s">
        <v>763</v>
      </c>
      <c r="F3094" s="793" t="s">
        <v>920</v>
      </c>
      <c r="G3094" s="793" t="s">
        <v>782</v>
      </c>
      <c r="H3094" s="793" t="s">
        <v>913</v>
      </c>
      <c r="I3094" s="794">
        <v>1.2692216193862656E-3</v>
      </c>
      <c r="J3094" s="794">
        <v>25.251758974180557</v>
      </c>
      <c r="K3094" s="771"/>
    </row>
    <row r="3095" spans="1:11" ht="18.75" customHeight="1" outlineLevel="2">
      <c r="A3095" s="791" t="s">
        <v>776</v>
      </c>
      <c r="B3095" s="791" t="s">
        <v>1036</v>
      </c>
      <c r="C3095" s="791" t="s">
        <v>1022</v>
      </c>
      <c r="D3095" s="792" t="s">
        <v>779</v>
      </c>
      <c r="E3095" s="793" t="s">
        <v>763</v>
      </c>
      <c r="F3095" s="793" t="s">
        <v>921</v>
      </c>
      <c r="G3095" s="793" t="s">
        <v>782</v>
      </c>
      <c r="H3095" s="793" t="s">
        <v>913</v>
      </c>
      <c r="I3095" s="794">
        <v>5.8907801877665445E-3</v>
      </c>
      <c r="J3095" s="794">
        <v>10.289265888448698</v>
      </c>
      <c r="K3095" s="771"/>
    </row>
    <row r="3096" spans="1:11" ht="18.75" customHeight="1" outlineLevel="2">
      <c r="A3096" s="791" t="s">
        <v>776</v>
      </c>
      <c r="B3096" s="791" t="s">
        <v>1036</v>
      </c>
      <c r="C3096" s="791" t="s">
        <v>1022</v>
      </c>
      <c r="D3096" s="792" t="s">
        <v>779</v>
      </c>
      <c r="E3096" s="793" t="s">
        <v>763</v>
      </c>
      <c r="F3096" s="793" t="s">
        <v>922</v>
      </c>
      <c r="G3096" s="793" t="s">
        <v>782</v>
      </c>
      <c r="H3096" s="793" t="s">
        <v>913</v>
      </c>
      <c r="I3096" s="794">
        <v>8.8060415292987926E-4</v>
      </c>
      <c r="J3096" s="794">
        <v>1.6864110263665244</v>
      </c>
      <c r="K3096" s="771"/>
    </row>
    <row r="3097" spans="1:11" ht="18.75" customHeight="1" outlineLevel="2">
      <c r="A3097" s="791" t="s">
        <v>776</v>
      </c>
      <c r="B3097" s="791" t="s">
        <v>1036</v>
      </c>
      <c r="C3097" s="791" t="s">
        <v>1022</v>
      </c>
      <c r="D3097" s="792" t="s">
        <v>779</v>
      </c>
      <c r="E3097" s="793" t="s">
        <v>763</v>
      </c>
      <c r="F3097" s="793" t="s">
        <v>923</v>
      </c>
      <c r="G3097" s="793" t="s">
        <v>782</v>
      </c>
      <c r="H3097" s="793" t="s">
        <v>913</v>
      </c>
      <c r="I3097" s="794">
        <v>4.8261601294547389E-3</v>
      </c>
      <c r="J3097" s="794">
        <v>17.535735692965059</v>
      </c>
      <c r="K3097" s="771"/>
    </row>
    <row r="3098" spans="1:11" ht="18.75" customHeight="1" outlineLevel="2">
      <c r="A3098" s="791" t="s">
        <v>776</v>
      </c>
      <c r="B3098" s="791" t="s">
        <v>1036</v>
      </c>
      <c r="C3098" s="791" t="s">
        <v>1022</v>
      </c>
      <c r="D3098" s="792" t="s">
        <v>779</v>
      </c>
      <c r="E3098" s="793" t="s">
        <v>763</v>
      </c>
      <c r="F3098" s="793" t="s">
        <v>924</v>
      </c>
      <c r="G3098" s="793" t="s">
        <v>782</v>
      </c>
      <c r="H3098" s="793" t="s">
        <v>913</v>
      </c>
      <c r="I3098" s="794">
        <v>3.9759701294099521E-3</v>
      </c>
      <c r="J3098" s="794">
        <v>42.344956783769113</v>
      </c>
      <c r="K3098" s="771"/>
    </row>
    <row r="3099" spans="1:11" ht="18.75" customHeight="1" outlineLevel="2">
      <c r="A3099" s="791" t="s">
        <v>776</v>
      </c>
      <c r="B3099" s="791" t="s">
        <v>1036</v>
      </c>
      <c r="C3099" s="791" t="s">
        <v>1022</v>
      </c>
      <c r="D3099" s="792" t="s">
        <v>779</v>
      </c>
      <c r="E3099" s="793" t="s">
        <v>763</v>
      </c>
      <c r="F3099" s="793" t="s">
        <v>925</v>
      </c>
      <c r="G3099" s="793" t="s">
        <v>782</v>
      </c>
      <c r="H3099" s="793" t="s">
        <v>913</v>
      </c>
      <c r="I3099" s="794">
        <v>2.7976715317329408E-4</v>
      </c>
      <c r="J3099" s="794">
        <v>4.4552420633330492</v>
      </c>
      <c r="K3099" s="771"/>
    </row>
    <row r="3100" spans="1:11" ht="18.75" customHeight="1" outlineLevel="2">
      <c r="A3100" s="791" t="s">
        <v>776</v>
      </c>
      <c r="B3100" s="791" t="s">
        <v>1036</v>
      </c>
      <c r="C3100" s="791" t="s">
        <v>1022</v>
      </c>
      <c r="D3100" s="792" t="s">
        <v>779</v>
      </c>
      <c r="E3100" s="793" t="s">
        <v>763</v>
      </c>
      <c r="F3100" s="793" t="s">
        <v>926</v>
      </c>
      <c r="G3100" s="793" t="s">
        <v>782</v>
      </c>
      <c r="H3100" s="793" t="s">
        <v>913</v>
      </c>
      <c r="I3100" s="794">
        <v>2.0747447603980732E-2</v>
      </c>
      <c r="J3100" s="794">
        <v>38.142189603004006</v>
      </c>
      <c r="K3100" s="771"/>
    </row>
    <row r="3101" spans="1:11" ht="18.75" customHeight="1" outlineLevel="2">
      <c r="A3101" s="791" t="s">
        <v>776</v>
      </c>
      <c r="B3101" s="791" t="s">
        <v>1036</v>
      </c>
      <c r="C3101" s="791" t="s">
        <v>1022</v>
      </c>
      <c r="D3101" s="792" t="s">
        <v>779</v>
      </c>
      <c r="E3101" s="793" t="s">
        <v>763</v>
      </c>
      <c r="F3101" s="793" t="s">
        <v>927</v>
      </c>
      <c r="G3101" s="793" t="s">
        <v>782</v>
      </c>
      <c r="H3101" s="793" t="s">
        <v>913</v>
      </c>
      <c r="I3101" s="794">
        <v>1.1564605377187762E-2</v>
      </c>
      <c r="J3101" s="794">
        <v>16.007216353970858</v>
      </c>
      <c r="K3101" s="771"/>
    </row>
    <row r="3102" spans="1:11" ht="18.75" customHeight="1" outlineLevel="2">
      <c r="A3102" s="791" t="s">
        <v>776</v>
      </c>
      <c r="B3102" s="791" t="s">
        <v>1036</v>
      </c>
      <c r="C3102" s="791" t="s">
        <v>1022</v>
      </c>
      <c r="D3102" s="792" t="s">
        <v>779</v>
      </c>
      <c r="E3102" s="793" t="s">
        <v>763</v>
      </c>
      <c r="F3102" s="793" t="s">
        <v>928</v>
      </c>
      <c r="G3102" s="793" t="s">
        <v>785</v>
      </c>
      <c r="H3102" s="793" t="s">
        <v>913</v>
      </c>
      <c r="I3102" s="794">
        <v>5.4229305776657771E-2</v>
      </c>
      <c r="J3102" s="794">
        <v>166.93898677591184</v>
      </c>
      <c r="K3102" s="771"/>
    </row>
    <row r="3103" spans="1:11" ht="18.75" customHeight="1" outlineLevel="2">
      <c r="A3103" s="791" t="s">
        <v>776</v>
      </c>
      <c r="B3103" s="791" t="s">
        <v>1036</v>
      </c>
      <c r="C3103" s="791" t="s">
        <v>1022</v>
      </c>
      <c r="D3103" s="792" t="s">
        <v>779</v>
      </c>
      <c r="E3103" s="793" t="s">
        <v>763</v>
      </c>
      <c r="F3103" s="793" t="s">
        <v>929</v>
      </c>
      <c r="G3103" s="793" t="s">
        <v>785</v>
      </c>
      <c r="H3103" s="793" t="s">
        <v>913</v>
      </c>
      <c r="I3103" s="794">
        <v>1.0781152148699822</v>
      </c>
      <c r="J3103" s="794">
        <v>15184.929720119646</v>
      </c>
      <c r="K3103" s="771"/>
    </row>
    <row r="3104" spans="1:11" ht="18.75" customHeight="1" outlineLevel="2">
      <c r="A3104" s="791" t="s">
        <v>776</v>
      </c>
      <c r="B3104" s="791" t="s">
        <v>1036</v>
      </c>
      <c r="C3104" s="791" t="s">
        <v>1022</v>
      </c>
      <c r="D3104" s="792" t="s">
        <v>779</v>
      </c>
      <c r="E3104" s="793" t="s">
        <v>763</v>
      </c>
      <c r="F3104" s="793" t="s">
        <v>930</v>
      </c>
      <c r="G3104" s="793" t="s">
        <v>785</v>
      </c>
      <c r="H3104" s="793" t="s">
        <v>913</v>
      </c>
      <c r="I3104" s="794">
        <v>6.4185629290066382E-3</v>
      </c>
      <c r="J3104" s="794">
        <v>113.12189901474079</v>
      </c>
      <c r="K3104" s="771"/>
    </row>
    <row r="3105" spans="1:11" ht="18.75" customHeight="1" outlineLevel="2">
      <c r="A3105" s="791" t="s">
        <v>776</v>
      </c>
      <c r="B3105" s="791" t="s">
        <v>1036</v>
      </c>
      <c r="C3105" s="791" t="s">
        <v>1022</v>
      </c>
      <c r="D3105" s="792" t="s">
        <v>779</v>
      </c>
      <c r="E3105" s="793" t="s">
        <v>763</v>
      </c>
      <c r="F3105" s="793" t="s">
        <v>931</v>
      </c>
      <c r="G3105" s="793" t="s">
        <v>785</v>
      </c>
      <c r="H3105" s="793" t="s">
        <v>913</v>
      </c>
      <c r="I3105" s="794">
        <v>2.1471361464981448E-3</v>
      </c>
      <c r="J3105" s="794">
        <v>35.682676185321938</v>
      </c>
      <c r="K3105" s="771"/>
    </row>
    <row r="3106" spans="1:11" ht="18.75" customHeight="1" outlineLevel="2">
      <c r="A3106" s="791" t="s">
        <v>776</v>
      </c>
      <c r="B3106" s="791" t="s">
        <v>1036</v>
      </c>
      <c r="C3106" s="791" t="s">
        <v>1022</v>
      </c>
      <c r="D3106" s="792" t="s">
        <v>779</v>
      </c>
      <c r="E3106" s="793" t="s">
        <v>763</v>
      </c>
      <c r="F3106" s="793" t="s">
        <v>932</v>
      </c>
      <c r="G3106" s="793" t="s">
        <v>785</v>
      </c>
      <c r="H3106" s="793" t="s">
        <v>913</v>
      </c>
      <c r="I3106" s="794">
        <v>2.2926080280753964E-3</v>
      </c>
      <c r="J3106" s="794">
        <v>8.812553462060789</v>
      </c>
      <c r="K3106" s="771"/>
    </row>
    <row r="3107" spans="1:11" ht="18.75" customHeight="1" outlineLevel="2">
      <c r="A3107" s="791" t="s">
        <v>776</v>
      </c>
      <c r="B3107" s="791" t="s">
        <v>1036</v>
      </c>
      <c r="C3107" s="791" t="s">
        <v>1022</v>
      </c>
      <c r="D3107" s="792" t="s">
        <v>779</v>
      </c>
      <c r="E3107" s="793" t="s">
        <v>763</v>
      </c>
      <c r="F3107" s="793" t="s">
        <v>933</v>
      </c>
      <c r="G3107" s="793" t="s">
        <v>785</v>
      </c>
      <c r="H3107" s="793" t="s">
        <v>913</v>
      </c>
      <c r="I3107" s="794">
        <v>3.2179577309932061E-3</v>
      </c>
      <c r="J3107" s="794">
        <v>70.084253663729342</v>
      </c>
      <c r="K3107" s="771"/>
    </row>
    <row r="3108" spans="1:11" ht="18.75" customHeight="1" outlineLevel="2">
      <c r="A3108" s="791" t="s">
        <v>776</v>
      </c>
      <c r="B3108" s="791" t="s">
        <v>1036</v>
      </c>
      <c r="C3108" s="791" t="s">
        <v>1022</v>
      </c>
      <c r="D3108" s="792" t="s">
        <v>779</v>
      </c>
      <c r="E3108" s="793" t="s">
        <v>763</v>
      </c>
      <c r="F3108" s="793" t="s">
        <v>934</v>
      </c>
      <c r="G3108" s="793" t="s">
        <v>813</v>
      </c>
      <c r="H3108" s="793" t="s">
        <v>913</v>
      </c>
      <c r="I3108" s="794">
        <v>6.3065828494314233E-2</v>
      </c>
      <c r="J3108" s="794">
        <v>955.71844235321248</v>
      </c>
      <c r="K3108" s="771"/>
    </row>
    <row r="3109" spans="1:11" ht="18.75" customHeight="1" outlineLevel="2">
      <c r="A3109" s="791" t="s">
        <v>776</v>
      </c>
      <c r="B3109" s="791" t="s">
        <v>1036</v>
      </c>
      <c r="C3109" s="791" t="s">
        <v>1022</v>
      </c>
      <c r="D3109" s="792" t="s">
        <v>779</v>
      </c>
      <c r="E3109" s="793" t="s">
        <v>763</v>
      </c>
      <c r="F3109" s="793" t="s">
        <v>935</v>
      </c>
      <c r="G3109" s="793" t="s">
        <v>791</v>
      </c>
      <c r="H3109" s="793" t="s">
        <v>913</v>
      </c>
      <c r="I3109" s="794">
        <v>2.4162645602037101E-5</v>
      </c>
      <c r="J3109" s="794">
        <v>3.0446919007766467E-2</v>
      </c>
      <c r="K3109" s="771"/>
    </row>
    <row r="3110" spans="1:11" ht="18.75" customHeight="1" outlineLevel="2">
      <c r="A3110" s="791" t="s">
        <v>776</v>
      </c>
      <c r="B3110" s="791" t="s">
        <v>1036</v>
      </c>
      <c r="C3110" s="791" t="s">
        <v>1022</v>
      </c>
      <c r="D3110" s="792" t="s">
        <v>779</v>
      </c>
      <c r="E3110" s="793" t="s">
        <v>763</v>
      </c>
      <c r="F3110" s="793" t="s">
        <v>936</v>
      </c>
      <c r="G3110" s="793" t="s">
        <v>791</v>
      </c>
      <c r="H3110" s="793" t="s">
        <v>913</v>
      </c>
      <c r="I3110" s="794">
        <v>3.5009459750927423E-6</v>
      </c>
      <c r="J3110" s="794">
        <v>5.9302021238301882E-2</v>
      </c>
      <c r="K3110" s="771"/>
    </row>
    <row r="3111" spans="1:11" ht="18.75" customHeight="1" outlineLevel="2">
      <c r="A3111" s="791" t="s">
        <v>776</v>
      </c>
      <c r="B3111" s="791" t="s">
        <v>1036</v>
      </c>
      <c r="C3111" s="791" t="s">
        <v>1022</v>
      </c>
      <c r="D3111" s="792" t="s">
        <v>779</v>
      </c>
      <c r="E3111" s="793" t="s">
        <v>763</v>
      </c>
      <c r="F3111" s="793" t="s">
        <v>937</v>
      </c>
      <c r="G3111" s="793" t="s">
        <v>794</v>
      </c>
      <c r="H3111" s="793" t="s">
        <v>913</v>
      </c>
      <c r="I3111" s="794">
        <v>0.31015270243467941</v>
      </c>
      <c r="J3111" s="794">
        <v>761.52492520412761</v>
      </c>
      <c r="K3111" s="771"/>
    </row>
    <row r="3112" spans="1:11" ht="18.75" customHeight="1" outlineLevel="2">
      <c r="A3112" s="791" t="s">
        <v>776</v>
      </c>
      <c r="B3112" s="791" t="s">
        <v>1036</v>
      </c>
      <c r="C3112" s="791" t="s">
        <v>1022</v>
      </c>
      <c r="D3112" s="792" t="s">
        <v>779</v>
      </c>
      <c r="E3112" s="793" t="s">
        <v>763</v>
      </c>
      <c r="F3112" s="793" t="s">
        <v>938</v>
      </c>
      <c r="G3112" s="793" t="s">
        <v>794</v>
      </c>
      <c r="H3112" s="793" t="s">
        <v>913</v>
      </c>
      <c r="I3112" s="794">
        <v>3.6494517223980297E-2</v>
      </c>
      <c r="J3112" s="794">
        <v>166.68821099444966</v>
      </c>
      <c r="K3112" s="771"/>
    </row>
    <row r="3113" spans="1:11" ht="18.75" customHeight="1" outlineLevel="2">
      <c r="A3113" s="791" t="s">
        <v>776</v>
      </c>
      <c r="B3113" s="791" t="s">
        <v>1036</v>
      </c>
      <c r="C3113" s="791" t="s">
        <v>1022</v>
      </c>
      <c r="D3113" s="792" t="s">
        <v>779</v>
      </c>
      <c r="E3113" s="793" t="s">
        <v>763</v>
      </c>
      <c r="F3113" s="793" t="s">
        <v>939</v>
      </c>
      <c r="G3113" s="793" t="s">
        <v>794</v>
      </c>
      <c r="H3113" s="793" t="s">
        <v>913</v>
      </c>
      <c r="I3113" s="794">
        <v>1.902856456032153E-2</v>
      </c>
      <c r="J3113" s="794">
        <v>194.6374980694286</v>
      </c>
      <c r="K3113" s="771"/>
    </row>
    <row r="3114" spans="1:11" ht="18.75" customHeight="1" outlineLevel="2">
      <c r="A3114" s="791" t="s">
        <v>776</v>
      </c>
      <c r="B3114" s="791" t="s">
        <v>1036</v>
      </c>
      <c r="C3114" s="791" t="s">
        <v>1022</v>
      </c>
      <c r="D3114" s="792" t="s">
        <v>779</v>
      </c>
      <c r="E3114" s="793" t="s">
        <v>763</v>
      </c>
      <c r="F3114" s="793" t="s">
        <v>940</v>
      </c>
      <c r="G3114" s="793" t="s">
        <v>794</v>
      </c>
      <c r="H3114" s="793" t="s">
        <v>913</v>
      </c>
      <c r="I3114" s="794">
        <v>3.1501668536162611E-2</v>
      </c>
      <c r="J3114" s="794">
        <v>241.90598448150701</v>
      </c>
      <c r="K3114" s="771"/>
    </row>
    <row r="3115" spans="1:11" ht="18.75" customHeight="1" outlineLevel="2">
      <c r="A3115" s="791" t="s">
        <v>776</v>
      </c>
      <c r="B3115" s="791" t="s">
        <v>1036</v>
      </c>
      <c r="C3115" s="791" t="s">
        <v>1022</v>
      </c>
      <c r="D3115" s="792" t="s">
        <v>779</v>
      </c>
      <c r="E3115" s="793" t="s">
        <v>763</v>
      </c>
      <c r="F3115" s="793" t="s">
        <v>941</v>
      </c>
      <c r="G3115" s="793" t="s">
        <v>794</v>
      </c>
      <c r="H3115" s="793" t="s">
        <v>913</v>
      </c>
      <c r="I3115" s="794">
        <v>1.0904667810554213E-3</v>
      </c>
      <c r="J3115" s="794">
        <v>3.2900547128803233</v>
      </c>
      <c r="K3115" s="771"/>
    </row>
    <row r="3116" spans="1:11" ht="18.75" customHeight="1" outlineLevel="2">
      <c r="A3116" s="791" t="s">
        <v>776</v>
      </c>
      <c r="B3116" s="791" t="s">
        <v>1036</v>
      </c>
      <c r="C3116" s="791" t="s">
        <v>1022</v>
      </c>
      <c r="D3116" s="792" t="s">
        <v>779</v>
      </c>
      <c r="E3116" s="793" t="s">
        <v>763</v>
      </c>
      <c r="F3116" s="793" t="s">
        <v>942</v>
      </c>
      <c r="G3116" s="793" t="s">
        <v>794</v>
      </c>
      <c r="H3116" s="793" t="s">
        <v>913</v>
      </c>
      <c r="I3116" s="794">
        <v>2.5849296226884385E-4</v>
      </c>
      <c r="J3116" s="794">
        <v>2.9870855783278021</v>
      </c>
      <c r="K3116" s="771"/>
    </row>
    <row r="3117" spans="1:11" ht="18.75" customHeight="1" outlineLevel="2">
      <c r="A3117" s="791" t="s">
        <v>776</v>
      </c>
      <c r="B3117" s="791" t="s">
        <v>1036</v>
      </c>
      <c r="C3117" s="791" t="s">
        <v>1022</v>
      </c>
      <c r="D3117" s="792" t="s">
        <v>779</v>
      </c>
      <c r="E3117" s="793" t="s">
        <v>763</v>
      </c>
      <c r="F3117" s="793" t="s">
        <v>943</v>
      </c>
      <c r="G3117" s="793" t="s">
        <v>944</v>
      </c>
      <c r="H3117" s="793" t="s">
        <v>913</v>
      </c>
      <c r="I3117" s="794">
        <v>7.9632563816784099E-5</v>
      </c>
      <c r="J3117" s="794">
        <v>0.34403963084086397</v>
      </c>
      <c r="K3117" s="771"/>
    </row>
    <row r="3118" spans="1:11" ht="18.75" customHeight="1" outlineLevel="2">
      <c r="A3118" s="791" t="s">
        <v>776</v>
      </c>
      <c r="B3118" s="791" t="s">
        <v>1036</v>
      </c>
      <c r="C3118" s="791" t="s">
        <v>1022</v>
      </c>
      <c r="D3118" s="792" t="s">
        <v>779</v>
      </c>
      <c r="E3118" s="793" t="s">
        <v>764</v>
      </c>
      <c r="F3118" s="793" t="s">
        <v>945</v>
      </c>
      <c r="G3118" s="793" t="s">
        <v>244</v>
      </c>
      <c r="H3118" s="793" t="s">
        <v>905</v>
      </c>
      <c r="I3118" s="794">
        <v>9.2422232512719988E-3</v>
      </c>
      <c r="J3118" s="794">
        <v>332.63488935380212</v>
      </c>
      <c r="K3118" s="771"/>
    </row>
    <row r="3119" spans="1:11" ht="18.75" customHeight="1" outlineLevel="2">
      <c r="A3119" s="791" t="s">
        <v>776</v>
      </c>
      <c r="B3119" s="791" t="s">
        <v>1036</v>
      </c>
      <c r="C3119" s="791" t="s">
        <v>1022</v>
      </c>
      <c r="D3119" s="792" t="s">
        <v>779</v>
      </c>
      <c r="E3119" s="793" t="s">
        <v>764</v>
      </c>
      <c r="F3119" s="793" t="s">
        <v>946</v>
      </c>
      <c r="G3119" s="793" t="s">
        <v>244</v>
      </c>
      <c r="H3119" s="793" t="s">
        <v>905</v>
      </c>
      <c r="I3119" s="794">
        <v>1.4647147284871376E-4</v>
      </c>
      <c r="J3119" s="794">
        <v>2.7784810356334688</v>
      </c>
      <c r="K3119" s="771"/>
    </row>
    <row r="3120" spans="1:11" ht="18.75" customHeight="1" outlineLevel="2">
      <c r="A3120" s="791" t="s">
        <v>776</v>
      </c>
      <c r="B3120" s="791" t="s">
        <v>1036</v>
      </c>
      <c r="C3120" s="791" t="s">
        <v>1022</v>
      </c>
      <c r="D3120" s="792" t="s">
        <v>779</v>
      </c>
      <c r="E3120" s="793" t="s">
        <v>947</v>
      </c>
      <c r="F3120" s="793" t="s">
        <v>948</v>
      </c>
      <c r="G3120" s="793" t="s">
        <v>799</v>
      </c>
      <c r="H3120" s="793" t="s">
        <v>800</v>
      </c>
      <c r="I3120" s="794">
        <v>9.3234536935000965E-3</v>
      </c>
      <c r="J3120" s="794">
        <v>230.48893820305247</v>
      </c>
      <c r="K3120" s="771"/>
    </row>
    <row r="3121" spans="1:11" ht="18.75" customHeight="1" outlineLevel="2">
      <c r="A3121" s="791" t="s">
        <v>776</v>
      </c>
      <c r="B3121" s="791" t="s">
        <v>1036</v>
      </c>
      <c r="C3121" s="791" t="s">
        <v>1022</v>
      </c>
      <c r="D3121" s="792" t="s">
        <v>779</v>
      </c>
      <c r="E3121" s="793" t="s">
        <v>947</v>
      </c>
      <c r="F3121" s="793" t="s">
        <v>949</v>
      </c>
      <c r="G3121" s="793" t="s">
        <v>782</v>
      </c>
      <c r="H3121" s="793" t="s">
        <v>804</v>
      </c>
      <c r="I3121" s="794">
        <v>1.8098649725157664E-2</v>
      </c>
      <c r="J3121" s="794">
        <v>1055.5210171078895</v>
      </c>
      <c r="K3121" s="771"/>
    </row>
    <row r="3122" spans="1:11" ht="18.75" customHeight="1" outlineLevel="2">
      <c r="A3122" s="791" t="s">
        <v>776</v>
      </c>
      <c r="B3122" s="791" t="s">
        <v>1036</v>
      </c>
      <c r="C3122" s="791" t="s">
        <v>1022</v>
      </c>
      <c r="D3122" s="792" t="s">
        <v>779</v>
      </c>
      <c r="E3122" s="793" t="s">
        <v>947</v>
      </c>
      <c r="F3122" s="793" t="s">
        <v>950</v>
      </c>
      <c r="G3122" s="793" t="s">
        <v>782</v>
      </c>
      <c r="H3122" s="793" t="s">
        <v>804</v>
      </c>
      <c r="I3122" s="794">
        <v>1.5561748075799872E-4</v>
      </c>
      <c r="J3122" s="794">
        <v>1.7188931846174103</v>
      </c>
      <c r="K3122" s="771"/>
    </row>
    <row r="3123" spans="1:11" ht="18.75" customHeight="1" outlineLevel="2">
      <c r="A3123" s="791" t="s">
        <v>776</v>
      </c>
      <c r="B3123" s="791" t="s">
        <v>1036</v>
      </c>
      <c r="C3123" s="791" t="s">
        <v>1022</v>
      </c>
      <c r="D3123" s="792" t="s">
        <v>779</v>
      </c>
      <c r="E3123" s="793" t="s">
        <v>947</v>
      </c>
      <c r="F3123" s="793" t="s">
        <v>951</v>
      </c>
      <c r="G3123" s="793" t="s">
        <v>782</v>
      </c>
      <c r="H3123" s="793" t="s">
        <v>804</v>
      </c>
      <c r="I3123" s="794">
        <v>2.2568548622357723E-3</v>
      </c>
      <c r="J3123" s="794">
        <v>28.314858325614356</v>
      </c>
      <c r="K3123" s="771"/>
    </row>
    <row r="3124" spans="1:11" ht="18.75" customHeight="1" outlineLevel="2">
      <c r="A3124" s="791" t="s">
        <v>776</v>
      </c>
      <c r="B3124" s="791" t="s">
        <v>1036</v>
      </c>
      <c r="C3124" s="791" t="s">
        <v>1022</v>
      </c>
      <c r="D3124" s="792" t="s">
        <v>779</v>
      </c>
      <c r="E3124" s="793" t="s">
        <v>947</v>
      </c>
      <c r="F3124" s="793" t="s">
        <v>952</v>
      </c>
      <c r="G3124" s="793" t="s">
        <v>782</v>
      </c>
      <c r="H3124" s="793" t="s">
        <v>804</v>
      </c>
      <c r="I3124" s="794">
        <v>5.1537627916695271E-2</v>
      </c>
      <c r="J3124" s="794">
        <v>2642.1283346409759</v>
      </c>
      <c r="K3124" s="771"/>
    </row>
    <row r="3125" spans="1:11" ht="18.75" customHeight="1" outlineLevel="2">
      <c r="A3125" s="791" t="s">
        <v>776</v>
      </c>
      <c r="B3125" s="791" t="s">
        <v>1036</v>
      </c>
      <c r="C3125" s="791" t="s">
        <v>1022</v>
      </c>
      <c r="D3125" s="792" t="s">
        <v>779</v>
      </c>
      <c r="E3125" s="793" t="s">
        <v>947</v>
      </c>
      <c r="F3125" s="793" t="s">
        <v>953</v>
      </c>
      <c r="G3125" s="793" t="s">
        <v>782</v>
      </c>
      <c r="H3125" s="793" t="s">
        <v>804</v>
      </c>
      <c r="I3125" s="794">
        <v>3.9123617787913748E-2</v>
      </c>
      <c r="J3125" s="794">
        <v>2874.8150449029322</v>
      </c>
      <c r="K3125" s="771"/>
    </row>
    <row r="3126" spans="1:11" ht="18.75" customHeight="1" outlineLevel="2">
      <c r="A3126" s="791" t="s">
        <v>776</v>
      </c>
      <c r="B3126" s="791" t="s">
        <v>1036</v>
      </c>
      <c r="C3126" s="791" t="s">
        <v>1022</v>
      </c>
      <c r="D3126" s="792" t="s">
        <v>779</v>
      </c>
      <c r="E3126" s="793" t="s">
        <v>947</v>
      </c>
      <c r="F3126" s="793" t="s">
        <v>954</v>
      </c>
      <c r="G3126" s="793" t="s">
        <v>782</v>
      </c>
      <c r="H3126" s="793" t="s">
        <v>804</v>
      </c>
      <c r="I3126" s="794">
        <v>4.4201505634832742E-3</v>
      </c>
      <c r="J3126" s="794">
        <v>158.74189000179672</v>
      </c>
      <c r="K3126" s="771"/>
    </row>
    <row r="3127" spans="1:11" ht="18.75" customHeight="1" outlineLevel="2">
      <c r="A3127" s="791" t="s">
        <v>776</v>
      </c>
      <c r="B3127" s="791" t="s">
        <v>1036</v>
      </c>
      <c r="C3127" s="791" t="s">
        <v>1022</v>
      </c>
      <c r="D3127" s="792" t="s">
        <v>779</v>
      </c>
      <c r="E3127" s="793" t="s">
        <v>947</v>
      </c>
      <c r="F3127" s="793" t="s">
        <v>955</v>
      </c>
      <c r="G3127" s="793" t="s">
        <v>782</v>
      </c>
      <c r="H3127" s="793" t="s">
        <v>804</v>
      </c>
      <c r="I3127" s="794">
        <v>2.3510380151836523E-3</v>
      </c>
      <c r="J3127" s="794">
        <v>108.09639163896722</v>
      </c>
      <c r="K3127" s="771"/>
    </row>
    <row r="3128" spans="1:11" ht="18.75" customHeight="1" outlineLevel="2">
      <c r="A3128" s="791" t="s">
        <v>776</v>
      </c>
      <c r="B3128" s="791" t="s">
        <v>1036</v>
      </c>
      <c r="C3128" s="791" t="s">
        <v>1022</v>
      </c>
      <c r="D3128" s="792" t="s">
        <v>779</v>
      </c>
      <c r="E3128" s="793" t="s">
        <v>947</v>
      </c>
      <c r="F3128" s="793" t="s">
        <v>956</v>
      </c>
      <c r="G3128" s="793" t="s">
        <v>782</v>
      </c>
      <c r="H3128" s="793" t="s">
        <v>804</v>
      </c>
      <c r="I3128" s="794">
        <v>1.249567498661115E-2</v>
      </c>
      <c r="J3128" s="794">
        <v>296.84309742760109</v>
      </c>
      <c r="K3128" s="771"/>
    </row>
    <row r="3129" spans="1:11" ht="18.75" customHeight="1" outlineLevel="2">
      <c r="A3129" s="791" t="s">
        <v>776</v>
      </c>
      <c r="B3129" s="791" t="s">
        <v>1036</v>
      </c>
      <c r="C3129" s="791" t="s">
        <v>1022</v>
      </c>
      <c r="D3129" s="792" t="s">
        <v>779</v>
      </c>
      <c r="E3129" s="793" t="s">
        <v>947</v>
      </c>
      <c r="F3129" s="793" t="s">
        <v>957</v>
      </c>
      <c r="G3129" s="793" t="s">
        <v>782</v>
      </c>
      <c r="H3129" s="793" t="s">
        <v>804</v>
      </c>
      <c r="I3129" s="794">
        <v>3.5821529434770433E-2</v>
      </c>
      <c r="J3129" s="794">
        <v>1270.2702317159574</v>
      </c>
      <c r="K3129" s="771"/>
    </row>
    <row r="3130" spans="1:11" ht="18.75" customHeight="1" outlineLevel="2">
      <c r="A3130" s="791" t="s">
        <v>776</v>
      </c>
      <c r="B3130" s="791" t="s">
        <v>1036</v>
      </c>
      <c r="C3130" s="791" t="s">
        <v>1022</v>
      </c>
      <c r="D3130" s="792" t="s">
        <v>779</v>
      </c>
      <c r="E3130" s="793" t="s">
        <v>947</v>
      </c>
      <c r="F3130" s="793" t="s">
        <v>958</v>
      </c>
      <c r="G3130" s="793" t="s">
        <v>782</v>
      </c>
      <c r="H3130" s="793" t="s">
        <v>804</v>
      </c>
      <c r="I3130" s="794">
        <v>2.5324638875685462E-2</v>
      </c>
      <c r="J3130" s="794">
        <v>1394.6780400249866</v>
      </c>
      <c r="K3130" s="771"/>
    </row>
    <row r="3131" spans="1:11" ht="18.75" customHeight="1" outlineLevel="2">
      <c r="A3131" s="791" t="s">
        <v>776</v>
      </c>
      <c r="B3131" s="791" t="s">
        <v>1036</v>
      </c>
      <c r="C3131" s="791" t="s">
        <v>1022</v>
      </c>
      <c r="D3131" s="792" t="s">
        <v>779</v>
      </c>
      <c r="E3131" s="793" t="s">
        <v>947</v>
      </c>
      <c r="F3131" s="793" t="s">
        <v>959</v>
      </c>
      <c r="G3131" s="793" t="s">
        <v>782</v>
      </c>
      <c r="H3131" s="793" t="s">
        <v>804</v>
      </c>
      <c r="I3131" s="794">
        <v>0.13884143384553504</v>
      </c>
      <c r="J3131" s="794">
        <v>10709.001239914822</v>
      </c>
      <c r="K3131" s="771"/>
    </row>
    <row r="3132" spans="1:11" ht="18.75" customHeight="1" outlineLevel="2">
      <c r="A3132" s="791" t="s">
        <v>776</v>
      </c>
      <c r="B3132" s="791" t="s">
        <v>1036</v>
      </c>
      <c r="C3132" s="791" t="s">
        <v>1022</v>
      </c>
      <c r="D3132" s="792" t="s">
        <v>779</v>
      </c>
      <c r="E3132" s="793" t="s">
        <v>947</v>
      </c>
      <c r="F3132" s="793" t="s">
        <v>960</v>
      </c>
      <c r="G3132" s="793" t="s">
        <v>782</v>
      </c>
      <c r="H3132" s="793" t="s">
        <v>804</v>
      </c>
      <c r="I3132" s="794">
        <v>2.9366008966296006E-3</v>
      </c>
      <c r="J3132" s="794">
        <v>89.046625759310515</v>
      </c>
      <c r="K3132" s="771"/>
    </row>
    <row r="3133" spans="1:11" ht="18.75" customHeight="1" outlineLevel="2">
      <c r="A3133" s="791" t="s">
        <v>776</v>
      </c>
      <c r="B3133" s="791" t="s">
        <v>1036</v>
      </c>
      <c r="C3133" s="791" t="s">
        <v>1022</v>
      </c>
      <c r="D3133" s="792" t="s">
        <v>779</v>
      </c>
      <c r="E3133" s="793" t="s">
        <v>947</v>
      </c>
      <c r="F3133" s="793" t="s">
        <v>961</v>
      </c>
      <c r="G3133" s="793" t="s">
        <v>782</v>
      </c>
      <c r="H3133" s="793" t="s">
        <v>804</v>
      </c>
      <c r="I3133" s="794">
        <v>1.1564655660104919E-3</v>
      </c>
      <c r="J3133" s="794">
        <v>54.523439530473368</v>
      </c>
      <c r="K3133" s="771"/>
    </row>
    <row r="3134" spans="1:11" ht="18.75" customHeight="1" outlineLevel="2">
      <c r="A3134" s="791" t="s">
        <v>776</v>
      </c>
      <c r="B3134" s="791" t="s">
        <v>1036</v>
      </c>
      <c r="C3134" s="791" t="s">
        <v>1022</v>
      </c>
      <c r="D3134" s="792" t="s">
        <v>779</v>
      </c>
      <c r="E3134" s="793" t="s">
        <v>947</v>
      </c>
      <c r="F3134" s="793" t="s">
        <v>962</v>
      </c>
      <c r="G3134" s="793" t="s">
        <v>782</v>
      </c>
      <c r="H3134" s="793" t="s">
        <v>804</v>
      </c>
      <c r="I3134" s="794">
        <v>4.0969952307804876E-2</v>
      </c>
      <c r="J3134" s="794">
        <v>2447.8031943136175</v>
      </c>
      <c r="K3134" s="771"/>
    </row>
    <row r="3135" spans="1:11" ht="18.75" customHeight="1" outlineLevel="2">
      <c r="A3135" s="791" t="s">
        <v>776</v>
      </c>
      <c r="B3135" s="791" t="s">
        <v>1036</v>
      </c>
      <c r="C3135" s="791" t="s">
        <v>1022</v>
      </c>
      <c r="D3135" s="792" t="s">
        <v>779</v>
      </c>
      <c r="E3135" s="793" t="s">
        <v>947</v>
      </c>
      <c r="F3135" s="793" t="s">
        <v>963</v>
      </c>
      <c r="G3135" s="793" t="s">
        <v>782</v>
      </c>
      <c r="H3135" s="793" t="s">
        <v>804</v>
      </c>
      <c r="I3135" s="794">
        <v>3.5222438414986276E-2</v>
      </c>
      <c r="J3135" s="794">
        <v>2664.465401302386</v>
      </c>
      <c r="K3135" s="771"/>
    </row>
    <row r="3136" spans="1:11" ht="18.75" customHeight="1" outlineLevel="2">
      <c r="A3136" s="791" t="s">
        <v>776</v>
      </c>
      <c r="B3136" s="791" t="s">
        <v>1036</v>
      </c>
      <c r="C3136" s="791" t="s">
        <v>1022</v>
      </c>
      <c r="D3136" s="792" t="s">
        <v>779</v>
      </c>
      <c r="E3136" s="793" t="s">
        <v>947</v>
      </c>
      <c r="F3136" s="793" t="s">
        <v>964</v>
      </c>
      <c r="G3136" s="793" t="s">
        <v>782</v>
      </c>
      <c r="H3136" s="793" t="s">
        <v>804</v>
      </c>
      <c r="I3136" s="794">
        <v>0.1286004826618786</v>
      </c>
      <c r="J3136" s="794">
        <v>9165.3833182763592</v>
      </c>
      <c r="K3136" s="771"/>
    </row>
    <row r="3137" spans="1:11" ht="18.75" customHeight="1" outlineLevel="2">
      <c r="A3137" s="791" t="s">
        <v>776</v>
      </c>
      <c r="B3137" s="791" t="s">
        <v>1036</v>
      </c>
      <c r="C3137" s="791" t="s">
        <v>1022</v>
      </c>
      <c r="D3137" s="792" t="s">
        <v>779</v>
      </c>
      <c r="E3137" s="793" t="s">
        <v>947</v>
      </c>
      <c r="F3137" s="793" t="s">
        <v>965</v>
      </c>
      <c r="G3137" s="793" t="s">
        <v>782</v>
      </c>
      <c r="H3137" s="793" t="s">
        <v>804</v>
      </c>
      <c r="I3137" s="794">
        <v>8.8522257321483333E-3</v>
      </c>
      <c r="J3137" s="794">
        <v>430.97241252127503</v>
      </c>
      <c r="K3137" s="771"/>
    </row>
    <row r="3138" spans="1:11" ht="18.75" customHeight="1" outlineLevel="2">
      <c r="A3138" s="791" t="s">
        <v>776</v>
      </c>
      <c r="B3138" s="791" t="s">
        <v>1036</v>
      </c>
      <c r="C3138" s="791" t="s">
        <v>1022</v>
      </c>
      <c r="D3138" s="792" t="s">
        <v>779</v>
      </c>
      <c r="E3138" s="793" t="s">
        <v>947</v>
      </c>
      <c r="F3138" s="793" t="s">
        <v>966</v>
      </c>
      <c r="G3138" s="793" t="s">
        <v>782</v>
      </c>
      <c r="H3138" s="793" t="s">
        <v>804</v>
      </c>
      <c r="I3138" s="794">
        <v>7.4435854460639064E-2</v>
      </c>
      <c r="J3138" s="794">
        <v>3428.1532978238888</v>
      </c>
      <c r="K3138" s="771"/>
    </row>
    <row r="3139" spans="1:11" ht="18.75" customHeight="1" outlineLevel="2">
      <c r="A3139" s="791" t="s">
        <v>776</v>
      </c>
      <c r="B3139" s="791" t="s">
        <v>1036</v>
      </c>
      <c r="C3139" s="791" t="s">
        <v>1022</v>
      </c>
      <c r="D3139" s="792" t="s">
        <v>779</v>
      </c>
      <c r="E3139" s="793" t="s">
        <v>947</v>
      </c>
      <c r="F3139" s="793" t="s">
        <v>967</v>
      </c>
      <c r="G3139" s="793" t="s">
        <v>782</v>
      </c>
      <c r="H3139" s="793" t="s">
        <v>804</v>
      </c>
      <c r="I3139" s="794">
        <v>0.18186965364051361</v>
      </c>
      <c r="J3139" s="794">
        <v>11655.065623880275</v>
      </c>
      <c r="K3139" s="771"/>
    </row>
    <row r="3140" spans="1:11" ht="18.75" customHeight="1" outlineLevel="2">
      <c r="A3140" s="791" t="s">
        <v>776</v>
      </c>
      <c r="B3140" s="791" t="s">
        <v>1036</v>
      </c>
      <c r="C3140" s="791" t="s">
        <v>1022</v>
      </c>
      <c r="D3140" s="792" t="s">
        <v>779</v>
      </c>
      <c r="E3140" s="793" t="s">
        <v>947</v>
      </c>
      <c r="F3140" s="793" t="s">
        <v>968</v>
      </c>
      <c r="G3140" s="793" t="s">
        <v>782</v>
      </c>
      <c r="H3140" s="793" t="s">
        <v>804</v>
      </c>
      <c r="I3140" s="794">
        <v>0.39833935309172153</v>
      </c>
      <c r="J3140" s="794">
        <v>7818.9570710324242</v>
      </c>
      <c r="K3140" s="771"/>
    </row>
    <row r="3141" spans="1:11" ht="18.75" customHeight="1" outlineLevel="2">
      <c r="A3141" s="791" t="s">
        <v>776</v>
      </c>
      <c r="B3141" s="791" t="s">
        <v>1036</v>
      </c>
      <c r="C3141" s="791" t="s">
        <v>1022</v>
      </c>
      <c r="D3141" s="792" t="s">
        <v>779</v>
      </c>
      <c r="E3141" s="793" t="s">
        <v>947</v>
      </c>
      <c r="F3141" s="793" t="s">
        <v>969</v>
      </c>
      <c r="G3141" s="793" t="s">
        <v>782</v>
      </c>
      <c r="H3141" s="793" t="s">
        <v>804</v>
      </c>
      <c r="I3141" s="794">
        <v>0.14645987300042349</v>
      </c>
      <c r="J3141" s="794">
        <v>10661.920590182797</v>
      </c>
      <c r="K3141" s="771"/>
    </row>
    <row r="3142" spans="1:11" ht="18.75" customHeight="1" outlineLevel="2">
      <c r="A3142" s="791" t="s">
        <v>776</v>
      </c>
      <c r="B3142" s="791" t="s">
        <v>1036</v>
      </c>
      <c r="C3142" s="791" t="s">
        <v>1022</v>
      </c>
      <c r="D3142" s="792" t="s">
        <v>779</v>
      </c>
      <c r="E3142" s="793" t="s">
        <v>947</v>
      </c>
      <c r="F3142" s="793" t="s">
        <v>970</v>
      </c>
      <c r="G3142" s="793" t="s">
        <v>782</v>
      </c>
      <c r="H3142" s="793" t="s">
        <v>804</v>
      </c>
      <c r="I3142" s="794">
        <v>0.26667496619324077</v>
      </c>
      <c r="J3142" s="794">
        <v>6137.4815084868824</v>
      </c>
      <c r="K3142" s="771"/>
    </row>
    <row r="3143" spans="1:11" ht="18.75" customHeight="1" outlineLevel="2">
      <c r="A3143" s="791" t="s">
        <v>776</v>
      </c>
      <c r="B3143" s="791" t="s">
        <v>1036</v>
      </c>
      <c r="C3143" s="791" t="s">
        <v>1022</v>
      </c>
      <c r="D3143" s="792" t="s">
        <v>779</v>
      </c>
      <c r="E3143" s="793" t="s">
        <v>947</v>
      </c>
      <c r="F3143" s="793" t="s">
        <v>971</v>
      </c>
      <c r="G3143" s="793" t="s">
        <v>782</v>
      </c>
      <c r="H3143" s="793" t="s">
        <v>804</v>
      </c>
      <c r="I3143" s="794">
        <v>1.5654338700731383E-2</v>
      </c>
      <c r="J3143" s="794">
        <v>1144.037342078816</v>
      </c>
      <c r="K3143" s="771"/>
    </row>
    <row r="3144" spans="1:11" ht="18.75" customHeight="1" outlineLevel="2">
      <c r="A3144" s="791" t="s">
        <v>776</v>
      </c>
      <c r="B3144" s="791" t="s">
        <v>1036</v>
      </c>
      <c r="C3144" s="791" t="s">
        <v>1022</v>
      </c>
      <c r="D3144" s="792" t="s">
        <v>779</v>
      </c>
      <c r="E3144" s="793" t="s">
        <v>947</v>
      </c>
      <c r="F3144" s="793" t="s">
        <v>972</v>
      </c>
      <c r="G3144" s="793" t="s">
        <v>782</v>
      </c>
      <c r="H3144" s="793" t="s">
        <v>804</v>
      </c>
      <c r="I3144" s="794">
        <v>8.130734149391155E-4</v>
      </c>
      <c r="J3144" s="794">
        <v>18.769445911469365</v>
      </c>
      <c r="K3144" s="771"/>
    </row>
    <row r="3145" spans="1:11" ht="18.75" customHeight="1" outlineLevel="2">
      <c r="A3145" s="791" t="s">
        <v>776</v>
      </c>
      <c r="B3145" s="791" t="s">
        <v>1036</v>
      </c>
      <c r="C3145" s="791" t="s">
        <v>1022</v>
      </c>
      <c r="D3145" s="792" t="s">
        <v>779</v>
      </c>
      <c r="E3145" s="793" t="s">
        <v>947</v>
      </c>
      <c r="F3145" s="793" t="s">
        <v>973</v>
      </c>
      <c r="G3145" s="793" t="s">
        <v>782</v>
      </c>
      <c r="H3145" s="793" t="s">
        <v>804</v>
      </c>
      <c r="I3145" s="794">
        <v>2.2197647202075267E-2</v>
      </c>
      <c r="J3145" s="794">
        <v>1193.3431031545442</v>
      </c>
      <c r="K3145" s="771"/>
    </row>
    <row r="3146" spans="1:11" ht="18.75" customHeight="1" outlineLevel="2">
      <c r="A3146" s="791" t="s">
        <v>776</v>
      </c>
      <c r="B3146" s="791" t="s">
        <v>1036</v>
      </c>
      <c r="C3146" s="791" t="s">
        <v>1022</v>
      </c>
      <c r="D3146" s="792" t="s">
        <v>779</v>
      </c>
      <c r="E3146" s="793" t="s">
        <v>947</v>
      </c>
      <c r="F3146" s="793" t="s">
        <v>974</v>
      </c>
      <c r="G3146" s="793" t="s">
        <v>785</v>
      </c>
      <c r="H3146" s="793" t="s">
        <v>727</v>
      </c>
      <c r="I3146" s="794">
        <v>1.128329490163211E-2</v>
      </c>
      <c r="J3146" s="794">
        <v>272.97291825900976</v>
      </c>
      <c r="K3146" s="771"/>
    </row>
    <row r="3147" spans="1:11" ht="18.75" customHeight="1" outlineLevel="2">
      <c r="A3147" s="791" t="s">
        <v>776</v>
      </c>
      <c r="B3147" s="791" t="s">
        <v>1036</v>
      </c>
      <c r="C3147" s="791" t="s">
        <v>1022</v>
      </c>
      <c r="D3147" s="792" t="s">
        <v>779</v>
      </c>
      <c r="E3147" s="793" t="s">
        <v>947</v>
      </c>
      <c r="F3147" s="793" t="s">
        <v>975</v>
      </c>
      <c r="G3147" s="793" t="s">
        <v>785</v>
      </c>
      <c r="H3147" s="793" t="s">
        <v>727</v>
      </c>
      <c r="I3147" s="794">
        <v>5.6152791705494594E-2</v>
      </c>
      <c r="J3147" s="794">
        <v>3960.1809501867065</v>
      </c>
      <c r="K3147" s="771"/>
    </row>
    <row r="3148" spans="1:11" ht="18.75" customHeight="1" outlineLevel="2">
      <c r="A3148" s="791" t="s">
        <v>776</v>
      </c>
      <c r="B3148" s="791" t="s">
        <v>1036</v>
      </c>
      <c r="C3148" s="791" t="s">
        <v>1022</v>
      </c>
      <c r="D3148" s="792" t="s">
        <v>779</v>
      </c>
      <c r="E3148" s="793" t="s">
        <v>947</v>
      </c>
      <c r="F3148" s="793" t="s">
        <v>976</v>
      </c>
      <c r="G3148" s="793" t="s">
        <v>785</v>
      </c>
      <c r="H3148" s="793" t="s">
        <v>727</v>
      </c>
      <c r="I3148" s="794">
        <v>3.2986803067590227E-2</v>
      </c>
      <c r="J3148" s="794">
        <v>1729.7257548781479</v>
      </c>
      <c r="K3148" s="771"/>
    </row>
    <row r="3149" spans="1:11" ht="18.75" customHeight="1" outlineLevel="2">
      <c r="A3149" s="791" t="s">
        <v>776</v>
      </c>
      <c r="B3149" s="791" t="s">
        <v>1036</v>
      </c>
      <c r="C3149" s="791" t="s">
        <v>1022</v>
      </c>
      <c r="D3149" s="792" t="s">
        <v>779</v>
      </c>
      <c r="E3149" s="793" t="s">
        <v>947</v>
      </c>
      <c r="F3149" s="793" t="s">
        <v>977</v>
      </c>
      <c r="G3149" s="793" t="s">
        <v>785</v>
      </c>
      <c r="H3149" s="793" t="s">
        <v>727</v>
      </c>
      <c r="I3149" s="794">
        <v>3.9045710913328861E-2</v>
      </c>
      <c r="J3149" s="794">
        <v>1754.0093526198004</v>
      </c>
      <c r="K3149" s="771"/>
    </row>
    <row r="3150" spans="1:11" ht="18.75" customHeight="1" outlineLevel="2">
      <c r="A3150" s="791" t="s">
        <v>776</v>
      </c>
      <c r="B3150" s="791" t="s">
        <v>1036</v>
      </c>
      <c r="C3150" s="791" t="s">
        <v>1022</v>
      </c>
      <c r="D3150" s="792" t="s">
        <v>779</v>
      </c>
      <c r="E3150" s="793" t="s">
        <v>947</v>
      </c>
      <c r="F3150" s="793" t="s">
        <v>978</v>
      </c>
      <c r="G3150" s="793" t="s">
        <v>785</v>
      </c>
      <c r="H3150" s="793" t="s">
        <v>727</v>
      </c>
      <c r="I3150" s="794">
        <v>2.4729779288168029E-3</v>
      </c>
      <c r="J3150" s="794">
        <v>67.645425790350217</v>
      </c>
      <c r="K3150" s="771"/>
    </row>
    <row r="3151" spans="1:11" ht="18.75" customHeight="1" outlineLevel="2">
      <c r="A3151" s="791" t="s">
        <v>776</v>
      </c>
      <c r="B3151" s="791" t="s">
        <v>1036</v>
      </c>
      <c r="C3151" s="791" t="s">
        <v>1022</v>
      </c>
      <c r="D3151" s="792" t="s">
        <v>779</v>
      </c>
      <c r="E3151" s="793" t="s">
        <v>947</v>
      </c>
      <c r="F3151" s="793" t="s">
        <v>979</v>
      </c>
      <c r="G3151" s="793" t="s">
        <v>785</v>
      </c>
      <c r="H3151" s="793" t="s">
        <v>727</v>
      </c>
      <c r="I3151" s="794">
        <v>0.48533230364111429</v>
      </c>
      <c r="J3151" s="794">
        <v>15951.115440468559</v>
      </c>
      <c r="K3151" s="771"/>
    </row>
    <row r="3152" spans="1:11" ht="18.75" customHeight="1" outlineLevel="2">
      <c r="A3152" s="791" t="s">
        <v>776</v>
      </c>
      <c r="B3152" s="791" t="s">
        <v>1036</v>
      </c>
      <c r="C3152" s="791" t="s">
        <v>1022</v>
      </c>
      <c r="D3152" s="792" t="s">
        <v>779</v>
      </c>
      <c r="E3152" s="793" t="s">
        <v>947</v>
      </c>
      <c r="F3152" s="793" t="s">
        <v>980</v>
      </c>
      <c r="G3152" s="793" t="s">
        <v>785</v>
      </c>
      <c r="H3152" s="793" t="s">
        <v>727</v>
      </c>
      <c r="I3152" s="794">
        <v>3.0788816656114448E-2</v>
      </c>
      <c r="J3152" s="794">
        <v>2495.9597156394261</v>
      </c>
      <c r="K3152" s="771"/>
    </row>
    <row r="3153" spans="1:11" ht="18.75" customHeight="1" outlineLevel="2">
      <c r="A3153" s="791" t="s">
        <v>776</v>
      </c>
      <c r="B3153" s="791" t="s">
        <v>1036</v>
      </c>
      <c r="C3153" s="791" t="s">
        <v>1022</v>
      </c>
      <c r="D3153" s="792" t="s">
        <v>779</v>
      </c>
      <c r="E3153" s="793" t="s">
        <v>947</v>
      </c>
      <c r="F3153" s="793" t="s">
        <v>981</v>
      </c>
      <c r="G3153" s="793" t="s">
        <v>813</v>
      </c>
      <c r="H3153" s="793" t="s">
        <v>814</v>
      </c>
      <c r="I3153" s="794">
        <v>4.4771802303681176E-5</v>
      </c>
      <c r="J3153" s="794">
        <v>1.122155299648097</v>
      </c>
      <c r="K3153" s="771"/>
    </row>
    <row r="3154" spans="1:11" ht="18.75" customHeight="1" outlineLevel="2">
      <c r="A3154" s="791" t="s">
        <v>776</v>
      </c>
      <c r="B3154" s="791" t="s">
        <v>1036</v>
      </c>
      <c r="C3154" s="791" t="s">
        <v>1022</v>
      </c>
      <c r="D3154" s="792" t="s">
        <v>779</v>
      </c>
      <c r="E3154" s="793" t="s">
        <v>947</v>
      </c>
      <c r="F3154" s="793" t="s">
        <v>982</v>
      </c>
      <c r="G3154" s="793" t="s">
        <v>813</v>
      </c>
      <c r="H3154" s="793" t="s">
        <v>814</v>
      </c>
      <c r="I3154" s="794">
        <v>5.2620182844057561E-3</v>
      </c>
      <c r="J3154" s="794">
        <v>294.75665444937567</v>
      </c>
      <c r="K3154" s="771"/>
    </row>
    <row r="3155" spans="1:11" ht="18.75" customHeight="1" outlineLevel="2">
      <c r="A3155" s="791" t="s">
        <v>776</v>
      </c>
      <c r="B3155" s="791" t="s">
        <v>1036</v>
      </c>
      <c r="C3155" s="791" t="s">
        <v>1022</v>
      </c>
      <c r="D3155" s="792" t="s">
        <v>779</v>
      </c>
      <c r="E3155" s="793" t="s">
        <v>947</v>
      </c>
      <c r="F3155" s="793" t="s">
        <v>983</v>
      </c>
      <c r="G3155" s="793" t="s">
        <v>813</v>
      </c>
      <c r="H3155" s="793" t="s">
        <v>814</v>
      </c>
      <c r="I3155" s="794">
        <v>0.35408420390102402</v>
      </c>
      <c r="J3155" s="794">
        <v>7866.0326044661315</v>
      </c>
      <c r="K3155" s="771"/>
    </row>
    <row r="3156" spans="1:11" ht="18.75" customHeight="1" outlineLevel="2">
      <c r="A3156" s="791" t="s">
        <v>776</v>
      </c>
      <c r="B3156" s="791" t="s">
        <v>1036</v>
      </c>
      <c r="C3156" s="791" t="s">
        <v>1022</v>
      </c>
      <c r="D3156" s="792" t="s">
        <v>779</v>
      </c>
      <c r="E3156" s="793" t="s">
        <v>947</v>
      </c>
      <c r="F3156" s="793" t="s">
        <v>984</v>
      </c>
      <c r="G3156" s="793" t="s">
        <v>813</v>
      </c>
      <c r="H3156" s="793" t="s">
        <v>814</v>
      </c>
      <c r="I3156" s="794">
        <v>9.3117844193037619E-2</v>
      </c>
      <c r="J3156" s="794">
        <v>1623.799649598833</v>
      </c>
      <c r="K3156" s="771"/>
    </row>
    <row r="3157" spans="1:11" ht="18.75" customHeight="1" outlineLevel="2">
      <c r="A3157" s="791" t="s">
        <v>776</v>
      </c>
      <c r="B3157" s="791" t="s">
        <v>1036</v>
      </c>
      <c r="C3157" s="791" t="s">
        <v>1022</v>
      </c>
      <c r="D3157" s="792" t="s">
        <v>779</v>
      </c>
      <c r="E3157" s="793" t="s">
        <v>947</v>
      </c>
      <c r="F3157" s="793" t="s">
        <v>985</v>
      </c>
      <c r="G3157" s="793" t="s">
        <v>813</v>
      </c>
      <c r="H3157" s="793" t="s">
        <v>814</v>
      </c>
      <c r="I3157" s="794">
        <v>0.22009409456699333</v>
      </c>
      <c r="J3157" s="794">
        <v>10722.969621958462</v>
      </c>
      <c r="K3157" s="771"/>
    </row>
    <row r="3158" spans="1:11" ht="18.75" customHeight="1" outlineLevel="2">
      <c r="A3158" s="791" t="s">
        <v>776</v>
      </c>
      <c r="B3158" s="791" t="s">
        <v>1036</v>
      </c>
      <c r="C3158" s="791" t="s">
        <v>1022</v>
      </c>
      <c r="D3158" s="792" t="s">
        <v>779</v>
      </c>
      <c r="E3158" s="793" t="s">
        <v>947</v>
      </c>
      <c r="F3158" s="793" t="s">
        <v>986</v>
      </c>
      <c r="G3158" s="793" t="s">
        <v>813</v>
      </c>
      <c r="H3158" s="793" t="s">
        <v>814</v>
      </c>
      <c r="I3158" s="794">
        <v>3.7745198625914925E-2</v>
      </c>
      <c r="J3158" s="794">
        <v>1263.4357494907467</v>
      </c>
      <c r="K3158" s="771"/>
    </row>
    <row r="3159" spans="1:11" ht="18.75" customHeight="1" outlineLevel="2">
      <c r="A3159" s="791" t="s">
        <v>776</v>
      </c>
      <c r="B3159" s="791" t="s">
        <v>1036</v>
      </c>
      <c r="C3159" s="791" t="s">
        <v>1022</v>
      </c>
      <c r="D3159" s="792" t="s">
        <v>779</v>
      </c>
      <c r="E3159" s="793" t="s">
        <v>947</v>
      </c>
      <c r="F3159" s="793" t="s">
        <v>987</v>
      </c>
      <c r="G3159" s="793" t="s">
        <v>813</v>
      </c>
      <c r="H3159" s="793" t="s">
        <v>814</v>
      </c>
      <c r="I3159" s="794">
        <v>1.0612010115399228E-3</v>
      </c>
      <c r="J3159" s="794">
        <v>32.081405871843408</v>
      </c>
      <c r="K3159" s="771"/>
    </row>
    <row r="3160" spans="1:11" ht="18.75" customHeight="1" outlineLevel="2">
      <c r="A3160" s="791" t="s">
        <v>776</v>
      </c>
      <c r="B3160" s="791" t="s">
        <v>1036</v>
      </c>
      <c r="C3160" s="791" t="s">
        <v>1022</v>
      </c>
      <c r="D3160" s="792" t="s">
        <v>779</v>
      </c>
      <c r="E3160" s="793" t="s">
        <v>947</v>
      </c>
      <c r="F3160" s="793" t="s">
        <v>988</v>
      </c>
      <c r="G3160" s="793" t="s">
        <v>791</v>
      </c>
      <c r="H3160" s="793" t="s">
        <v>826</v>
      </c>
      <c r="I3160" s="794">
        <v>6.9521651951528032E-6</v>
      </c>
      <c r="J3160" s="794">
        <v>5.9422956792680802E-2</v>
      </c>
      <c r="K3160" s="771"/>
    </row>
    <row r="3161" spans="1:11" ht="18.75" customHeight="1" outlineLevel="2">
      <c r="A3161" s="791" t="s">
        <v>776</v>
      </c>
      <c r="B3161" s="791" t="s">
        <v>1036</v>
      </c>
      <c r="C3161" s="791" t="s">
        <v>1022</v>
      </c>
      <c r="D3161" s="792" t="s">
        <v>779</v>
      </c>
      <c r="E3161" s="793" t="s">
        <v>947</v>
      </c>
      <c r="F3161" s="793" t="s">
        <v>989</v>
      </c>
      <c r="G3161" s="793" t="s">
        <v>791</v>
      </c>
      <c r="H3161" s="793" t="s">
        <v>826</v>
      </c>
      <c r="I3161" s="794">
        <v>4.2053825991118669E-2</v>
      </c>
      <c r="J3161" s="794">
        <v>2467.3715136260125</v>
      </c>
      <c r="K3161" s="771"/>
    </row>
    <row r="3162" spans="1:11" ht="18.75" customHeight="1" outlineLevel="2">
      <c r="A3162" s="791" t="s">
        <v>776</v>
      </c>
      <c r="B3162" s="791" t="s">
        <v>1036</v>
      </c>
      <c r="C3162" s="791" t="s">
        <v>1022</v>
      </c>
      <c r="D3162" s="792" t="s">
        <v>779</v>
      </c>
      <c r="E3162" s="793" t="s">
        <v>947</v>
      </c>
      <c r="F3162" s="793" t="s">
        <v>990</v>
      </c>
      <c r="G3162" s="793" t="s">
        <v>791</v>
      </c>
      <c r="H3162" s="793" t="s">
        <v>826</v>
      </c>
      <c r="I3162" s="794">
        <v>2.0071873049639631E-3</v>
      </c>
      <c r="J3162" s="794">
        <v>221.22086749603591</v>
      </c>
      <c r="K3162" s="771"/>
    </row>
    <row r="3163" spans="1:11" ht="18.75" customHeight="1" outlineLevel="2">
      <c r="A3163" s="791" t="s">
        <v>776</v>
      </c>
      <c r="B3163" s="791" t="s">
        <v>1036</v>
      </c>
      <c r="C3163" s="791" t="s">
        <v>1022</v>
      </c>
      <c r="D3163" s="792" t="s">
        <v>779</v>
      </c>
      <c r="E3163" s="793" t="s">
        <v>947</v>
      </c>
      <c r="F3163" s="793" t="s">
        <v>991</v>
      </c>
      <c r="G3163" s="793" t="s">
        <v>791</v>
      </c>
      <c r="H3163" s="793" t="s">
        <v>826</v>
      </c>
      <c r="I3163" s="794">
        <v>1.5943232529656411E-5</v>
      </c>
      <c r="J3163" s="794">
        <v>1.2244730130377606</v>
      </c>
      <c r="K3163" s="771"/>
    </row>
    <row r="3164" spans="1:11" ht="18.75" customHeight="1" outlineLevel="2">
      <c r="A3164" s="791" t="s">
        <v>776</v>
      </c>
      <c r="B3164" s="791" t="s">
        <v>1036</v>
      </c>
      <c r="C3164" s="791" t="s">
        <v>1022</v>
      </c>
      <c r="D3164" s="792" t="s">
        <v>779</v>
      </c>
      <c r="E3164" s="793" t="s">
        <v>947</v>
      </c>
      <c r="F3164" s="793" t="s">
        <v>992</v>
      </c>
      <c r="G3164" s="793" t="s">
        <v>791</v>
      </c>
      <c r="H3164" s="793" t="s">
        <v>826</v>
      </c>
      <c r="I3164" s="794">
        <v>3.1079045307301204E-6</v>
      </c>
      <c r="J3164" s="794">
        <v>0.25722439550407628</v>
      </c>
      <c r="K3164" s="771"/>
    </row>
    <row r="3165" spans="1:11" ht="18.75" customHeight="1" outlineLevel="2">
      <c r="A3165" s="791" t="s">
        <v>776</v>
      </c>
      <c r="B3165" s="791" t="s">
        <v>1036</v>
      </c>
      <c r="C3165" s="791" t="s">
        <v>1022</v>
      </c>
      <c r="D3165" s="792" t="s">
        <v>779</v>
      </c>
      <c r="E3165" s="793" t="s">
        <v>947</v>
      </c>
      <c r="F3165" s="793" t="s">
        <v>993</v>
      </c>
      <c r="G3165" s="793" t="s">
        <v>791</v>
      </c>
      <c r="H3165" s="793" t="s">
        <v>826</v>
      </c>
      <c r="I3165" s="794">
        <v>2.0403364622735296E-4</v>
      </c>
      <c r="J3165" s="794">
        <v>18.760493347415032</v>
      </c>
      <c r="K3165" s="771"/>
    </row>
    <row r="3166" spans="1:11" ht="18.75" customHeight="1" outlineLevel="2">
      <c r="A3166" s="791" t="s">
        <v>776</v>
      </c>
      <c r="B3166" s="791" t="s">
        <v>1036</v>
      </c>
      <c r="C3166" s="791" t="s">
        <v>1022</v>
      </c>
      <c r="D3166" s="792" t="s">
        <v>779</v>
      </c>
      <c r="E3166" s="793" t="s">
        <v>947</v>
      </c>
      <c r="F3166" s="793" t="s">
        <v>994</v>
      </c>
      <c r="G3166" s="793" t="s">
        <v>791</v>
      </c>
      <c r="H3166" s="793" t="s">
        <v>826</v>
      </c>
      <c r="I3166" s="794">
        <v>4.313793930659258E-7</v>
      </c>
      <c r="J3166" s="794">
        <v>5.1904496364726958E-2</v>
      </c>
      <c r="K3166" s="771"/>
    </row>
    <row r="3167" spans="1:11" ht="18.75" customHeight="1" outlineLevel="2">
      <c r="A3167" s="791" t="s">
        <v>776</v>
      </c>
      <c r="B3167" s="791" t="s">
        <v>1036</v>
      </c>
      <c r="C3167" s="791" t="s">
        <v>1022</v>
      </c>
      <c r="D3167" s="792" t="s">
        <v>779</v>
      </c>
      <c r="E3167" s="793" t="s">
        <v>947</v>
      </c>
      <c r="F3167" s="793" t="s">
        <v>995</v>
      </c>
      <c r="G3167" s="793" t="s">
        <v>791</v>
      </c>
      <c r="H3167" s="793" t="s">
        <v>826</v>
      </c>
      <c r="I3167" s="794">
        <v>1.8364305717965664E-4</v>
      </c>
      <c r="J3167" s="794">
        <v>17.346557086578926</v>
      </c>
      <c r="K3167" s="771"/>
    </row>
    <row r="3168" spans="1:11" ht="18.75" customHeight="1" outlineLevel="2">
      <c r="A3168" s="791" t="s">
        <v>776</v>
      </c>
      <c r="B3168" s="791" t="s">
        <v>1036</v>
      </c>
      <c r="C3168" s="791" t="s">
        <v>1022</v>
      </c>
      <c r="D3168" s="792" t="s">
        <v>779</v>
      </c>
      <c r="E3168" s="793" t="s">
        <v>947</v>
      </c>
      <c r="F3168" s="793" t="s">
        <v>996</v>
      </c>
      <c r="G3168" s="793" t="s">
        <v>791</v>
      </c>
      <c r="H3168" s="793" t="s">
        <v>826</v>
      </c>
      <c r="I3168" s="794">
        <v>5.4297328311837844E-4</v>
      </c>
      <c r="J3168" s="794">
        <v>48.272616251376043</v>
      </c>
      <c r="K3168" s="771"/>
    </row>
    <row r="3169" spans="1:11" ht="18.75" customHeight="1" outlineLevel="2">
      <c r="A3169" s="791" t="s">
        <v>776</v>
      </c>
      <c r="B3169" s="791" t="s">
        <v>1036</v>
      </c>
      <c r="C3169" s="791" t="s">
        <v>1022</v>
      </c>
      <c r="D3169" s="792" t="s">
        <v>779</v>
      </c>
      <c r="E3169" s="793" t="s">
        <v>947</v>
      </c>
      <c r="F3169" s="793" t="s">
        <v>997</v>
      </c>
      <c r="G3169" s="793" t="s">
        <v>791</v>
      </c>
      <c r="H3169" s="793" t="s">
        <v>826</v>
      </c>
      <c r="I3169" s="794">
        <v>8.2348343764655709E-4</v>
      </c>
      <c r="J3169" s="794">
        <v>35.594859500057652</v>
      </c>
      <c r="K3169" s="771"/>
    </row>
    <row r="3170" spans="1:11" ht="18.75" customHeight="1" outlineLevel="2">
      <c r="A3170" s="791" t="s">
        <v>776</v>
      </c>
      <c r="B3170" s="791" t="s">
        <v>1036</v>
      </c>
      <c r="C3170" s="791" t="s">
        <v>1022</v>
      </c>
      <c r="D3170" s="792" t="s">
        <v>779</v>
      </c>
      <c r="E3170" s="793" t="s">
        <v>947</v>
      </c>
      <c r="F3170" s="793" t="s">
        <v>998</v>
      </c>
      <c r="G3170" s="793" t="s">
        <v>794</v>
      </c>
      <c r="H3170" s="793" t="s">
        <v>828</v>
      </c>
      <c r="I3170" s="794">
        <v>0.15836197172530131</v>
      </c>
      <c r="J3170" s="794">
        <v>5790.8175792188167</v>
      </c>
      <c r="K3170" s="771"/>
    </row>
    <row r="3171" spans="1:11" ht="18.75" customHeight="1" outlineLevel="2">
      <c r="A3171" s="791" t="s">
        <v>776</v>
      </c>
      <c r="B3171" s="791" t="s">
        <v>1036</v>
      </c>
      <c r="C3171" s="791" t="s">
        <v>1022</v>
      </c>
      <c r="D3171" s="792" t="s">
        <v>779</v>
      </c>
      <c r="E3171" s="793" t="s">
        <v>947</v>
      </c>
      <c r="F3171" s="793" t="s">
        <v>999</v>
      </c>
      <c r="G3171" s="793" t="s">
        <v>794</v>
      </c>
      <c r="H3171" s="793" t="s">
        <v>828</v>
      </c>
      <c r="I3171" s="794">
        <v>3.7346622484413061E-2</v>
      </c>
      <c r="J3171" s="794">
        <v>1366.7385792248795</v>
      </c>
      <c r="K3171" s="771"/>
    </row>
    <row r="3172" spans="1:11" ht="18.75" customHeight="1" outlineLevel="2">
      <c r="A3172" s="791" t="s">
        <v>776</v>
      </c>
      <c r="B3172" s="791" t="s">
        <v>1036</v>
      </c>
      <c r="C3172" s="791" t="s">
        <v>1022</v>
      </c>
      <c r="D3172" s="792" t="s">
        <v>779</v>
      </c>
      <c r="E3172" s="793" t="s">
        <v>947</v>
      </c>
      <c r="F3172" s="793" t="s">
        <v>1000</v>
      </c>
      <c r="G3172" s="793" t="s">
        <v>794</v>
      </c>
      <c r="H3172" s="793" t="s">
        <v>828</v>
      </c>
      <c r="I3172" s="794">
        <v>0.10481628274995428</v>
      </c>
      <c r="J3172" s="794">
        <v>3791.8491599067211</v>
      </c>
      <c r="K3172" s="771"/>
    </row>
    <row r="3173" spans="1:11" ht="18.75" customHeight="1" outlineLevel="2">
      <c r="A3173" s="791" t="s">
        <v>776</v>
      </c>
      <c r="B3173" s="791" t="s">
        <v>1036</v>
      </c>
      <c r="C3173" s="791" t="s">
        <v>1022</v>
      </c>
      <c r="D3173" s="792" t="s">
        <v>779</v>
      </c>
      <c r="E3173" s="793" t="s">
        <v>947</v>
      </c>
      <c r="F3173" s="793" t="s">
        <v>1001</v>
      </c>
      <c r="G3173" s="793" t="s">
        <v>794</v>
      </c>
      <c r="H3173" s="793" t="s">
        <v>828</v>
      </c>
      <c r="I3173" s="794">
        <v>8.8508593663727569E-2</v>
      </c>
      <c r="J3173" s="794">
        <v>1925.2378485679487</v>
      </c>
      <c r="K3173" s="771"/>
    </row>
    <row r="3174" spans="1:11" ht="18.75" customHeight="1" outlineLevel="2">
      <c r="A3174" s="791" t="s">
        <v>776</v>
      </c>
      <c r="B3174" s="791" t="s">
        <v>1036</v>
      </c>
      <c r="C3174" s="791" t="s">
        <v>1022</v>
      </c>
      <c r="D3174" s="792" t="s">
        <v>779</v>
      </c>
      <c r="E3174" s="793" t="s">
        <v>947</v>
      </c>
      <c r="F3174" s="793" t="s">
        <v>1002</v>
      </c>
      <c r="G3174" s="793" t="s">
        <v>794</v>
      </c>
      <c r="H3174" s="793" t="s">
        <v>828</v>
      </c>
      <c r="I3174" s="794">
        <v>4.4028065605107901E-3</v>
      </c>
      <c r="J3174" s="794">
        <v>185.15958518344112</v>
      </c>
      <c r="K3174" s="771"/>
    </row>
    <row r="3175" spans="1:11" ht="18.75" customHeight="1" outlineLevel="2">
      <c r="A3175" s="791" t="s">
        <v>776</v>
      </c>
      <c r="B3175" s="791" t="s">
        <v>1036</v>
      </c>
      <c r="C3175" s="791" t="s">
        <v>1022</v>
      </c>
      <c r="D3175" s="792" t="s">
        <v>779</v>
      </c>
      <c r="E3175" s="793" t="s">
        <v>947</v>
      </c>
      <c r="F3175" s="793" t="s">
        <v>1003</v>
      </c>
      <c r="G3175" s="793" t="s">
        <v>794</v>
      </c>
      <c r="H3175" s="793" t="s">
        <v>828</v>
      </c>
      <c r="I3175" s="794">
        <v>5.0935448279832499E-3</v>
      </c>
      <c r="J3175" s="794">
        <v>163.8810727313155</v>
      </c>
      <c r="K3175" s="771"/>
    </row>
    <row r="3176" spans="1:11" ht="18.75" customHeight="1" outlineLevel="2">
      <c r="A3176" s="791" t="s">
        <v>776</v>
      </c>
      <c r="B3176" s="791" t="s">
        <v>1036</v>
      </c>
      <c r="C3176" s="791" t="s">
        <v>1022</v>
      </c>
      <c r="D3176" s="792" t="s">
        <v>779</v>
      </c>
      <c r="E3176" s="793" t="s">
        <v>947</v>
      </c>
      <c r="F3176" s="793" t="s">
        <v>1004</v>
      </c>
      <c r="G3176" s="793" t="s">
        <v>833</v>
      </c>
      <c r="H3176" s="793" t="s">
        <v>834</v>
      </c>
      <c r="I3176" s="794">
        <v>1.4163327927611054E-3</v>
      </c>
      <c r="J3176" s="794">
        <v>92.823418399590793</v>
      </c>
      <c r="K3176" s="771"/>
    </row>
    <row r="3177" spans="1:11" ht="18.75" customHeight="1" outlineLevel="2">
      <c r="A3177" s="791" t="s">
        <v>776</v>
      </c>
      <c r="B3177" s="791" t="s">
        <v>1036</v>
      </c>
      <c r="C3177" s="791" t="s">
        <v>1022</v>
      </c>
      <c r="D3177" s="792" t="s">
        <v>779</v>
      </c>
      <c r="E3177" s="793" t="s">
        <v>947</v>
      </c>
      <c r="F3177" s="793" t="s">
        <v>1007</v>
      </c>
      <c r="G3177" s="793" t="s">
        <v>244</v>
      </c>
      <c r="H3177" s="793" t="s">
        <v>911</v>
      </c>
      <c r="I3177" s="794">
        <v>8.6014984218840823E-3</v>
      </c>
      <c r="J3177" s="794">
        <v>191.76326814632404</v>
      </c>
      <c r="K3177" s="771"/>
    </row>
    <row r="3178" spans="1:11" ht="18.75" customHeight="1" outlineLevel="2">
      <c r="A3178" s="791" t="s">
        <v>776</v>
      </c>
      <c r="B3178" s="791" t="s">
        <v>1036</v>
      </c>
      <c r="C3178" s="791" t="s">
        <v>1022</v>
      </c>
      <c r="D3178" s="792" t="s">
        <v>1010</v>
      </c>
      <c r="E3178" s="793" t="s">
        <v>662</v>
      </c>
      <c r="F3178" s="793" t="s">
        <v>1011</v>
      </c>
      <c r="G3178" s="793" t="s">
        <v>1012</v>
      </c>
      <c r="H3178" s="793" t="s">
        <v>1013</v>
      </c>
      <c r="I3178" s="794">
        <v>6.3704189524584434E-5</v>
      </c>
      <c r="J3178" s="794">
        <v>0.21510154564917389</v>
      </c>
      <c r="K3178" s="771"/>
    </row>
    <row r="3179" spans="1:11" ht="18.75" customHeight="1" outlineLevel="2">
      <c r="A3179" s="791" t="s">
        <v>776</v>
      </c>
      <c r="B3179" s="791" t="s">
        <v>1036</v>
      </c>
      <c r="C3179" s="791" t="s">
        <v>1022</v>
      </c>
      <c r="D3179" s="792" t="s">
        <v>1010</v>
      </c>
      <c r="E3179" s="793" t="s">
        <v>763</v>
      </c>
      <c r="F3179" s="793" t="s">
        <v>1014</v>
      </c>
      <c r="G3179" s="793" t="s">
        <v>1012</v>
      </c>
      <c r="H3179" s="793" t="s">
        <v>913</v>
      </c>
      <c r="I3179" s="794">
        <v>7.1608866500840544E-6</v>
      </c>
      <c r="J3179" s="794">
        <v>0.1200194969554535</v>
      </c>
      <c r="K3179" s="771"/>
    </row>
    <row r="3180" spans="1:11" ht="18.75" customHeight="1" outlineLevel="2">
      <c r="A3180" s="791" t="s">
        <v>776</v>
      </c>
      <c r="B3180" s="791" t="s">
        <v>1036</v>
      </c>
      <c r="C3180" s="791" t="s">
        <v>1022</v>
      </c>
      <c r="D3180" s="792" t="s">
        <v>1010</v>
      </c>
      <c r="E3180" s="793" t="s">
        <v>947</v>
      </c>
      <c r="F3180" s="793" t="s">
        <v>1015</v>
      </c>
      <c r="G3180" s="793" t="s">
        <v>1012</v>
      </c>
      <c r="H3180" s="793" t="s">
        <v>1013</v>
      </c>
      <c r="I3180" s="794">
        <v>1.2465328485595503E-4</v>
      </c>
      <c r="J3180" s="794">
        <v>6.6385298852315184</v>
      </c>
      <c r="K3180" s="771"/>
    </row>
    <row r="3181" spans="1:11" ht="18.75" customHeight="1" outlineLevel="2">
      <c r="A3181" s="791" t="s">
        <v>776</v>
      </c>
      <c r="B3181" s="791" t="s">
        <v>1037</v>
      </c>
      <c r="C3181" s="791" t="s">
        <v>1022</v>
      </c>
      <c r="D3181" s="792" t="s">
        <v>779</v>
      </c>
      <c r="E3181" s="793" t="s">
        <v>780</v>
      </c>
      <c r="F3181" s="793" t="s">
        <v>781</v>
      </c>
      <c r="G3181" s="793" t="s">
        <v>782</v>
      </c>
      <c r="H3181" s="793" t="s">
        <v>783</v>
      </c>
      <c r="I3181" s="794">
        <v>4.0421014173807529E-2</v>
      </c>
      <c r="J3181" s="794">
        <v>0.59460235688248997</v>
      </c>
      <c r="K3181" s="771"/>
    </row>
    <row r="3182" spans="1:11" ht="18.75" customHeight="1" outlineLevel="2">
      <c r="A3182" s="791" t="s">
        <v>776</v>
      </c>
      <c r="B3182" s="791" t="s">
        <v>1037</v>
      </c>
      <c r="C3182" s="791" t="s">
        <v>1022</v>
      </c>
      <c r="D3182" s="792" t="s">
        <v>779</v>
      </c>
      <c r="E3182" s="793" t="s">
        <v>780</v>
      </c>
      <c r="F3182" s="793" t="s">
        <v>784</v>
      </c>
      <c r="G3182" s="793" t="s">
        <v>785</v>
      </c>
      <c r="H3182" s="793" t="s">
        <v>783</v>
      </c>
      <c r="I3182" s="794">
        <v>4.6078162052739682</v>
      </c>
      <c r="J3182" s="794">
        <v>748.28181100962297</v>
      </c>
      <c r="K3182" s="771"/>
    </row>
    <row r="3183" spans="1:11" ht="18.75" customHeight="1" outlineLevel="2">
      <c r="A3183" s="791" t="s">
        <v>776</v>
      </c>
      <c r="B3183" s="791" t="s">
        <v>1037</v>
      </c>
      <c r="C3183" s="791" t="s">
        <v>1022</v>
      </c>
      <c r="D3183" s="792" t="s">
        <v>779</v>
      </c>
      <c r="E3183" s="793" t="s">
        <v>780</v>
      </c>
      <c r="F3183" s="793" t="s">
        <v>786</v>
      </c>
      <c r="G3183" s="793" t="s">
        <v>785</v>
      </c>
      <c r="H3183" s="793" t="s">
        <v>783</v>
      </c>
      <c r="I3183" s="794">
        <v>3.7420033356480452E-3</v>
      </c>
      <c r="J3183" s="794">
        <v>0.63392703716829113</v>
      </c>
      <c r="K3183" s="771"/>
    </row>
    <row r="3184" spans="1:11" ht="18.75" customHeight="1" outlineLevel="2">
      <c r="A3184" s="791" t="s">
        <v>776</v>
      </c>
      <c r="B3184" s="791" t="s">
        <v>1037</v>
      </c>
      <c r="C3184" s="791" t="s">
        <v>1022</v>
      </c>
      <c r="D3184" s="792" t="s">
        <v>779</v>
      </c>
      <c r="E3184" s="793" t="s">
        <v>780</v>
      </c>
      <c r="F3184" s="793" t="s">
        <v>787</v>
      </c>
      <c r="G3184" s="793" t="s">
        <v>785</v>
      </c>
      <c r="H3184" s="793" t="s">
        <v>783</v>
      </c>
      <c r="I3184" s="794">
        <v>1.8804548888329928E-3</v>
      </c>
      <c r="J3184" s="794">
        <v>0.34544714325722609</v>
      </c>
      <c r="K3184" s="771"/>
    </row>
    <row r="3185" spans="1:11" ht="18.75" customHeight="1" outlineLevel="2">
      <c r="A3185" s="791" t="s">
        <v>776</v>
      </c>
      <c r="B3185" s="791" t="s">
        <v>1037</v>
      </c>
      <c r="C3185" s="791" t="s">
        <v>1022</v>
      </c>
      <c r="D3185" s="792" t="s">
        <v>779</v>
      </c>
      <c r="E3185" s="793" t="s">
        <v>780</v>
      </c>
      <c r="F3185" s="793" t="s">
        <v>788</v>
      </c>
      <c r="G3185" s="793" t="s">
        <v>785</v>
      </c>
      <c r="H3185" s="793" t="s">
        <v>783</v>
      </c>
      <c r="I3185" s="794">
        <v>3.5048588247905132E-2</v>
      </c>
      <c r="J3185" s="794">
        <v>5.5829291038696107</v>
      </c>
      <c r="K3185" s="771"/>
    </row>
    <row r="3186" spans="1:11" ht="18.75" customHeight="1" outlineLevel="2">
      <c r="A3186" s="791" t="s">
        <v>776</v>
      </c>
      <c r="B3186" s="791" t="s">
        <v>1037</v>
      </c>
      <c r="C3186" s="791" t="s">
        <v>1022</v>
      </c>
      <c r="D3186" s="792" t="s">
        <v>779</v>
      </c>
      <c r="E3186" s="793" t="s">
        <v>780</v>
      </c>
      <c r="F3186" s="793" t="s">
        <v>789</v>
      </c>
      <c r="G3186" s="793" t="s">
        <v>785</v>
      </c>
      <c r="H3186" s="793" t="s">
        <v>783</v>
      </c>
      <c r="I3186" s="794">
        <v>1.7212262873829404E-2</v>
      </c>
      <c r="J3186" s="794">
        <v>4.2340689619043301</v>
      </c>
      <c r="K3186" s="771"/>
    </row>
    <row r="3187" spans="1:11" ht="18.75" customHeight="1" outlineLevel="2">
      <c r="A3187" s="791" t="s">
        <v>776</v>
      </c>
      <c r="B3187" s="791" t="s">
        <v>1037</v>
      </c>
      <c r="C3187" s="791" t="s">
        <v>1022</v>
      </c>
      <c r="D3187" s="792" t="s">
        <v>779</v>
      </c>
      <c r="E3187" s="793" t="s">
        <v>780</v>
      </c>
      <c r="F3187" s="793" t="s">
        <v>790</v>
      </c>
      <c r="G3187" s="793" t="s">
        <v>791</v>
      </c>
      <c r="H3187" s="793" t="s">
        <v>783</v>
      </c>
      <c r="I3187" s="794">
        <v>1.6332856882179808E-3</v>
      </c>
      <c r="J3187" s="794">
        <v>2.1694786379843893E-2</v>
      </c>
      <c r="K3187" s="771"/>
    </row>
    <row r="3188" spans="1:11" ht="18.75" customHeight="1" outlineLevel="2">
      <c r="A3188" s="791" t="s">
        <v>776</v>
      </c>
      <c r="B3188" s="791" t="s">
        <v>1037</v>
      </c>
      <c r="C3188" s="791" t="s">
        <v>1022</v>
      </c>
      <c r="D3188" s="792" t="s">
        <v>779</v>
      </c>
      <c r="E3188" s="793" t="s">
        <v>780</v>
      </c>
      <c r="F3188" s="793" t="s">
        <v>792</v>
      </c>
      <c r="G3188" s="793" t="s">
        <v>791</v>
      </c>
      <c r="H3188" s="793" t="s">
        <v>783</v>
      </c>
      <c r="I3188" s="794">
        <v>1.2123619174310776E-2</v>
      </c>
      <c r="J3188" s="794">
        <v>2.3545234634240324</v>
      </c>
      <c r="K3188" s="771"/>
    </row>
    <row r="3189" spans="1:11" ht="18.75" customHeight="1" outlineLevel="2">
      <c r="A3189" s="791" t="s">
        <v>776</v>
      </c>
      <c r="B3189" s="791" t="s">
        <v>1037</v>
      </c>
      <c r="C3189" s="791" t="s">
        <v>1022</v>
      </c>
      <c r="D3189" s="792" t="s">
        <v>779</v>
      </c>
      <c r="E3189" s="793" t="s">
        <v>780</v>
      </c>
      <c r="F3189" s="793" t="s">
        <v>793</v>
      </c>
      <c r="G3189" s="793" t="s">
        <v>794</v>
      </c>
      <c r="H3189" s="793" t="s">
        <v>783</v>
      </c>
      <c r="I3189" s="794">
        <v>6.7424761315235706</v>
      </c>
      <c r="J3189" s="794">
        <v>174.9852192274478</v>
      </c>
      <c r="K3189" s="771"/>
    </row>
    <row r="3190" spans="1:11" ht="18.75" customHeight="1" outlineLevel="2">
      <c r="A3190" s="791" t="s">
        <v>776</v>
      </c>
      <c r="B3190" s="791" t="s">
        <v>1037</v>
      </c>
      <c r="C3190" s="791" t="s">
        <v>1022</v>
      </c>
      <c r="D3190" s="792" t="s">
        <v>779</v>
      </c>
      <c r="E3190" s="793" t="s">
        <v>780</v>
      </c>
      <c r="F3190" s="793" t="s">
        <v>795</v>
      </c>
      <c r="G3190" s="793" t="s">
        <v>794</v>
      </c>
      <c r="H3190" s="793" t="s">
        <v>783</v>
      </c>
      <c r="I3190" s="794">
        <v>0.2038915353353257</v>
      </c>
      <c r="J3190" s="794">
        <v>8.3540925007024711</v>
      </c>
      <c r="K3190" s="771"/>
    </row>
    <row r="3191" spans="1:11" ht="18.75" customHeight="1" outlineLevel="2">
      <c r="A3191" s="791" t="s">
        <v>776</v>
      </c>
      <c r="B3191" s="791" t="s">
        <v>1037</v>
      </c>
      <c r="C3191" s="791" t="s">
        <v>1022</v>
      </c>
      <c r="D3191" s="792" t="s">
        <v>779</v>
      </c>
      <c r="E3191" s="793" t="s">
        <v>780</v>
      </c>
      <c r="F3191" s="793" t="s">
        <v>796</v>
      </c>
      <c r="G3191" s="793" t="s">
        <v>794</v>
      </c>
      <c r="H3191" s="793" t="s">
        <v>783</v>
      </c>
      <c r="I3191" s="794">
        <v>0.1059778371571541</v>
      </c>
      <c r="J3191" s="794">
        <v>12.212731635004973</v>
      </c>
      <c r="K3191" s="771"/>
    </row>
    <row r="3192" spans="1:11" ht="18.75" customHeight="1" outlineLevel="2">
      <c r="A3192" s="791" t="s">
        <v>776</v>
      </c>
      <c r="B3192" s="791" t="s">
        <v>1037</v>
      </c>
      <c r="C3192" s="791" t="s">
        <v>1022</v>
      </c>
      <c r="D3192" s="792" t="s">
        <v>779</v>
      </c>
      <c r="E3192" s="793" t="s">
        <v>780</v>
      </c>
      <c r="F3192" s="793" t="s">
        <v>797</v>
      </c>
      <c r="G3192" s="793" t="s">
        <v>794</v>
      </c>
      <c r="H3192" s="793" t="s">
        <v>783</v>
      </c>
      <c r="I3192" s="794">
        <v>2.0724531550694261</v>
      </c>
      <c r="J3192" s="794">
        <v>433.69274428507572</v>
      </c>
      <c r="K3192" s="771"/>
    </row>
    <row r="3193" spans="1:11" ht="18.75" customHeight="1" outlineLevel="2">
      <c r="A3193" s="791" t="s">
        <v>776</v>
      </c>
      <c r="B3193" s="791" t="s">
        <v>1037</v>
      </c>
      <c r="C3193" s="791" t="s">
        <v>1022</v>
      </c>
      <c r="D3193" s="792" t="s">
        <v>779</v>
      </c>
      <c r="E3193" s="793" t="s">
        <v>662</v>
      </c>
      <c r="F3193" s="793" t="s">
        <v>798</v>
      </c>
      <c r="G3193" s="793" t="s">
        <v>799</v>
      </c>
      <c r="H3193" s="793" t="s">
        <v>800</v>
      </c>
      <c r="I3193" s="794">
        <v>0.62709222247279706</v>
      </c>
      <c r="J3193" s="794">
        <v>180.18387379956295</v>
      </c>
      <c r="K3193" s="771"/>
    </row>
    <row r="3194" spans="1:11" ht="18.75" customHeight="1" outlineLevel="2">
      <c r="A3194" s="791" t="s">
        <v>776</v>
      </c>
      <c r="B3194" s="791" t="s">
        <v>1037</v>
      </c>
      <c r="C3194" s="791" t="s">
        <v>1022</v>
      </c>
      <c r="D3194" s="792" t="s">
        <v>779</v>
      </c>
      <c r="E3194" s="793" t="s">
        <v>662</v>
      </c>
      <c r="F3194" s="793" t="s">
        <v>801</v>
      </c>
      <c r="G3194" s="793" t="s">
        <v>799</v>
      </c>
      <c r="H3194" s="793" t="s">
        <v>800</v>
      </c>
      <c r="I3194" s="794">
        <v>0.19155200138827844</v>
      </c>
      <c r="J3194" s="794">
        <v>77.381798849913579</v>
      </c>
      <c r="K3194" s="771"/>
    </row>
    <row r="3195" spans="1:11" ht="18.75" customHeight="1" outlineLevel="2">
      <c r="A3195" s="791" t="s">
        <v>776</v>
      </c>
      <c r="B3195" s="791" t="s">
        <v>1037</v>
      </c>
      <c r="C3195" s="791" t="s">
        <v>1022</v>
      </c>
      <c r="D3195" s="792" t="s">
        <v>779</v>
      </c>
      <c r="E3195" s="793" t="s">
        <v>662</v>
      </c>
      <c r="F3195" s="793" t="s">
        <v>802</v>
      </c>
      <c r="G3195" s="793" t="s">
        <v>799</v>
      </c>
      <c r="H3195" s="793" t="s">
        <v>800</v>
      </c>
      <c r="I3195" s="794">
        <v>8.7185679491838947E-2</v>
      </c>
      <c r="J3195" s="794">
        <v>112.12724707176623</v>
      </c>
      <c r="K3195" s="771"/>
    </row>
    <row r="3196" spans="1:11" ht="18.75" customHeight="1" outlineLevel="2">
      <c r="A3196" s="791" t="s">
        <v>776</v>
      </c>
      <c r="B3196" s="791" t="s">
        <v>1037</v>
      </c>
      <c r="C3196" s="791" t="s">
        <v>1022</v>
      </c>
      <c r="D3196" s="792" t="s">
        <v>779</v>
      </c>
      <c r="E3196" s="793" t="s">
        <v>662</v>
      </c>
      <c r="F3196" s="793" t="s">
        <v>803</v>
      </c>
      <c r="G3196" s="793" t="s">
        <v>782</v>
      </c>
      <c r="H3196" s="793" t="s">
        <v>804</v>
      </c>
      <c r="I3196" s="794">
        <v>0.12494357960790509</v>
      </c>
      <c r="J3196" s="794">
        <v>77.524990973999266</v>
      </c>
      <c r="K3196" s="771"/>
    </row>
    <row r="3197" spans="1:11" ht="18.75" customHeight="1" outlineLevel="2">
      <c r="A3197" s="791" t="s">
        <v>776</v>
      </c>
      <c r="B3197" s="791" t="s">
        <v>1037</v>
      </c>
      <c r="C3197" s="791" t="s">
        <v>1022</v>
      </c>
      <c r="D3197" s="792" t="s">
        <v>779</v>
      </c>
      <c r="E3197" s="793" t="s">
        <v>662</v>
      </c>
      <c r="F3197" s="793" t="s">
        <v>805</v>
      </c>
      <c r="G3197" s="793" t="s">
        <v>782</v>
      </c>
      <c r="H3197" s="793" t="s">
        <v>804</v>
      </c>
      <c r="I3197" s="794">
        <v>1.0368989171185223E-2</v>
      </c>
      <c r="J3197" s="794">
        <v>5.0217692840118318</v>
      </c>
      <c r="K3197" s="771"/>
    </row>
    <row r="3198" spans="1:11" ht="18.75" customHeight="1" outlineLevel="2">
      <c r="A3198" s="791" t="s">
        <v>776</v>
      </c>
      <c r="B3198" s="791" t="s">
        <v>1037</v>
      </c>
      <c r="C3198" s="791" t="s">
        <v>1022</v>
      </c>
      <c r="D3198" s="792" t="s">
        <v>779</v>
      </c>
      <c r="E3198" s="793" t="s">
        <v>662</v>
      </c>
      <c r="F3198" s="793" t="s">
        <v>806</v>
      </c>
      <c r="G3198" s="793" t="s">
        <v>782</v>
      </c>
      <c r="H3198" s="793" t="s">
        <v>804</v>
      </c>
      <c r="I3198" s="794">
        <v>1.2565860100825802E-2</v>
      </c>
      <c r="J3198" s="794">
        <v>6.0024387973027062</v>
      </c>
      <c r="K3198" s="771"/>
    </row>
    <row r="3199" spans="1:11" ht="18.75" customHeight="1" outlineLevel="2">
      <c r="A3199" s="791" t="s">
        <v>776</v>
      </c>
      <c r="B3199" s="791" t="s">
        <v>1037</v>
      </c>
      <c r="C3199" s="791" t="s">
        <v>1022</v>
      </c>
      <c r="D3199" s="792" t="s">
        <v>779</v>
      </c>
      <c r="E3199" s="793" t="s">
        <v>662</v>
      </c>
      <c r="F3199" s="793" t="s">
        <v>807</v>
      </c>
      <c r="G3199" s="793" t="s">
        <v>782</v>
      </c>
      <c r="H3199" s="793" t="s">
        <v>804</v>
      </c>
      <c r="I3199" s="794">
        <v>9.2929901590481625E-5</v>
      </c>
      <c r="J3199" s="794">
        <v>4.1590460286357073E-2</v>
      </c>
      <c r="K3199" s="771"/>
    </row>
    <row r="3200" spans="1:11" ht="18.75" customHeight="1" outlineLevel="2">
      <c r="A3200" s="791" t="s">
        <v>776</v>
      </c>
      <c r="B3200" s="791" t="s">
        <v>1037</v>
      </c>
      <c r="C3200" s="791" t="s">
        <v>1022</v>
      </c>
      <c r="D3200" s="792" t="s">
        <v>779</v>
      </c>
      <c r="E3200" s="793" t="s">
        <v>662</v>
      </c>
      <c r="F3200" s="793" t="s">
        <v>808</v>
      </c>
      <c r="G3200" s="793" t="s">
        <v>782</v>
      </c>
      <c r="H3200" s="793" t="s">
        <v>804</v>
      </c>
      <c r="I3200" s="794">
        <v>0.35820014550586882</v>
      </c>
      <c r="J3200" s="794">
        <v>200.01305134523619</v>
      </c>
      <c r="K3200" s="771"/>
    </row>
    <row r="3201" spans="1:11" ht="18.75" customHeight="1" outlineLevel="2">
      <c r="A3201" s="791" t="s">
        <v>776</v>
      </c>
      <c r="B3201" s="791" t="s">
        <v>1037</v>
      </c>
      <c r="C3201" s="791" t="s">
        <v>1022</v>
      </c>
      <c r="D3201" s="792" t="s">
        <v>779</v>
      </c>
      <c r="E3201" s="793" t="s">
        <v>662</v>
      </c>
      <c r="F3201" s="793" t="s">
        <v>809</v>
      </c>
      <c r="G3201" s="793" t="s">
        <v>782</v>
      </c>
      <c r="H3201" s="793" t="s">
        <v>804</v>
      </c>
      <c r="I3201" s="794">
        <v>2.6190426262960166E-3</v>
      </c>
      <c r="J3201" s="794">
        <v>1.1721424297892087</v>
      </c>
      <c r="K3201" s="771"/>
    </row>
    <row r="3202" spans="1:11" ht="18.75" customHeight="1" outlineLevel="2">
      <c r="A3202" s="791" t="s">
        <v>776</v>
      </c>
      <c r="B3202" s="791" t="s">
        <v>1037</v>
      </c>
      <c r="C3202" s="791" t="s">
        <v>1022</v>
      </c>
      <c r="D3202" s="792" t="s">
        <v>779</v>
      </c>
      <c r="E3202" s="793" t="s">
        <v>662</v>
      </c>
      <c r="F3202" s="793" t="s">
        <v>810</v>
      </c>
      <c r="G3202" s="793" t="s">
        <v>785</v>
      </c>
      <c r="H3202" s="793" t="s">
        <v>727</v>
      </c>
      <c r="I3202" s="794">
        <v>4.5635771235632127E-3</v>
      </c>
      <c r="J3202" s="794">
        <v>2.04241324617163</v>
      </c>
      <c r="K3202" s="771"/>
    </row>
    <row r="3203" spans="1:11" ht="18.75" customHeight="1" outlineLevel="2">
      <c r="A3203" s="791" t="s">
        <v>776</v>
      </c>
      <c r="B3203" s="791" t="s">
        <v>1037</v>
      </c>
      <c r="C3203" s="791" t="s">
        <v>1022</v>
      </c>
      <c r="D3203" s="792" t="s">
        <v>779</v>
      </c>
      <c r="E3203" s="793" t="s">
        <v>662</v>
      </c>
      <c r="F3203" s="793" t="s">
        <v>811</v>
      </c>
      <c r="G3203" s="793" t="s">
        <v>785</v>
      </c>
      <c r="H3203" s="793" t="s">
        <v>727</v>
      </c>
      <c r="I3203" s="794">
        <v>3.4921105823403547E-4</v>
      </c>
      <c r="J3203" s="794">
        <v>0.15628824602946673</v>
      </c>
      <c r="K3203" s="771"/>
    </row>
    <row r="3204" spans="1:11" ht="18.75" customHeight="1" outlineLevel="2">
      <c r="A3204" s="791" t="s">
        <v>776</v>
      </c>
      <c r="B3204" s="791" t="s">
        <v>1037</v>
      </c>
      <c r="C3204" s="791" t="s">
        <v>1022</v>
      </c>
      <c r="D3204" s="792" t="s">
        <v>779</v>
      </c>
      <c r="E3204" s="793" t="s">
        <v>662</v>
      </c>
      <c r="F3204" s="793" t="s">
        <v>812</v>
      </c>
      <c r="G3204" s="793" t="s">
        <v>813</v>
      </c>
      <c r="H3204" s="793" t="s">
        <v>814</v>
      </c>
      <c r="I3204" s="794">
        <v>4.9018181259429951E-2</v>
      </c>
      <c r="J3204" s="794">
        <v>26.845602933752108</v>
      </c>
      <c r="K3204" s="771"/>
    </row>
    <row r="3205" spans="1:11" ht="18.75" customHeight="1" outlineLevel="2">
      <c r="A3205" s="791" t="s">
        <v>776</v>
      </c>
      <c r="B3205" s="791" t="s">
        <v>1037</v>
      </c>
      <c r="C3205" s="791" t="s">
        <v>1022</v>
      </c>
      <c r="D3205" s="792" t="s">
        <v>779</v>
      </c>
      <c r="E3205" s="793" t="s">
        <v>662</v>
      </c>
      <c r="F3205" s="793" t="s">
        <v>815</v>
      </c>
      <c r="G3205" s="793" t="s">
        <v>813</v>
      </c>
      <c r="H3205" s="793" t="s">
        <v>814</v>
      </c>
      <c r="I3205" s="794">
        <v>0.37166364609464481</v>
      </c>
      <c r="J3205" s="794">
        <v>199.74894150745948</v>
      </c>
      <c r="K3205" s="771"/>
    </row>
    <row r="3206" spans="1:11" ht="18.75" customHeight="1" outlineLevel="2">
      <c r="A3206" s="791" t="s">
        <v>776</v>
      </c>
      <c r="B3206" s="791" t="s">
        <v>1037</v>
      </c>
      <c r="C3206" s="791" t="s">
        <v>1022</v>
      </c>
      <c r="D3206" s="792" t="s">
        <v>779</v>
      </c>
      <c r="E3206" s="793" t="s">
        <v>662</v>
      </c>
      <c r="F3206" s="793" t="s">
        <v>816</v>
      </c>
      <c r="G3206" s="793" t="s">
        <v>813</v>
      </c>
      <c r="H3206" s="793" t="s">
        <v>814</v>
      </c>
      <c r="I3206" s="794">
        <v>0.68990767738809189</v>
      </c>
      <c r="J3206" s="794">
        <v>358.43912456176008</v>
      </c>
      <c r="K3206" s="771"/>
    </row>
    <row r="3207" spans="1:11" ht="18.75" customHeight="1" outlineLevel="2">
      <c r="A3207" s="791" t="s">
        <v>776</v>
      </c>
      <c r="B3207" s="791" t="s">
        <v>1037</v>
      </c>
      <c r="C3207" s="791" t="s">
        <v>1022</v>
      </c>
      <c r="D3207" s="792" t="s">
        <v>779</v>
      </c>
      <c r="E3207" s="793" t="s">
        <v>662</v>
      </c>
      <c r="F3207" s="793" t="s">
        <v>817</v>
      </c>
      <c r="G3207" s="793" t="s">
        <v>813</v>
      </c>
      <c r="H3207" s="793" t="s">
        <v>814</v>
      </c>
      <c r="I3207" s="794">
        <v>3.5142946350636772</v>
      </c>
      <c r="J3207" s="794">
        <v>1923.7360761396228</v>
      </c>
      <c r="K3207" s="771"/>
    </row>
    <row r="3208" spans="1:11" ht="18.75" customHeight="1" outlineLevel="2">
      <c r="A3208" s="791" t="s">
        <v>776</v>
      </c>
      <c r="B3208" s="791" t="s">
        <v>1037</v>
      </c>
      <c r="C3208" s="791" t="s">
        <v>1022</v>
      </c>
      <c r="D3208" s="792" t="s">
        <v>779</v>
      </c>
      <c r="E3208" s="793" t="s">
        <v>662</v>
      </c>
      <c r="F3208" s="793" t="s">
        <v>818</v>
      </c>
      <c r="G3208" s="793" t="s">
        <v>813</v>
      </c>
      <c r="H3208" s="793" t="s">
        <v>814</v>
      </c>
      <c r="I3208" s="794">
        <v>0.84751218538789308</v>
      </c>
      <c r="J3208" s="794">
        <v>497.79469013808409</v>
      </c>
      <c r="K3208" s="771"/>
    </row>
    <row r="3209" spans="1:11" ht="18.75" customHeight="1" outlineLevel="2">
      <c r="A3209" s="791" t="s">
        <v>776</v>
      </c>
      <c r="B3209" s="791" t="s">
        <v>1037</v>
      </c>
      <c r="C3209" s="791" t="s">
        <v>1022</v>
      </c>
      <c r="D3209" s="792" t="s">
        <v>779</v>
      </c>
      <c r="E3209" s="793" t="s">
        <v>662</v>
      </c>
      <c r="F3209" s="793" t="s">
        <v>819</v>
      </c>
      <c r="G3209" s="793" t="s">
        <v>813</v>
      </c>
      <c r="H3209" s="793" t="s">
        <v>814</v>
      </c>
      <c r="I3209" s="794">
        <v>3.3253498071282555</v>
      </c>
      <c r="J3209" s="794">
        <v>1681.0877181163255</v>
      </c>
      <c r="K3209" s="771"/>
    </row>
    <row r="3210" spans="1:11" ht="18.75" customHeight="1" outlineLevel="2">
      <c r="A3210" s="791" t="s">
        <v>776</v>
      </c>
      <c r="B3210" s="791" t="s">
        <v>1037</v>
      </c>
      <c r="C3210" s="791" t="s">
        <v>1022</v>
      </c>
      <c r="D3210" s="792" t="s">
        <v>779</v>
      </c>
      <c r="E3210" s="793" t="s">
        <v>662</v>
      </c>
      <c r="F3210" s="793" t="s">
        <v>820</v>
      </c>
      <c r="G3210" s="793" t="s">
        <v>813</v>
      </c>
      <c r="H3210" s="793" t="s">
        <v>814</v>
      </c>
      <c r="I3210" s="794">
        <v>0.59736544512582312</v>
      </c>
      <c r="J3210" s="794">
        <v>320.37947491488313</v>
      </c>
      <c r="K3210" s="771"/>
    </row>
    <row r="3211" spans="1:11" ht="18.75" customHeight="1" outlineLevel="2">
      <c r="A3211" s="791" t="s">
        <v>776</v>
      </c>
      <c r="B3211" s="791" t="s">
        <v>1037</v>
      </c>
      <c r="C3211" s="791" t="s">
        <v>1022</v>
      </c>
      <c r="D3211" s="792" t="s">
        <v>779</v>
      </c>
      <c r="E3211" s="793" t="s">
        <v>662</v>
      </c>
      <c r="F3211" s="793" t="s">
        <v>821</v>
      </c>
      <c r="G3211" s="793" t="s">
        <v>813</v>
      </c>
      <c r="H3211" s="793" t="s">
        <v>814</v>
      </c>
      <c r="I3211" s="794">
        <v>2.9349301803997911</v>
      </c>
      <c r="J3211" s="794">
        <v>1569.7338412543197</v>
      </c>
      <c r="K3211" s="771"/>
    </row>
    <row r="3212" spans="1:11" ht="18.75" customHeight="1" outlineLevel="2">
      <c r="A3212" s="791" t="s">
        <v>776</v>
      </c>
      <c r="B3212" s="791" t="s">
        <v>1037</v>
      </c>
      <c r="C3212" s="791" t="s">
        <v>1022</v>
      </c>
      <c r="D3212" s="792" t="s">
        <v>779</v>
      </c>
      <c r="E3212" s="793" t="s">
        <v>662</v>
      </c>
      <c r="F3212" s="793" t="s">
        <v>822</v>
      </c>
      <c r="G3212" s="793" t="s">
        <v>813</v>
      </c>
      <c r="H3212" s="793" t="s">
        <v>814</v>
      </c>
      <c r="I3212" s="794">
        <v>1.0826628591674288</v>
      </c>
      <c r="J3212" s="794">
        <v>158.51607012906067</v>
      </c>
      <c r="K3212" s="771"/>
    </row>
    <row r="3213" spans="1:11" ht="18.75" customHeight="1" outlineLevel="2">
      <c r="A3213" s="791" t="s">
        <v>776</v>
      </c>
      <c r="B3213" s="791" t="s">
        <v>1037</v>
      </c>
      <c r="C3213" s="791" t="s">
        <v>1022</v>
      </c>
      <c r="D3213" s="792" t="s">
        <v>779</v>
      </c>
      <c r="E3213" s="793" t="s">
        <v>662</v>
      </c>
      <c r="F3213" s="793" t="s">
        <v>823</v>
      </c>
      <c r="G3213" s="793" t="s">
        <v>813</v>
      </c>
      <c r="H3213" s="793" t="s">
        <v>814</v>
      </c>
      <c r="I3213" s="794">
        <v>3.9038277237081318</v>
      </c>
      <c r="J3213" s="794">
        <v>571.55587933274307</v>
      </c>
      <c r="K3213" s="771"/>
    </row>
    <row r="3214" spans="1:11" ht="18.75" customHeight="1" outlineLevel="2">
      <c r="A3214" s="791" t="s">
        <v>776</v>
      </c>
      <c r="B3214" s="791" t="s">
        <v>1037</v>
      </c>
      <c r="C3214" s="791" t="s">
        <v>1022</v>
      </c>
      <c r="D3214" s="792" t="s">
        <v>779</v>
      </c>
      <c r="E3214" s="793" t="s">
        <v>662</v>
      </c>
      <c r="F3214" s="793" t="s">
        <v>824</v>
      </c>
      <c r="G3214" s="793" t="s">
        <v>813</v>
      </c>
      <c r="H3214" s="793" t="s">
        <v>814</v>
      </c>
      <c r="I3214" s="794">
        <v>1.6786659639267875E-3</v>
      </c>
      <c r="J3214" s="794">
        <v>0.8376220702666054</v>
      </c>
      <c r="K3214" s="771"/>
    </row>
    <row r="3215" spans="1:11" ht="18.75" customHeight="1" outlineLevel="2">
      <c r="A3215" s="791" t="s">
        <v>776</v>
      </c>
      <c r="B3215" s="791" t="s">
        <v>1037</v>
      </c>
      <c r="C3215" s="791" t="s">
        <v>1022</v>
      </c>
      <c r="D3215" s="792" t="s">
        <v>779</v>
      </c>
      <c r="E3215" s="793" t="s">
        <v>662</v>
      </c>
      <c r="F3215" s="793" t="s">
        <v>825</v>
      </c>
      <c r="G3215" s="793" t="s">
        <v>791</v>
      </c>
      <c r="H3215" s="793" t="s">
        <v>826</v>
      </c>
      <c r="I3215" s="794">
        <v>2.0283219051801766E-4</v>
      </c>
      <c r="J3215" s="794">
        <v>0.12334691001427793</v>
      </c>
      <c r="K3215" s="771"/>
    </row>
    <row r="3216" spans="1:11" ht="18.75" customHeight="1" outlineLevel="2">
      <c r="A3216" s="791" t="s">
        <v>776</v>
      </c>
      <c r="B3216" s="791" t="s">
        <v>1037</v>
      </c>
      <c r="C3216" s="791" t="s">
        <v>1022</v>
      </c>
      <c r="D3216" s="792" t="s">
        <v>779</v>
      </c>
      <c r="E3216" s="793" t="s">
        <v>662</v>
      </c>
      <c r="F3216" s="793" t="s">
        <v>827</v>
      </c>
      <c r="G3216" s="793" t="s">
        <v>794</v>
      </c>
      <c r="H3216" s="793" t="s">
        <v>828</v>
      </c>
      <c r="I3216" s="794">
        <v>5.9419720828212834E-2</v>
      </c>
      <c r="J3216" s="794">
        <v>29.419277820254649</v>
      </c>
      <c r="K3216" s="771"/>
    </row>
    <row r="3217" spans="1:11" ht="18.75" customHeight="1" outlineLevel="2">
      <c r="A3217" s="791" t="s">
        <v>776</v>
      </c>
      <c r="B3217" s="791" t="s">
        <v>1037</v>
      </c>
      <c r="C3217" s="791" t="s">
        <v>1022</v>
      </c>
      <c r="D3217" s="792" t="s">
        <v>779</v>
      </c>
      <c r="E3217" s="793" t="s">
        <v>662</v>
      </c>
      <c r="F3217" s="793" t="s">
        <v>829</v>
      </c>
      <c r="G3217" s="793" t="s">
        <v>794</v>
      </c>
      <c r="H3217" s="793" t="s">
        <v>828</v>
      </c>
      <c r="I3217" s="794">
        <v>0.37919207417084022</v>
      </c>
      <c r="J3217" s="794">
        <v>196.25952287027459</v>
      </c>
      <c r="K3217" s="771"/>
    </row>
    <row r="3218" spans="1:11" ht="18.75" customHeight="1" outlineLevel="2">
      <c r="A3218" s="791" t="s">
        <v>776</v>
      </c>
      <c r="B3218" s="791" t="s">
        <v>1037</v>
      </c>
      <c r="C3218" s="791" t="s">
        <v>1022</v>
      </c>
      <c r="D3218" s="792" t="s">
        <v>779</v>
      </c>
      <c r="E3218" s="793" t="s">
        <v>662</v>
      </c>
      <c r="F3218" s="793" t="s">
        <v>830</v>
      </c>
      <c r="G3218" s="793" t="s">
        <v>794</v>
      </c>
      <c r="H3218" s="793" t="s">
        <v>828</v>
      </c>
      <c r="I3218" s="794">
        <v>1.5209342268485392E-4</v>
      </c>
      <c r="J3218" s="794">
        <v>6.8068918352513941E-2</v>
      </c>
      <c r="K3218" s="771"/>
    </row>
    <row r="3219" spans="1:11" ht="18.75" customHeight="1" outlineLevel="2">
      <c r="A3219" s="791" t="s">
        <v>776</v>
      </c>
      <c r="B3219" s="791" t="s">
        <v>1037</v>
      </c>
      <c r="C3219" s="791" t="s">
        <v>1022</v>
      </c>
      <c r="D3219" s="792" t="s">
        <v>779</v>
      </c>
      <c r="E3219" s="793" t="s">
        <v>662</v>
      </c>
      <c r="F3219" s="793" t="s">
        <v>831</v>
      </c>
      <c r="G3219" s="793" t="s">
        <v>794</v>
      </c>
      <c r="H3219" s="793" t="s">
        <v>828</v>
      </c>
      <c r="I3219" s="794">
        <v>2.6529918461452012E-3</v>
      </c>
      <c r="J3219" s="794">
        <v>1.1873359964100711</v>
      </c>
      <c r="K3219" s="771"/>
    </row>
    <row r="3220" spans="1:11" ht="18.75" customHeight="1" outlineLevel="2">
      <c r="A3220" s="791" t="s">
        <v>776</v>
      </c>
      <c r="B3220" s="791" t="s">
        <v>1037</v>
      </c>
      <c r="C3220" s="791" t="s">
        <v>1022</v>
      </c>
      <c r="D3220" s="792" t="s">
        <v>779</v>
      </c>
      <c r="E3220" s="793" t="s">
        <v>662</v>
      </c>
      <c r="F3220" s="793" t="s">
        <v>832</v>
      </c>
      <c r="G3220" s="793" t="s">
        <v>833</v>
      </c>
      <c r="H3220" s="793" t="s">
        <v>834</v>
      </c>
      <c r="I3220" s="794">
        <v>1.1109827775143187E-2</v>
      </c>
      <c r="J3220" s="794">
        <v>6.4140215156131264</v>
      </c>
      <c r="K3220" s="771"/>
    </row>
    <row r="3221" spans="1:11" ht="18.75" customHeight="1" outlineLevel="2">
      <c r="A3221" s="791" t="s">
        <v>776</v>
      </c>
      <c r="B3221" s="791" t="s">
        <v>1037</v>
      </c>
      <c r="C3221" s="791" t="s">
        <v>1022</v>
      </c>
      <c r="D3221" s="792" t="s">
        <v>779</v>
      </c>
      <c r="E3221" s="793" t="s">
        <v>662</v>
      </c>
      <c r="F3221" s="793" t="s">
        <v>835</v>
      </c>
      <c r="G3221" s="793" t="s">
        <v>799</v>
      </c>
      <c r="H3221" s="793" t="s">
        <v>800</v>
      </c>
      <c r="I3221" s="794">
        <v>0.11870668141833</v>
      </c>
      <c r="J3221" s="794">
        <v>84.034096854422884</v>
      </c>
      <c r="K3221" s="771"/>
    </row>
    <row r="3222" spans="1:11" ht="18.75" customHeight="1" outlineLevel="2">
      <c r="A3222" s="791" t="s">
        <v>776</v>
      </c>
      <c r="B3222" s="791" t="s">
        <v>1037</v>
      </c>
      <c r="C3222" s="791" t="s">
        <v>1022</v>
      </c>
      <c r="D3222" s="792" t="s">
        <v>779</v>
      </c>
      <c r="E3222" s="793" t="s">
        <v>662</v>
      </c>
      <c r="F3222" s="793" t="s">
        <v>836</v>
      </c>
      <c r="G3222" s="793" t="s">
        <v>799</v>
      </c>
      <c r="H3222" s="793" t="s">
        <v>800</v>
      </c>
      <c r="I3222" s="794">
        <v>0.87476425804253521</v>
      </c>
      <c r="J3222" s="794">
        <v>798.89408669602778</v>
      </c>
      <c r="K3222" s="771"/>
    </row>
    <row r="3223" spans="1:11" ht="18.75" customHeight="1" outlineLevel="2">
      <c r="A3223" s="791" t="s">
        <v>776</v>
      </c>
      <c r="B3223" s="791" t="s">
        <v>1037</v>
      </c>
      <c r="C3223" s="791" t="s">
        <v>1022</v>
      </c>
      <c r="D3223" s="792" t="s">
        <v>779</v>
      </c>
      <c r="E3223" s="793" t="s">
        <v>662</v>
      </c>
      <c r="F3223" s="793" t="s">
        <v>837</v>
      </c>
      <c r="G3223" s="793" t="s">
        <v>799</v>
      </c>
      <c r="H3223" s="793" t="s">
        <v>800</v>
      </c>
      <c r="I3223" s="794">
        <v>0.68470854707126971</v>
      </c>
      <c r="J3223" s="794">
        <v>910.92780826942851</v>
      </c>
      <c r="K3223" s="771"/>
    </row>
    <row r="3224" spans="1:11" ht="18.75" customHeight="1" outlineLevel="2">
      <c r="A3224" s="791" t="s">
        <v>776</v>
      </c>
      <c r="B3224" s="791" t="s">
        <v>1037</v>
      </c>
      <c r="C3224" s="791" t="s">
        <v>1022</v>
      </c>
      <c r="D3224" s="792" t="s">
        <v>779</v>
      </c>
      <c r="E3224" s="793" t="s">
        <v>662</v>
      </c>
      <c r="F3224" s="793" t="s">
        <v>838</v>
      </c>
      <c r="G3224" s="793" t="s">
        <v>799</v>
      </c>
      <c r="H3224" s="793" t="s">
        <v>800</v>
      </c>
      <c r="I3224" s="794">
        <v>0.11754870245975885</v>
      </c>
      <c r="J3224" s="794">
        <v>107.15204737313532</v>
      </c>
      <c r="K3224" s="771"/>
    </row>
    <row r="3225" spans="1:11" ht="18.75" customHeight="1" outlineLevel="2">
      <c r="A3225" s="791" t="s">
        <v>776</v>
      </c>
      <c r="B3225" s="791" t="s">
        <v>1037</v>
      </c>
      <c r="C3225" s="791" t="s">
        <v>1022</v>
      </c>
      <c r="D3225" s="792" t="s">
        <v>779</v>
      </c>
      <c r="E3225" s="793" t="s">
        <v>662</v>
      </c>
      <c r="F3225" s="793" t="s">
        <v>839</v>
      </c>
      <c r="G3225" s="793" t="s">
        <v>782</v>
      </c>
      <c r="H3225" s="793" t="s">
        <v>804</v>
      </c>
      <c r="I3225" s="794">
        <v>4.2116781756041305E-2</v>
      </c>
      <c r="J3225" s="794">
        <v>68.722359630132431</v>
      </c>
      <c r="K3225" s="771"/>
    </row>
    <row r="3226" spans="1:11" ht="18.75" customHeight="1" outlineLevel="2">
      <c r="A3226" s="791" t="s">
        <v>776</v>
      </c>
      <c r="B3226" s="791" t="s">
        <v>1037</v>
      </c>
      <c r="C3226" s="791" t="s">
        <v>1022</v>
      </c>
      <c r="D3226" s="792" t="s">
        <v>779</v>
      </c>
      <c r="E3226" s="793" t="s">
        <v>662</v>
      </c>
      <c r="F3226" s="793" t="s">
        <v>840</v>
      </c>
      <c r="G3226" s="793" t="s">
        <v>782</v>
      </c>
      <c r="H3226" s="793" t="s">
        <v>804</v>
      </c>
      <c r="I3226" s="794">
        <v>3.3654169086019678E-4</v>
      </c>
      <c r="J3226" s="794">
        <v>0.51295251959083155</v>
      </c>
      <c r="K3226" s="771"/>
    </row>
    <row r="3227" spans="1:11" ht="18.75" customHeight="1" outlineLevel="2">
      <c r="A3227" s="791" t="s">
        <v>776</v>
      </c>
      <c r="B3227" s="791" t="s">
        <v>1037</v>
      </c>
      <c r="C3227" s="791" t="s">
        <v>1022</v>
      </c>
      <c r="D3227" s="792" t="s">
        <v>779</v>
      </c>
      <c r="E3227" s="793" t="s">
        <v>662</v>
      </c>
      <c r="F3227" s="793" t="s">
        <v>841</v>
      </c>
      <c r="G3227" s="793" t="s">
        <v>782</v>
      </c>
      <c r="H3227" s="793" t="s">
        <v>804</v>
      </c>
      <c r="I3227" s="794">
        <v>9.0995658838820201E-2</v>
      </c>
      <c r="J3227" s="794">
        <v>129.10329614266738</v>
      </c>
      <c r="K3227" s="771"/>
    </row>
    <row r="3228" spans="1:11" ht="18.75" customHeight="1" outlineLevel="2">
      <c r="A3228" s="791" t="s">
        <v>776</v>
      </c>
      <c r="B3228" s="791" t="s">
        <v>1037</v>
      </c>
      <c r="C3228" s="791" t="s">
        <v>1022</v>
      </c>
      <c r="D3228" s="792" t="s">
        <v>779</v>
      </c>
      <c r="E3228" s="793" t="s">
        <v>662</v>
      </c>
      <c r="F3228" s="793" t="s">
        <v>842</v>
      </c>
      <c r="G3228" s="793" t="s">
        <v>782</v>
      </c>
      <c r="H3228" s="793" t="s">
        <v>804</v>
      </c>
      <c r="I3228" s="794">
        <v>7.4255672123082261E-2</v>
      </c>
      <c r="J3228" s="794">
        <v>121.54859169357562</v>
      </c>
      <c r="K3228" s="771"/>
    </row>
    <row r="3229" spans="1:11" ht="18.75" customHeight="1" outlineLevel="2">
      <c r="A3229" s="791" t="s">
        <v>776</v>
      </c>
      <c r="B3229" s="791" t="s">
        <v>1037</v>
      </c>
      <c r="C3229" s="791" t="s">
        <v>1022</v>
      </c>
      <c r="D3229" s="792" t="s">
        <v>779</v>
      </c>
      <c r="E3229" s="793" t="s">
        <v>662</v>
      </c>
      <c r="F3229" s="793" t="s">
        <v>843</v>
      </c>
      <c r="G3229" s="793" t="s">
        <v>782</v>
      </c>
      <c r="H3229" s="793" t="s">
        <v>804</v>
      </c>
      <c r="I3229" s="794">
        <v>0.16606072376270045</v>
      </c>
      <c r="J3229" s="794">
        <v>242.5735922657588</v>
      </c>
      <c r="K3229" s="771"/>
    </row>
    <row r="3230" spans="1:11" ht="18.75" customHeight="1" outlineLevel="2">
      <c r="A3230" s="791" t="s">
        <v>776</v>
      </c>
      <c r="B3230" s="791" t="s">
        <v>1037</v>
      </c>
      <c r="C3230" s="791" t="s">
        <v>1022</v>
      </c>
      <c r="D3230" s="792" t="s">
        <v>779</v>
      </c>
      <c r="E3230" s="793" t="s">
        <v>662</v>
      </c>
      <c r="F3230" s="793" t="s">
        <v>844</v>
      </c>
      <c r="G3230" s="793" t="s">
        <v>782</v>
      </c>
      <c r="H3230" s="793" t="s">
        <v>804</v>
      </c>
      <c r="I3230" s="794">
        <v>7.2040710385078643E-2</v>
      </c>
      <c r="J3230" s="794">
        <v>102.14142807898169</v>
      </c>
      <c r="K3230" s="771"/>
    </row>
    <row r="3231" spans="1:11" ht="18.75" customHeight="1" outlineLevel="2">
      <c r="A3231" s="791" t="s">
        <v>776</v>
      </c>
      <c r="B3231" s="791" t="s">
        <v>1037</v>
      </c>
      <c r="C3231" s="791" t="s">
        <v>1022</v>
      </c>
      <c r="D3231" s="792" t="s">
        <v>779</v>
      </c>
      <c r="E3231" s="793" t="s">
        <v>662</v>
      </c>
      <c r="F3231" s="793" t="s">
        <v>845</v>
      </c>
      <c r="G3231" s="793" t="s">
        <v>782</v>
      </c>
      <c r="H3231" s="793" t="s">
        <v>804</v>
      </c>
      <c r="I3231" s="794">
        <v>3.9234535582305923E-3</v>
      </c>
      <c r="J3231" s="794">
        <v>5.3234229580705392</v>
      </c>
      <c r="K3231" s="771"/>
    </row>
    <row r="3232" spans="1:11" ht="18.75" customHeight="1" outlineLevel="2">
      <c r="A3232" s="791" t="s">
        <v>776</v>
      </c>
      <c r="B3232" s="791" t="s">
        <v>1037</v>
      </c>
      <c r="C3232" s="791" t="s">
        <v>1022</v>
      </c>
      <c r="D3232" s="792" t="s">
        <v>779</v>
      </c>
      <c r="E3232" s="793" t="s">
        <v>662</v>
      </c>
      <c r="F3232" s="793" t="s">
        <v>846</v>
      </c>
      <c r="G3232" s="793" t="s">
        <v>782</v>
      </c>
      <c r="H3232" s="793" t="s">
        <v>804</v>
      </c>
      <c r="I3232" s="794">
        <v>0.13653796367419599</v>
      </c>
      <c r="J3232" s="794">
        <v>213.7506351116981</v>
      </c>
      <c r="K3232" s="771"/>
    </row>
    <row r="3233" spans="1:11" ht="18.75" customHeight="1" outlineLevel="2">
      <c r="A3233" s="791" t="s">
        <v>776</v>
      </c>
      <c r="B3233" s="791" t="s">
        <v>1037</v>
      </c>
      <c r="C3233" s="791" t="s">
        <v>1022</v>
      </c>
      <c r="D3233" s="792" t="s">
        <v>779</v>
      </c>
      <c r="E3233" s="793" t="s">
        <v>662</v>
      </c>
      <c r="F3233" s="793" t="s">
        <v>847</v>
      </c>
      <c r="G3233" s="793" t="s">
        <v>782</v>
      </c>
      <c r="H3233" s="793" t="s">
        <v>804</v>
      </c>
      <c r="I3233" s="794">
        <v>6.5087823994687322E-2</v>
      </c>
      <c r="J3233" s="794">
        <v>79.276276485670195</v>
      </c>
      <c r="K3233" s="771"/>
    </row>
    <row r="3234" spans="1:11" ht="18.75" customHeight="1" outlineLevel="2">
      <c r="A3234" s="791" t="s">
        <v>776</v>
      </c>
      <c r="B3234" s="791" t="s">
        <v>1037</v>
      </c>
      <c r="C3234" s="791" t="s">
        <v>1022</v>
      </c>
      <c r="D3234" s="792" t="s">
        <v>779</v>
      </c>
      <c r="E3234" s="793" t="s">
        <v>662</v>
      </c>
      <c r="F3234" s="793" t="s">
        <v>848</v>
      </c>
      <c r="G3234" s="793" t="s">
        <v>782</v>
      </c>
      <c r="H3234" s="793" t="s">
        <v>804</v>
      </c>
      <c r="I3234" s="794">
        <v>0.30758843417946169</v>
      </c>
      <c r="J3234" s="794">
        <v>445.40958606717317</v>
      </c>
      <c r="K3234" s="771"/>
    </row>
    <row r="3235" spans="1:11" ht="18.75" customHeight="1" outlineLevel="2">
      <c r="A3235" s="791" t="s">
        <v>776</v>
      </c>
      <c r="B3235" s="791" t="s">
        <v>1037</v>
      </c>
      <c r="C3235" s="791" t="s">
        <v>1022</v>
      </c>
      <c r="D3235" s="792" t="s">
        <v>779</v>
      </c>
      <c r="E3235" s="793" t="s">
        <v>662</v>
      </c>
      <c r="F3235" s="793" t="s">
        <v>849</v>
      </c>
      <c r="G3235" s="793" t="s">
        <v>782</v>
      </c>
      <c r="H3235" s="793" t="s">
        <v>804</v>
      </c>
      <c r="I3235" s="794">
        <v>0.15592367466601106</v>
      </c>
      <c r="J3235" s="794">
        <v>213.89797641422132</v>
      </c>
      <c r="K3235" s="771"/>
    </row>
    <row r="3236" spans="1:11" ht="18.75" customHeight="1" outlineLevel="2">
      <c r="A3236" s="791" t="s">
        <v>776</v>
      </c>
      <c r="B3236" s="791" t="s">
        <v>1037</v>
      </c>
      <c r="C3236" s="791" t="s">
        <v>1022</v>
      </c>
      <c r="D3236" s="792" t="s">
        <v>779</v>
      </c>
      <c r="E3236" s="793" t="s">
        <v>662</v>
      </c>
      <c r="F3236" s="793" t="s">
        <v>850</v>
      </c>
      <c r="G3236" s="793" t="s">
        <v>782</v>
      </c>
      <c r="H3236" s="793" t="s">
        <v>804</v>
      </c>
      <c r="I3236" s="794">
        <v>1.2328482480222579E-2</v>
      </c>
      <c r="J3236" s="794">
        <v>17.229206621089126</v>
      </c>
      <c r="K3236" s="771"/>
    </row>
    <row r="3237" spans="1:11" ht="18.75" customHeight="1" outlineLevel="2">
      <c r="A3237" s="791" t="s">
        <v>776</v>
      </c>
      <c r="B3237" s="791" t="s">
        <v>1037</v>
      </c>
      <c r="C3237" s="791" t="s">
        <v>1022</v>
      </c>
      <c r="D3237" s="792" t="s">
        <v>779</v>
      </c>
      <c r="E3237" s="793" t="s">
        <v>662</v>
      </c>
      <c r="F3237" s="793" t="s">
        <v>851</v>
      </c>
      <c r="G3237" s="793" t="s">
        <v>782</v>
      </c>
      <c r="H3237" s="793" t="s">
        <v>804</v>
      </c>
      <c r="I3237" s="794">
        <v>2.0238353513230823E-2</v>
      </c>
      <c r="J3237" s="794">
        <v>28.932152051070791</v>
      </c>
      <c r="K3237" s="771"/>
    </row>
    <row r="3238" spans="1:11" ht="18.75" customHeight="1" outlineLevel="2">
      <c r="A3238" s="791" t="s">
        <v>776</v>
      </c>
      <c r="B3238" s="791" t="s">
        <v>1037</v>
      </c>
      <c r="C3238" s="791" t="s">
        <v>1022</v>
      </c>
      <c r="D3238" s="792" t="s">
        <v>779</v>
      </c>
      <c r="E3238" s="793" t="s">
        <v>662</v>
      </c>
      <c r="F3238" s="793" t="s">
        <v>852</v>
      </c>
      <c r="G3238" s="793" t="s">
        <v>782</v>
      </c>
      <c r="H3238" s="793" t="s">
        <v>804</v>
      </c>
      <c r="I3238" s="794">
        <v>8.8624759995288797E-3</v>
      </c>
      <c r="J3238" s="794">
        <v>25.853242626840316</v>
      </c>
      <c r="K3238" s="771"/>
    </row>
    <row r="3239" spans="1:11" ht="18.75" customHeight="1" outlineLevel="2">
      <c r="A3239" s="791" t="s">
        <v>776</v>
      </c>
      <c r="B3239" s="791" t="s">
        <v>1037</v>
      </c>
      <c r="C3239" s="791" t="s">
        <v>1022</v>
      </c>
      <c r="D3239" s="792" t="s">
        <v>779</v>
      </c>
      <c r="E3239" s="793" t="s">
        <v>662</v>
      </c>
      <c r="F3239" s="793" t="s">
        <v>853</v>
      </c>
      <c r="G3239" s="793" t="s">
        <v>782</v>
      </c>
      <c r="H3239" s="793" t="s">
        <v>804</v>
      </c>
      <c r="I3239" s="794">
        <v>7.1323741673118045E-3</v>
      </c>
      <c r="J3239" s="794">
        <v>61.319439191862429</v>
      </c>
      <c r="K3239" s="771"/>
    </row>
    <row r="3240" spans="1:11" ht="18.75" customHeight="1" outlineLevel="2">
      <c r="A3240" s="791" t="s">
        <v>776</v>
      </c>
      <c r="B3240" s="791" t="s">
        <v>1037</v>
      </c>
      <c r="C3240" s="791" t="s">
        <v>1022</v>
      </c>
      <c r="D3240" s="792" t="s">
        <v>779</v>
      </c>
      <c r="E3240" s="793" t="s">
        <v>662</v>
      </c>
      <c r="F3240" s="793" t="s">
        <v>854</v>
      </c>
      <c r="G3240" s="793" t="s">
        <v>782</v>
      </c>
      <c r="H3240" s="793" t="s">
        <v>804</v>
      </c>
      <c r="I3240" s="794">
        <v>9.7045383464105683E-2</v>
      </c>
      <c r="J3240" s="794">
        <v>146.21171806173251</v>
      </c>
      <c r="K3240" s="771"/>
    </row>
    <row r="3241" spans="1:11" ht="18.75" customHeight="1" outlineLevel="2">
      <c r="A3241" s="791" t="s">
        <v>776</v>
      </c>
      <c r="B3241" s="791" t="s">
        <v>1037</v>
      </c>
      <c r="C3241" s="791" t="s">
        <v>1022</v>
      </c>
      <c r="D3241" s="792" t="s">
        <v>779</v>
      </c>
      <c r="E3241" s="793" t="s">
        <v>662</v>
      </c>
      <c r="F3241" s="793" t="s">
        <v>855</v>
      </c>
      <c r="G3241" s="793" t="s">
        <v>782</v>
      </c>
      <c r="H3241" s="793" t="s">
        <v>804</v>
      </c>
      <c r="I3241" s="794">
        <v>6.9288921338977877E-2</v>
      </c>
      <c r="J3241" s="794">
        <v>101.9037814801743</v>
      </c>
      <c r="K3241" s="771"/>
    </row>
    <row r="3242" spans="1:11" ht="18.75" customHeight="1" outlineLevel="2">
      <c r="A3242" s="791" t="s">
        <v>776</v>
      </c>
      <c r="B3242" s="791" t="s">
        <v>1037</v>
      </c>
      <c r="C3242" s="791" t="s">
        <v>1022</v>
      </c>
      <c r="D3242" s="792" t="s">
        <v>779</v>
      </c>
      <c r="E3242" s="793" t="s">
        <v>662</v>
      </c>
      <c r="F3242" s="793" t="s">
        <v>856</v>
      </c>
      <c r="G3242" s="793" t="s">
        <v>782</v>
      </c>
      <c r="H3242" s="793" t="s">
        <v>804</v>
      </c>
      <c r="I3242" s="794">
        <v>2.721323973949109E-2</v>
      </c>
      <c r="J3242" s="794">
        <v>33.390237733802671</v>
      </c>
      <c r="K3242" s="771"/>
    </row>
    <row r="3243" spans="1:11" ht="18.75" customHeight="1" outlineLevel="2">
      <c r="A3243" s="791" t="s">
        <v>776</v>
      </c>
      <c r="B3243" s="791" t="s">
        <v>1037</v>
      </c>
      <c r="C3243" s="791" t="s">
        <v>1022</v>
      </c>
      <c r="D3243" s="792" t="s">
        <v>779</v>
      </c>
      <c r="E3243" s="793" t="s">
        <v>662</v>
      </c>
      <c r="F3243" s="793" t="s">
        <v>857</v>
      </c>
      <c r="G3243" s="793" t="s">
        <v>782</v>
      </c>
      <c r="H3243" s="793" t="s">
        <v>804</v>
      </c>
      <c r="I3243" s="794">
        <v>2.2652472978905446E-2</v>
      </c>
      <c r="J3243" s="794">
        <v>24.398319336422382</v>
      </c>
      <c r="K3243" s="771"/>
    </row>
    <row r="3244" spans="1:11" ht="18.75" customHeight="1" outlineLevel="2">
      <c r="A3244" s="791" t="s">
        <v>776</v>
      </c>
      <c r="B3244" s="791" t="s">
        <v>1037</v>
      </c>
      <c r="C3244" s="791" t="s">
        <v>1022</v>
      </c>
      <c r="D3244" s="792" t="s">
        <v>779</v>
      </c>
      <c r="E3244" s="793" t="s">
        <v>662</v>
      </c>
      <c r="F3244" s="793" t="s">
        <v>858</v>
      </c>
      <c r="G3244" s="793" t="s">
        <v>785</v>
      </c>
      <c r="H3244" s="793" t="s">
        <v>727</v>
      </c>
      <c r="I3244" s="794">
        <v>0.11289465475440687</v>
      </c>
      <c r="J3244" s="794">
        <v>226.3912285059412</v>
      </c>
      <c r="K3244" s="771"/>
    </row>
    <row r="3245" spans="1:11" ht="18.75" customHeight="1" outlineLevel="2">
      <c r="A3245" s="791" t="s">
        <v>776</v>
      </c>
      <c r="B3245" s="791" t="s">
        <v>1037</v>
      </c>
      <c r="C3245" s="791" t="s">
        <v>1022</v>
      </c>
      <c r="D3245" s="792" t="s">
        <v>779</v>
      </c>
      <c r="E3245" s="793" t="s">
        <v>662</v>
      </c>
      <c r="F3245" s="793" t="s">
        <v>859</v>
      </c>
      <c r="G3245" s="793" t="s">
        <v>785</v>
      </c>
      <c r="H3245" s="793" t="s">
        <v>727</v>
      </c>
      <c r="I3245" s="794">
        <v>8.1107695314213857E-2</v>
      </c>
      <c r="J3245" s="794">
        <v>856.7778621227543</v>
      </c>
      <c r="K3245" s="771"/>
    </row>
    <row r="3246" spans="1:11" ht="18.75" customHeight="1" outlineLevel="2">
      <c r="A3246" s="791" t="s">
        <v>776</v>
      </c>
      <c r="B3246" s="791" t="s">
        <v>1037</v>
      </c>
      <c r="C3246" s="791" t="s">
        <v>1022</v>
      </c>
      <c r="D3246" s="792" t="s">
        <v>779</v>
      </c>
      <c r="E3246" s="793" t="s">
        <v>662</v>
      </c>
      <c r="F3246" s="793" t="s">
        <v>860</v>
      </c>
      <c r="G3246" s="793" t="s">
        <v>785</v>
      </c>
      <c r="H3246" s="793" t="s">
        <v>727</v>
      </c>
      <c r="I3246" s="794">
        <v>6.7299493355387666E-2</v>
      </c>
      <c r="J3246" s="794">
        <v>184.10603415955813</v>
      </c>
      <c r="K3246" s="771"/>
    </row>
    <row r="3247" spans="1:11" ht="18.75" customHeight="1" outlineLevel="2">
      <c r="A3247" s="791" t="s">
        <v>776</v>
      </c>
      <c r="B3247" s="791" t="s">
        <v>1037</v>
      </c>
      <c r="C3247" s="791" t="s">
        <v>1022</v>
      </c>
      <c r="D3247" s="792" t="s">
        <v>779</v>
      </c>
      <c r="E3247" s="793" t="s">
        <v>662</v>
      </c>
      <c r="F3247" s="793" t="s">
        <v>861</v>
      </c>
      <c r="G3247" s="793" t="s">
        <v>785</v>
      </c>
      <c r="H3247" s="793" t="s">
        <v>727</v>
      </c>
      <c r="I3247" s="794">
        <v>0.25887198464673195</v>
      </c>
      <c r="J3247" s="794">
        <v>345.80170539969845</v>
      </c>
      <c r="K3247" s="771"/>
    </row>
    <row r="3248" spans="1:11" ht="18.75" customHeight="1" outlineLevel="2">
      <c r="A3248" s="791" t="s">
        <v>776</v>
      </c>
      <c r="B3248" s="791" t="s">
        <v>1037</v>
      </c>
      <c r="C3248" s="791" t="s">
        <v>1022</v>
      </c>
      <c r="D3248" s="792" t="s">
        <v>779</v>
      </c>
      <c r="E3248" s="793" t="s">
        <v>662</v>
      </c>
      <c r="F3248" s="793" t="s">
        <v>862</v>
      </c>
      <c r="G3248" s="793" t="s">
        <v>785</v>
      </c>
      <c r="H3248" s="793" t="s">
        <v>727</v>
      </c>
      <c r="I3248" s="794">
        <v>7.3036864758195992E-3</v>
      </c>
      <c r="J3248" s="794">
        <v>15.866859336603847</v>
      </c>
      <c r="K3248" s="771"/>
    </row>
    <row r="3249" spans="1:11" ht="18.75" customHeight="1" outlineLevel="2">
      <c r="A3249" s="791" t="s">
        <v>776</v>
      </c>
      <c r="B3249" s="791" t="s">
        <v>1037</v>
      </c>
      <c r="C3249" s="791" t="s">
        <v>1022</v>
      </c>
      <c r="D3249" s="792" t="s">
        <v>779</v>
      </c>
      <c r="E3249" s="793" t="s">
        <v>662</v>
      </c>
      <c r="F3249" s="793" t="s">
        <v>863</v>
      </c>
      <c r="G3249" s="793" t="s">
        <v>785</v>
      </c>
      <c r="H3249" s="793" t="s">
        <v>727</v>
      </c>
      <c r="I3249" s="794">
        <v>1.8260837774015454E-2</v>
      </c>
      <c r="J3249" s="794">
        <v>27.127500443708655</v>
      </c>
      <c r="K3249" s="771"/>
    </row>
    <row r="3250" spans="1:11" ht="18.75" customHeight="1" outlineLevel="2">
      <c r="A3250" s="791" t="s">
        <v>776</v>
      </c>
      <c r="B3250" s="791" t="s">
        <v>1037</v>
      </c>
      <c r="C3250" s="791" t="s">
        <v>1022</v>
      </c>
      <c r="D3250" s="792" t="s">
        <v>779</v>
      </c>
      <c r="E3250" s="793" t="s">
        <v>662</v>
      </c>
      <c r="F3250" s="793" t="s">
        <v>864</v>
      </c>
      <c r="G3250" s="793" t="s">
        <v>785</v>
      </c>
      <c r="H3250" s="793" t="s">
        <v>727</v>
      </c>
      <c r="I3250" s="794">
        <v>5.3173002255923543E-3</v>
      </c>
      <c r="J3250" s="794">
        <v>75.666742771537614</v>
      </c>
      <c r="K3250" s="771"/>
    </row>
    <row r="3251" spans="1:11" ht="18.75" customHeight="1" outlineLevel="2">
      <c r="A3251" s="791" t="s">
        <v>776</v>
      </c>
      <c r="B3251" s="791" t="s">
        <v>1037</v>
      </c>
      <c r="C3251" s="791" t="s">
        <v>1022</v>
      </c>
      <c r="D3251" s="792" t="s">
        <v>779</v>
      </c>
      <c r="E3251" s="793" t="s">
        <v>662</v>
      </c>
      <c r="F3251" s="793" t="s">
        <v>865</v>
      </c>
      <c r="G3251" s="793" t="s">
        <v>813</v>
      </c>
      <c r="H3251" s="793" t="s">
        <v>814</v>
      </c>
      <c r="I3251" s="794">
        <v>4.2336107316465847</v>
      </c>
      <c r="J3251" s="794">
        <v>4528.1478416476193</v>
      </c>
      <c r="K3251" s="771"/>
    </row>
    <row r="3252" spans="1:11" ht="18.75" customHeight="1" outlineLevel="2">
      <c r="A3252" s="791" t="s">
        <v>776</v>
      </c>
      <c r="B3252" s="791" t="s">
        <v>1037</v>
      </c>
      <c r="C3252" s="791" t="s">
        <v>1022</v>
      </c>
      <c r="D3252" s="792" t="s">
        <v>779</v>
      </c>
      <c r="E3252" s="793" t="s">
        <v>662</v>
      </c>
      <c r="F3252" s="793" t="s">
        <v>866</v>
      </c>
      <c r="G3252" s="793" t="s">
        <v>813</v>
      </c>
      <c r="H3252" s="793" t="s">
        <v>814</v>
      </c>
      <c r="I3252" s="794">
        <v>3.6214654393145604</v>
      </c>
      <c r="J3252" s="794">
        <v>4913.9994630457186</v>
      </c>
      <c r="K3252" s="771"/>
    </row>
    <row r="3253" spans="1:11" ht="18.75" customHeight="1" outlineLevel="2">
      <c r="A3253" s="791" t="s">
        <v>776</v>
      </c>
      <c r="B3253" s="791" t="s">
        <v>1037</v>
      </c>
      <c r="C3253" s="791" t="s">
        <v>1022</v>
      </c>
      <c r="D3253" s="792" t="s">
        <v>779</v>
      </c>
      <c r="E3253" s="793" t="s">
        <v>662</v>
      </c>
      <c r="F3253" s="793" t="s">
        <v>867</v>
      </c>
      <c r="G3253" s="793" t="s">
        <v>813</v>
      </c>
      <c r="H3253" s="793" t="s">
        <v>814</v>
      </c>
      <c r="I3253" s="794">
        <v>0.36444896559891271</v>
      </c>
      <c r="J3253" s="794">
        <v>389.65495325599829</v>
      </c>
      <c r="K3253" s="771"/>
    </row>
    <row r="3254" spans="1:11" ht="18.75" customHeight="1" outlineLevel="2">
      <c r="A3254" s="791" t="s">
        <v>776</v>
      </c>
      <c r="B3254" s="791" t="s">
        <v>1037</v>
      </c>
      <c r="C3254" s="791" t="s">
        <v>1022</v>
      </c>
      <c r="D3254" s="792" t="s">
        <v>779</v>
      </c>
      <c r="E3254" s="793" t="s">
        <v>662</v>
      </c>
      <c r="F3254" s="793" t="s">
        <v>868</v>
      </c>
      <c r="G3254" s="793" t="s">
        <v>813</v>
      </c>
      <c r="H3254" s="793" t="s">
        <v>814</v>
      </c>
      <c r="I3254" s="794">
        <v>2.3078564876358341</v>
      </c>
      <c r="J3254" s="794">
        <v>2914.8057481102383</v>
      </c>
      <c r="K3254" s="771"/>
    </row>
    <row r="3255" spans="1:11" ht="18.75" customHeight="1" outlineLevel="2">
      <c r="A3255" s="791" t="s">
        <v>776</v>
      </c>
      <c r="B3255" s="791" t="s">
        <v>1037</v>
      </c>
      <c r="C3255" s="791" t="s">
        <v>1022</v>
      </c>
      <c r="D3255" s="792" t="s">
        <v>779</v>
      </c>
      <c r="E3255" s="793" t="s">
        <v>662</v>
      </c>
      <c r="F3255" s="793" t="s">
        <v>869</v>
      </c>
      <c r="G3255" s="793" t="s">
        <v>813</v>
      </c>
      <c r="H3255" s="793" t="s">
        <v>814</v>
      </c>
      <c r="I3255" s="794">
        <v>1.9853577619936232E-2</v>
      </c>
      <c r="J3255" s="794">
        <v>25.170706376403917</v>
      </c>
      <c r="K3255" s="771"/>
    </row>
    <row r="3256" spans="1:11" ht="18.75" customHeight="1" outlineLevel="2">
      <c r="A3256" s="791" t="s">
        <v>776</v>
      </c>
      <c r="B3256" s="791" t="s">
        <v>1037</v>
      </c>
      <c r="C3256" s="791" t="s">
        <v>1022</v>
      </c>
      <c r="D3256" s="792" t="s">
        <v>779</v>
      </c>
      <c r="E3256" s="793" t="s">
        <v>662</v>
      </c>
      <c r="F3256" s="793" t="s">
        <v>870</v>
      </c>
      <c r="G3256" s="793" t="s">
        <v>813</v>
      </c>
      <c r="H3256" s="793" t="s">
        <v>814</v>
      </c>
      <c r="I3256" s="794">
        <v>8.0401193969453805E-2</v>
      </c>
      <c r="J3256" s="794">
        <v>113.8205414291874</v>
      </c>
      <c r="K3256" s="771"/>
    </row>
    <row r="3257" spans="1:11" ht="18.75" customHeight="1" outlineLevel="2">
      <c r="A3257" s="791" t="s">
        <v>776</v>
      </c>
      <c r="B3257" s="791" t="s">
        <v>1037</v>
      </c>
      <c r="C3257" s="791" t="s">
        <v>1022</v>
      </c>
      <c r="D3257" s="792" t="s">
        <v>779</v>
      </c>
      <c r="E3257" s="793" t="s">
        <v>662</v>
      </c>
      <c r="F3257" s="793" t="s">
        <v>871</v>
      </c>
      <c r="G3257" s="793" t="s">
        <v>813</v>
      </c>
      <c r="H3257" s="793" t="s">
        <v>814</v>
      </c>
      <c r="I3257" s="794">
        <v>3.7811705935520405E-2</v>
      </c>
      <c r="J3257" s="794">
        <v>48.020023239844029</v>
      </c>
      <c r="K3257" s="771"/>
    </row>
    <row r="3258" spans="1:11" ht="18.75" customHeight="1" outlineLevel="2">
      <c r="A3258" s="791" t="s">
        <v>776</v>
      </c>
      <c r="B3258" s="791" t="s">
        <v>1037</v>
      </c>
      <c r="C3258" s="791" t="s">
        <v>1022</v>
      </c>
      <c r="D3258" s="792" t="s">
        <v>779</v>
      </c>
      <c r="E3258" s="793" t="s">
        <v>662</v>
      </c>
      <c r="F3258" s="793" t="s">
        <v>872</v>
      </c>
      <c r="G3258" s="793" t="s">
        <v>813</v>
      </c>
      <c r="H3258" s="793" t="s">
        <v>814</v>
      </c>
      <c r="I3258" s="794">
        <v>2.7477889472700379</v>
      </c>
      <c r="J3258" s="794">
        <v>4670.5834903357509</v>
      </c>
      <c r="K3258" s="771"/>
    </row>
    <row r="3259" spans="1:11" ht="18.75" customHeight="1" outlineLevel="2">
      <c r="A3259" s="791" t="s">
        <v>776</v>
      </c>
      <c r="B3259" s="791" t="s">
        <v>1037</v>
      </c>
      <c r="C3259" s="791" t="s">
        <v>1022</v>
      </c>
      <c r="D3259" s="792" t="s">
        <v>779</v>
      </c>
      <c r="E3259" s="793" t="s">
        <v>662</v>
      </c>
      <c r="F3259" s="793" t="s">
        <v>873</v>
      </c>
      <c r="G3259" s="793" t="s">
        <v>813</v>
      </c>
      <c r="H3259" s="793" t="s">
        <v>814</v>
      </c>
      <c r="I3259" s="794">
        <v>0.96160283039125372</v>
      </c>
      <c r="J3259" s="794">
        <v>512.47270349398843</v>
      </c>
      <c r="K3259" s="771"/>
    </row>
    <row r="3260" spans="1:11" ht="18.75" customHeight="1" outlineLevel="2">
      <c r="A3260" s="791" t="s">
        <v>776</v>
      </c>
      <c r="B3260" s="791" t="s">
        <v>1037</v>
      </c>
      <c r="C3260" s="791" t="s">
        <v>1022</v>
      </c>
      <c r="D3260" s="792" t="s">
        <v>779</v>
      </c>
      <c r="E3260" s="793" t="s">
        <v>662</v>
      </c>
      <c r="F3260" s="793" t="s">
        <v>874</v>
      </c>
      <c r="G3260" s="793" t="s">
        <v>813</v>
      </c>
      <c r="H3260" s="793" t="s">
        <v>814</v>
      </c>
      <c r="I3260" s="794">
        <v>3.4675842211205028</v>
      </c>
      <c r="J3260" s="794">
        <v>1847.7828822369033</v>
      </c>
      <c r="K3260" s="771"/>
    </row>
    <row r="3261" spans="1:11" ht="18.75" customHeight="1" outlineLevel="2">
      <c r="A3261" s="791" t="s">
        <v>776</v>
      </c>
      <c r="B3261" s="791" t="s">
        <v>1037</v>
      </c>
      <c r="C3261" s="791" t="s">
        <v>1022</v>
      </c>
      <c r="D3261" s="792" t="s">
        <v>779</v>
      </c>
      <c r="E3261" s="793" t="s">
        <v>662</v>
      </c>
      <c r="F3261" s="793" t="s">
        <v>875</v>
      </c>
      <c r="G3261" s="793" t="s">
        <v>813</v>
      </c>
      <c r="H3261" s="793" t="s">
        <v>814</v>
      </c>
      <c r="I3261" s="794">
        <v>0.63081304745047206</v>
      </c>
      <c r="J3261" s="794">
        <v>919.68106403199931</v>
      </c>
      <c r="K3261" s="771"/>
    </row>
    <row r="3262" spans="1:11" ht="18.75" customHeight="1" outlineLevel="2">
      <c r="A3262" s="791" t="s">
        <v>776</v>
      </c>
      <c r="B3262" s="791" t="s">
        <v>1037</v>
      </c>
      <c r="C3262" s="791" t="s">
        <v>1022</v>
      </c>
      <c r="D3262" s="792" t="s">
        <v>779</v>
      </c>
      <c r="E3262" s="793" t="s">
        <v>662</v>
      </c>
      <c r="F3262" s="793" t="s">
        <v>876</v>
      </c>
      <c r="G3262" s="793" t="s">
        <v>813</v>
      </c>
      <c r="H3262" s="793" t="s">
        <v>814</v>
      </c>
      <c r="I3262" s="794">
        <v>0.41357219667463363</v>
      </c>
      <c r="J3262" s="794">
        <v>624.32162127045945</v>
      </c>
      <c r="K3262" s="771"/>
    </row>
    <row r="3263" spans="1:11" ht="18.75" customHeight="1" outlineLevel="2">
      <c r="A3263" s="791" t="s">
        <v>776</v>
      </c>
      <c r="B3263" s="791" t="s">
        <v>1037</v>
      </c>
      <c r="C3263" s="791" t="s">
        <v>1022</v>
      </c>
      <c r="D3263" s="792" t="s">
        <v>779</v>
      </c>
      <c r="E3263" s="793" t="s">
        <v>662</v>
      </c>
      <c r="F3263" s="793" t="s">
        <v>877</v>
      </c>
      <c r="G3263" s="793" t="s">
        <v>813</v>
      </c>
      <c r="H3263" s="793" t="s">
        <v>814</v>
      </c>
      <c r="I3263" s="794">
        <v>0.54564442623980403</v>
      </c>
      <c r="J3263" s="794">
        <v>706.67057237028871</v>
      </c>
      <c r="K3263" s="771"/>
    </row>
    <row r="3264" spans="1:11" ht="18.75" customHeight="1" outlineLevel="2">
      <c r="A3264" s="791" t="s">
        <v>776</v>
      </c>
      <c r="B3264" s="791" t="s">
        <v>1037</v>
      </c>
      <c r="C3264" s="791" t="s">
        <v>1022</v>
      </c>
      <c r="D3264" s="792" t="s">
        <v>779</v>
      </c>
      <c r="E3264" s="793" t="s">
        <v>662</v>
      </c>
      <c r="F3264" s="793" t="s">
        <v>878</v>
      </c>
      <c r="G3264" s="793" t="s">
        <v>813</v>
      </c>
      <c r="H3264" s="793" t="s">
        <v>814</v>
      </c>
      <c r="I3264" s="794">
        <v>0.27842267500947482</v>
      </c>
      <c r="J3264" s="794">
        <v>335.52284662109992</v>
      </c>
      <c r="K3264" s="771"/>
    </row>
    <row r="3265" spans="1:11" ht="18.75" customHeight="1" outlineLevel="2">
      <c r="A3265" s="791" t="s">
        <v>776</v>
      </c>
      <c r="B3265" s="791" t="s">
        <v>1037</v>
      </c>
      <c r="C3265" s="791" t="s">
        <v>1022</v>
      </c>
      <c r="D3265" s="792" t="s">
        <v>779</v>
      </c>
      <c r="E3265" s="793" t="s">
        <v>662</v>
      </c>
      <c r="F3265" s="793" t="s">
        <v>879</v>
      </c>
      <c r="G3265" s="793" t="s">
        <v>813</v>
      </c>
      <c r="H3265" s="793" t="s">
        <v>814</v>
      </c>
      <c r="I3265" s="794">
        <v>8.4363235124729634</v>
      </c>
      <c r="J3265" s="794">
        <v>12327.576221289202</v>
      </c>
      <c r="K3265" s="771"/>
    </row>
    <row r="3266" spans="1:11" ht="18.75" customHeight="1" outlineLevel="2">
      <c r="A3266" s="791" t="s">
        <v>776</v>
      </c>
      <c r="B3266" s="791" t="s">
        <v>1037</v>
      </c>
      <c r="C3266" s="791" t="s">
        <v>1022</v>
      </c>
      <c r="D3266" s="792" t="s">
        <v>779</v>
      </c>
      <c r="E3266" s="793" t="s">
        <v>662</v>
      </c>
      <c r="F3266" s="793" t="s">
        <v>880</v>
      </c>
      <c r="G3266" s="793" t="s">
        <v>813</v>
      </c>
      <c r="H3266" s="793" t="s">
        <v>814</v>
      </c>
      <c r="I3266" s="794">
        <v>5.6191976221545792</v>
      </c>
      <c r="J3266" s="794">
        <v>8484.5560664479581</v>
      </c>
      <c r="K3266" s="771"/>
    </row>
    <row r="3267" spans="1:11" ht="18.75" customHeight="1" outlineLevel="2">
      <c r="A3267" s="791" t="s">
        <v>776</v>
      </c>
      <c r="B3267" s="791" t="s">
        <v>1037</v>
      </c>
      <c r="C3267" s="791" t="s">
        <v>1022</v>
      </c>
      <c r="D3267" s="792" t="s">
        <v>779</v>
      </c>
      <c r="E3267" s="793" t="s">
        <v>662</v>
      </c>
      <c r="F3267" s="793" t="s">
        <v>881</v>
      </c>
      <c r="G3267" s="793" t="s">
        <v>813</v>
      </c>
      <c r="H3267" s="793" t="s">
        <v>814</v>
      </c>
      <c r="I3267" s="794">
        <v>0.62877950202510835</v>
      </c>
      <c r="J3267" s="794">
        <v>1416.6984406685256</v>
      </c>
      <c r="K3267" s="771"/>
    </row>
    <row r="3268" spans="1:11" ht="18.75" customHeight="1" outlineLevel="2">
      <c r="A3268" s="791" t="s">
        <v>776</v>
      </c>
      <c r="B3268" s="791" t="s">
        <v>1037</v>
      </c>
      <c r="C3268" s="791" t="s">
        <v>1022</v>
      </c>
      <c r="D3268" s="792" t="s">
        <v>779</v>
      </c>
      <c r="E3268" s="793" t="s">
        <v>662</v>
      </c>
      <c r="F3268" s="793" t="s">
        <v>882</v>
      </c>
      <c r="G3268" s="793" t="s">
        <v>813</v>
      </c>
      <c r="H3268" s="793" t="s">
        <v>814</v>
      </c>
      <c r="I3268" s="794">
        <v>17.307403564370581</v>
      </c>
      <c r="J3268" s="794">
        <v>27388.688869990041</v>
      </c>
      <c r="K3268" s="771"/>
    </row>
    <row r="3269" spans="1:11" ht="18.75" customHeight="1" outlineLevel="2">
      <c r="A3269" s="791" t="s">
        <v>776</v>
      </c>
      <c r="B3269" s="791" t="s">
        <v>1037</v>
      </c>
      <c r="C3269" s="791" t="s">
        <v>1022</v>
      </c>
      <c r="D3269" s="792" t="s">
        <v>779</v>
      </c>
      <c r="E3269" s="793" t="s">
        <v>662</v>
      </c>
      <c r="F3269" s="793" t="s">
        <v>883</v>
      </c>
      <c r="G3269" s="793" t="s">
        <v>813</v>
      </c>
      <c r="H3269" s="793" t="s">
        <v>814</v>
      </c>
      <c r="I3269" s="794">
        <v>0.38407007864575116</v>
      </c>
      <c r="J3269" s="794">
        <v>438.20124903010418</v>
      </c>
      <c r="K3269" s="771"/>
    </row>
    <row r="3270" spans="1:11" ht="18.75" customHeight="1" outlineLevel="2">
      <c r="A3270" s="791" t="s">
        <v>776</v>
      </c>
      <c r="B3270" s="791" t="s">
        <v>1037</v>
      </c>
      <c r="C3270" s="791" t="s">
        <v>1022</v>
      </c>
      <c r="D3270" s="792" t="s">
        <v>779</v>
      </c>
      <c r="E3270" s="793" t="s">
        <v>662</v>
      </c>
      <c r="F3270" s="793" t="s">
        <v>884</v>
      </c>
      <c r="G3270" s="793" t="s">
        <v>813</v>
      </c>
      <c r="H3270" s="793" t="s">
        <v>814</v>
      </c>
      <c r="I3270" s="794">
        <v>0.72629152575724254</v>
      </c>
      <c r="J3270" s="794">
        <v>841.60868288473819</v>
      </c>
      <c r="K3270" s="771"/>
    </row>
    <row r="3271" spans="1:11" ht="18.75" customHeight="1" outlineLevel="2">
      <c r="A3271" s="791" t="s">
        <v>776</v>
      </c>
      <c r="B3271" s="791" t="s">
        <v>1037</v>
      </c>
      <c r="C3271" s="791" t="s">
        <v>1022</v>
      </c>
      <c r="D3271" s="792" t="s">
        <v>779</v>
      </c>
      <c r="E3271" s="793" t="s">
        <v>662</v>
      </c>
      <c r="F3271" s="793" t="s">
        <v>885</v>
      </c>
      <c r="G3271" s="793" t="s">
        <v>791</v>
      </c>
      <c r="H3271" s="793" t="s">
        <v>826</v>
      </c>
      <c r="I3271" s="794">
        <v>2.0346476293620834E-4</v>
      </c>
      <c r="J3271" s="794">
        <v>0.30005116941727167</v>
      </c>
      <c r="K3271" s="771"/>
    </row>
    <row r="3272" spans="1:11" ht="18.75" customHeight="1" outlineLevel="2">
      <c r="A3272" s="791" t="s">
        <v>776</v>
      </c>
      <c r="B3272" s="791" t="s">
        <v>1037</v>
      </c>
      <c r="C3272" s="791" t="s">
        <v>1022</v>
      </c>
      <c r="D3272" s="792" t="s">
        <v>779</v>
      </c>
      <c r="E3272" s="793" t="s">
        <v>662</v>
      </c>
      <c r="F3272" s="793" t="s">
        <v>886</v>
      </c>
      <c r="G3272" s="793" t="s">
        <v>791</v>
      </c>
      <c r="H3272" s="793" t="s">
        <v>826</v>
      </c>
      <c r="I3272" s="794">
        <v>2.6626064251456807E-4</v>
      </c>
      <c r="J3272" s="794">
        <v>1.1610904316582435</v>
      </c>
      <c r="K3272" s="771"/>
    </row>
    <row r="3273" spans="1:11" ht="18.75" customHeight="1" outlineLevel="2">
      <c r="A3273" s="791" t="s">
        <v>776</v>
      </c>
      <c r="B3273" s="791" t="s">
        <v>1037</v>
      </c>
      <c r="C3273" s="791" t="s">
        <v>1022</v>
      </c>
      <c r="D3273" s="792" t="s">
        <v>779</v>
      </c>
      <c r="E3273" s="793" t="s">
        <v>662</v>
      </c>
      <c r="F3273" s="793" t="s">
        <v>887</v>
      </c>
      <c r="G3273" s="793" t="s">
        <v>791</v>
      </c>
      <c r="H3273" s="793" t="s">
        <v>826</v>
      </c>
      <c r="I3273" s="794">
        <v>9.9300283912975101E-6</v>
      </c>
      <c r="J3273" s="794">
        <v>9.3139586919334435E-3</v>
      </c>
      <c r="K3273" s="771"/>
    </row>
    <row r="3274" spans="1:11" ht="18.75" customHeight="1" outlineLevel="2">
      <c r="A3274" s="791" t="s">
        <v>776</v>
      </c>
      <c r="B3274" s="791" t="s">
        <v>1037</v>
      </c>
      <c r="C3274" s="791" t="s">
        <v>1022</v>
      </c>
      <c r="D3274" s="792" t="s">
        <v>779</v>
      </c>
      <c r="E3274" s="793" t="s">
        <v>662</v>
      </c>
      <c r="F3274" s="793" t="s">
        <v>888</v>
      </c>
      <c r="G3274" s="793" t="s">
        <v>791</v>
      </c>
      <c r="H3274" s="793" t="s">
        <v>826</v>
      </c>
      <c r="I3274" s="794">
        <v>8.9070766545624666E-4</v>
      </c>
      <c r="J3274" s="794">
        <v>0.83378299577823545</v>
      </c>
      <c r="K3274" s="771"/>
    </row>
    <row r="3275" spans="1:11" ht="18.75" customHeight="1" outlineLevel="2">
      <c r="A3275" s="791" t="s">
        <v>776</v>
      </c>
      <c r="B3275" s="791" t="s">
        <v>1037</v>
      </c>
      <c r="C3275" s="791" t="s">
        <v>1022</v>
      </c>
      <c r="D3275" s="792" t="s">
        <v>779</v>
      </c>
      <c r="E3275" s="793" t="s">
        <v>662</v>
      </c>
      <c r="F3275" s="793" t="s">
        <v>889</v>
      </c>
      <c r="G3275" s="793" t="s">
        <v>791</v>
      </c>
      <c r="H3275" s="793" t="s">
        <v>826</v>
      </c>
      <c r="I3275" s="794">
        <v>1.7118280894680752E-4</v>
      </c>
      <c r="J3275" s="794">
        <v>0.24668772217625207</v>
      </c>
      <c r="K3275" s="771"/>
    </row>
    <row r="3276" spans="1:11" ht="18.75" customHeight="1" outlineLevel="2">
      <c r="A3276" s="791" t="s">
        <v>776</v>
      </c>
      <c r="B3276" s="791" t="s">
        <v>1037</v>
      </c>
      <c r="C3276" s="791" t="s">
        <v>1022</v>
      </c>
      <c r="D3276" s="792" t="s">
        <v>779</v>
      </c>
      <c r="E3276" s="793" t="s">
        <v>662</v>
      </c>
      <c r="F3276" s="793" t="s">
        <v>890</v>
      </c>
      <c r="G3276" s="793" t="s">
        <v>791</v>
      </c>
      <c r="H3276" s="793" t="s">
        <v>826</v>
      </c>
      <c r="I3276" s="794">
        <v>2.4463069370181238E-3</v>
      </c>
      <c r="J3276" s="794">
        <v>2.7332861939412467</v>
      </c>
      <c r="K3276" s="771"/>
    </row>
    <row r="3277" spans="1:11" ht="18.75" customHeight="1" outlineLevel="2">
      <c r="A3277" s="791" t="s">
        <v>776</v>
      </c>
      <c r="B3277" s="791" t="s">
        <v>1037</v>
      </c>
      <c r="C3277" s="791" t="s">
        <v>1022</v>
      </c>
      <c r="D3277" s="792" t="s">
        <v>779</v>
      </c>
      <c r="E3277" s="793" t="s">
        <v>662</v>
      </c>
      <c r="F3277" s="793" t="s">
        <v>891</v>
      </c>
      <c r="G3277" s="793" t="s">
        <v>791</v>
      </c>
      <c r="H3277" s="793" t="s">
        <v>826</v>
      </c>
      <c r="I3277" s="794">
        <v>1.2524116981904846E-2</v>
      </c>
      <c r="J3277" s="794">
        <v>6.127748159012647</v>
      </c>
      <c r="K3277" s="771"/>
    </row>
    <row r="3278" spans="1:11" ht="18.75" customHeight="1" outlineLevel="2">
      <c r="A3278" s="791" t="s">
        <v>776</v>
      </c>
      <c r="B3278" s="791" t="s">
        <v>1037</v>
      </c>
      <c r="C3278" s="791" t="s">
        <v>1022</v>
      </c>
      <c r="D3278" s="792" t="s">
        <v>779</v>
      </c>
      <c r="E3278" s="793" t="s">
        <v>662</v>
      </c>
      <c r="F3278" s="793" t="s">
        <v>892</v>
      </c>
      <c r="G3278" s="793" t="s">
        <v>791</v>
      </c>
      <c r="H3278" s="793" t="s">
        <v>826</v>
      </c>
      <c r="I3278" s="794">
        <v>1.4106068937396069E-3</v>
      </c>
      <c r="J3278" s="794">
        <v>1.3204561531960906</v>
      </c>
      <c r="K3278" s="771"/>
    </row>
    <row r="3279" spans="1:11" ht="18.75" customHeight="1" outlineLevel="2">
      <c r="A3279" s="791" t="s">
        <v>776</v>
      </c>
      <c r="B3279" s="791" t="s">
        <v>1037</v>
      </c>
      <c r="C3279" s="791" t="s">
        <v>1022</v>
      </c>
      <c r="D3279" s="792" t="s">
        <v>779</v>
      </c>
      <c r="E3279" s="793" t="s">
        <v>662</v>
      </c>
      <c r="F3279" s="793" t="s">
        <v>893</v>
      </c>
      <c r="G3279" s="793" t="s">
        <v>791</v>
      </c>
      <c r="H3279" s="793" t="s">
        <v>826</v>
      </c>
      <c r="I3279" s="794">
        <v>1.8518742154920464E-3</v>
      </c>
      <c r="J3279" s="794">
        <v>1.8843382866129199</v>
      </c>
      <c r="K3279" s="771"/>
    </row>
    <row r="3280" spans="1:11" ht="18.75" customHeight="1" outlineLevel="2">
      <c r="A3280" s="791" t="s">
        <v>776</v>
      </c>
      <c r="B3280" s="791" t="s">
        <v>1037</v>
      </c>
      <c r="C3280" s="791" t="s">
        <v>1022</v>
      </c>
      <c r="D3280" s="792" t="s">
        <v>779</v>
      </c>
      <c r="E3280" s="793" t="s">
        <v>662</v>
      </c>
      <c r="F3280" s="793" t="s">
        <v>894</v>
      </c>
      <c r="G3280" s="793" t="s">
        <v>791</v>
      </c>
      <c r="H3280" s="793" t="s">
        <v>826</v>
      </c>
      <c r="I3280" s="794">
        <v>2.2186120638689093E-4</v>
      </c>
      <c r="J3280" s="794">
        <v>2.0138036466373221</v>
      </c>
      <c r="K3280" s="771"/>
    </row>
    <row r="3281" spans="1:11" ht="18.75" customHeight="1" outlineLevel="2">
      <c r="A3281" s="791" t="s">
        <v>776</v>
      </c>
      <c r="B3281" s="791" t="s">
        <v>1037</v>
      </c>
      <c r="C3281" s="791" t="s">
        <v>1022</v>
      </c>
      <c r="D3281" s="792" t="s">
        <v>779</v>
      </c>
      <c r="E3281" s="793" t="s">
        <v>662</v>
      </c>
      <c r="F3281" s="793" t="s">
        <v>895</v>
      </c>
      <c r="G3281" s="793" t="s">
        <v>794</v>
      </c>
      <c r="H3281" s="793" t="s">
        <v>828</v>
      </c>
      <c r="I3281" s="794">
        <v>4.3645109594388112</v>
      </c>
      <c r="J3281" s="794">
        <v>6053.3721341466817</v>
      </c>
      <c r="K3281" s="771"/>
    </row>
    <row r="3282" spans="1:11" ht="18.75" customHeight="1" outlineLevel="2">
      <c r="A3282" s="791" t="s">
        <v>776</v>
      </c>
      <c r="B3282" s="791" t="s">
        <v>1037</v>
      </c>
      <c r="C3282" s="791" t="s">
        <v>1022</v>
      </c>
      <c r="D3282" s="792" t="s">
        <v>779</v>
      </c>
      <c r="E3282" s="793" t="s">
        <v>662</v>
      </c>
      <c r="F3282" s="793" t="s">
        <v>896</v>
      </c>
      <c r="G3282" s="793" t="s">
        <v>794</v>
      </c>
      <c r="H3282" s="793" t="s">
        <v>828</v>
      </c>
      <c r="I3282" s="794">
        <v>1.0251677487083231</v>
      </c>
      <c r="J3282" s="794">
        <v>1514.4997719112964</v>
      </c>
      <c r="K3282" s="771"/>
    </row>
    <row r="3283" spans="1:11" ht="18.75" customHeight="1" outlineLevel="2">
      <c r="A3283" s="791" t="s">
        <v>776</v>
      </c>
      <c r="B3283" s="791" t="s">
        <v>1037</v>
      </c>
      <c r="C3283" s="791" t="s">
        <v>1022</v>
      </c>
      <c r="D3283" s="792" t="s">
        <v>779</v>
      </c>
      <c r="E3283" s="793" t="s">
        <v>662</v>
      </c>
      <c r="F3283" s="793" t="s">
        <v>897</v>
      </c>
      <c r="G3283" s="793" t="s">
        <v>794</v>
      </c>
      <c r="H3283" s="793" t="s">
        <v>828</v>
      </c>
      <c r="I3283" s="794">
        <v>0.47293262778600031</v>
      </c>
      <c r="J3283" s="794">
        <v>800.81740916246247</v>
      </c>
      <c r="K3283" s="771"/>
    </row>
    <row r="3284" spans="1:11" ht="18.75" customHeight="1" outlineLevel="2">
      <c r="A3284" s="791" t="s">
        <v>776</v>
      </c>
      <c r="B3284" s="791" t="s">
        <v>1037</v>
      </c>
      <c r="C3284" s="791" t="s">
        <v>1022</v>
      </c>
      <c r="D3284" s="792" t="s">
        <v>779</v>
      </c>
      <c r="E3284" s="793" t="s">
        <v>662</v>
      </c>
      <c r="F3284" s="793" t="s">
        <v>898</v>
      </c>
      <c r="G3284" s="793" t="s">
        <v>794</v>
      </c>
      <c r="H3284" s="793" t="s">
        <v>828</v>
      </c>
      <c r="I3284" s="794">
        <v>1.0897417168709256</v>
      </c>
      <c r="J3284" s="794">
        <v>1721.5418735261908</v>
      </c>
      <c r="K3284" s="771"/>
    </row>
    <row r="3285" spans="1:11" ht="18.75" customHeight="1" outlineLevel="2">
      <c r="A3285" s="791" t="s">
        <v>776</v>
      </c>
      <c r="B3285" s="791" t="s">
        <v>1037</v>
      </c>
      <c r="C3285" s="791" t="s">
        <v>1022</v>
      </c>
      <c r="D3285" s="792" t="s">
        <v>779</v>
      </c>
      <c r="E3285" s="793" t="s">
        <v>662</v>
      </c>
      <c r="F3285" s="793" t="s">
        <v>899</v>
      </c>
      <c r="G3285" s="793" t="s">
        <v>794</v>
      </c>
      <c r="H3285" s="793" t="s">
        <v>828</v>
      </c>
      <c r="I3285" s="794">
        <v>1.9197351939803404</v>
      </c>
      <c r="J3285" s="794">
        <v>2719.9891811510483</v>
      </c>
      <c r="K3285" s="771"/>
    </row>
    <row r="3286" spans="1:11" ht="18.75" customHeight="1" outlineLevel="2">
      <c r="A3286" s="791" t="s">
        <v>776</v>
      </c>
      <c r="B3286" s="791" t="s">
        <v>1037</v>
      </c>
      <c r="C3286" s="791" t="s">
        <v>1022</v>
      </c>
      <c r="D3286" s="792" t="s">
        <v>779</v>
      </c>
      <c r="E3286" s="793" t="s">
        <v>662</v>
      </c>
      <c r="F3286" s="793" t="s">
        <v>900</v>
      </c>
      <c r="G3286" s="793" t="s">
        <v>794</v>
      </c>
      <c r="H3286" s="793" t="s">
        <v>828</v>
      </c>
      <c r="I3286" s="794">
        <v>8.893627816042883E-2</v>
      </c>
      <c r="J3286" s="794">
        <v>127.61743982191871</v>
      </c>
      <c r="K3286" s="771"/>
    </row>
    <row r="3287" spans="1:11" ht="18.75" customHeight="1" outlineLevel="2">
      <c r="A3287" s="791" t="s">
        <v>776</v>
      </c>
      <c r="B3287" s="791" t="s">
        <v>1037</v>
      </c>
      <c r="C3287" s="791" t="s">
        <v>1022</v>
      </c>
      <c r="D3287" s="792" t="s">
        <v>779</v>
      </c>
      <c r="E3287" s="793" t="s">
        <v>662</v>
      </c>
      <c r="F3287" s="793" t="s">
        <v>901</v>
      </c>
      <c r="G3287" s="793" t="s">
        <v>833</v>
      </c>
      <c r="H3287" s="793" t="s">
        <v>834</v>
      </c>
      <c r="I3287" s="794">
        <v>1.4805492171276115E-2</v>
      </c>
      <c r="J3287" s="794">
        <v>15.456806142515241</v>
      </c>
      <c r="K3287" s="771"/>
    </row>
    <row r="3288" spans="1:11" ht="18.75" customHeight="1" outlineLevel="2">
      <c r="A3288" s="791" t="s">
        <v>776</v>
      </c>
      <c r="B3288" s="791" t="s">
        <v>1037</v>
      </c>
      <c r="C3288" s="791" t="s">
        <v>1022</v>
      </c>
      <c r="D3288" s="792" t="s">
        <v>779</v>
      </c>
      <c r="E3288" s="793" t="s">
        <v>662</v>
      </c>
      <c r="F3288" s="793" t="s">
        <v>902</v>
      </c>
      <c r="G3288" s="793" t="s">
        <v>833</v>
      </c>
      <c r="H3288" s="793" t="s">
        <v>834</v>
      </c>
      <c r="I3288" s="794">
        <v>1.2887412708698749E-4</v>
      </c>
      <c r="J3288" s="794">
        <v>0.16473294769248353</v>
      </c>
      <c r="K3288" s="771"/>
    </row>
    <row r="3289" spans="1:11" ht="18.75" customHeight="1" outlineLevel="2">
      <c r="A3289" s="791" t="s">
        <v>776</v>
      </c>
      <c r="B3289" s="791" t="s">
        <v>1037</v>
      </c>
      <c r="C3289" s="791" t="s">
        <v>1022</v>
      </c>
      <c r="D3289" s="792" t="s">
        <v>779</v>
      </c>
      <c r="E3289" s="793" t="s">
        <v>662</v>
      </c>
      <c r="F3289" s="793" t="s">
        <v>903</v>
      </c>
      <c r="G3289" s="793" t="s">
        <v>904</v>
      </c>
      <c r="H3289" s="793" t="s">
        <v>905</v>
      </c>
      <c r="I3289" s="794">
        <v>1.8704241817668945</v>
      </c>
      <c r="J3289" s="794">
        <v>1591.3917221515674</v>
      </c>
      <c r="K3289" s="771"/>
    </row>
    <row r="3290" spans="1:11" ht="18.75" customHeight="1" outlineLevel="2">
      <c r="A3290" s="791" t="s">
        <v>776</v>
      </c>
      <c r="B3290" s="791" t="s">
        <v>1037</v>
      </c>
      <c r="C3290" s="791" t="s">
        <v>1022</v>
      </c>
      <c r="D3290" s="792" t="s">
        <v>779</v>
      </c>
      <c r="E3290" s="793" t="s">
        <v>662</v>
      </c>
      <c r="F3290" s="793" t="s">
        <v>906</v>
      </c>
      <c r="G3290" s="793" t="s">
        <v>904</v>
      </c>
      <c r="H3290" s="793" t="s">
        <v>905</v>
      </c>
      <c r="I3290" s="794">
        <v>0.78728518545384452</v>
      </c>
      <c r="J3290" s="794">
        <v>671.64109222652564</v>
      </c>
      <c r="K3290" s="771"/>
    </row>
    <row r="3291" spans="1:11" ht="18.75" customHeight="1" outlineLevel="2">
      <c r="A3291" s="791" t="s">
        <v>776</v>
      </c>
      <c r="B3291" s="791" t="s">
        <v>1037</v>
      </c>
      <c r="C3291" s="791" t="s">
        <v>1022</v>
      </c>
      <c r="D3291" s="792" t="s">
        <v>779</v>
      </c>
      <c r="E3291" s="793" t="s">
        <v>662</v>
      </c>
      <c r="F3291" s="793" t="s">
        <v>907</v>
      </c>
      <c r="G3291" s="793" t="s">
        <v>908</v>
      </c>
      <c r="H3291" s="793" t="s">
        <v>905</v>
      </c>
      <c r="I3291" s="794">
        <v>0.29520362146911899</v>
      </c>
      <c r="J3291" s="794">
        <v>496.12908374540103</v>
      </c>
      <c r="K3291" s="771"/>
    </row>
    <row r="3292" spans="1:11" ht="18.75" customHeight="1" outlineLevel="2">
      <c r="A3292" s="791" t="s">
        <v>776</v>
      </c>
      <c r="B3292" s="791" t="s">
        <v>1037</v>
      </c>
      <c r="C3292" s="791" t="s">
        <v>1022</v>
      </c>
      <c r="D3292" s="792" t="s">
        <v>779</v>
      </c>
      <c r="E3292" s="793" t="s">
        <v>662</v>
      </c>
      <c r="F3292" s="793" t="s">
        <v>909</v>
      </c>
      <c r="G3292" s="793" t="s">
        <v>910</v>
      </c>
      <c r="H3292" s="793" t="s">
        <v>911</v>
      </c>
      <c r="I3292" s="794">
        <v>4.9734159972396434E-3</v>
      </c>
      <c r="J3292" s="794">
        <v>7.4163310660349193</v>
      </c>
      <c r="K3292" s="771"/>
    </row>
    <row r="3293" spans="1:11" ht="18.75" customHeight="1" outlineLevel="2">
      <c r="A3293" s="791" t="s">
        <v>776</v>
      </c>
      <c r="B3293" s="791" t="s">
        <v>1037</v>
      </c>
      <c r="C3293" s="791" t="s">
        <v>1022</v>
      </c>
      <c r="D3293" s="792" t="s">
        <v>779</v>
      </c>
      <c r="E3293" s="793" t="s">
        <v>763</v>
      </c>
      <c r="F3293" s="793" t="s">
        <v>912</v>
      </c>
      <c r="G3293" s="793" t="s">
        <v>799</v>
      </c>
      <c r="H3293" s="793" t="s">
        <v>913</v>
      </c>
      <c r="I3293" s="794">
        <v>3.8453088531034021E-3</v>
      </c>
      <c r="J3293" s="794">
        <v>7.3639532715053111</v>
      </c>
      <c r="K3293" s="771"/>
    </row>
    <row r="3294" spans="1:11" ht="18.75" customHeight="1" outlineLevel="2">
      <c r="A3294" s="791" t="s">
        <v>776</v>
      </c>
      <c r="B3294" s="791" t="s">
        <v>1037</v>
      </c>
      <c r="C3294" s="791" t="s">
        <v>1022</v>
      </c>
      <c r="D3294" s="792" t="s">
        <v>779</v>
      </c>
      <c r="E3294" s="793" t="s">
        <v>763</v>
      </c>
      <c r="F3294" s="793" t="s">
        <v>914</v>
      </c>
      <c r="G3294" s="793" t="s">
        <v>782</v>
      </c>
      <c r="H3294" s="793" t="s">
        <v>913</v>
      </c>
      <c r="I3294" s="794">
        <v>2.1651920273612311E-3</v>
      </c>
      <c r="J3294" s="794">
        <v>10.078961176587544</v>
      </c>
      <c r="K3294" s="771"/>
    </row>
    <row r="3295" spans="1:11" ht="18.75" customHeight="1" outlineLevel="2">
      <c r="A3295" s="791" t="s">
        <v>776</v>
      </c>
      <c r="B3295" s="791" t="s">
        <v>1037</v>
      </c>
      <c r="C3295" s="791" t="s">
        <v>1022</v>
      </c>
      <c r="D3295" s="792" t="s">
        <v>779</v>
      </c>
      <c r="E3295" s="793" t="s">
        <v>763</v>
      </c>
      <c r="F3295" s="793" t="s">
        <v>915</v>
      </c>
      <c r="G3295" s="793" t="s">
        <v>782</v>
      </c>
      <c r="H3295" s="793" t="s">
        <v>913</v>
      </c>
      <c r="I3295" s="794">
        <v>1.1612621461060664E-3</v>
      </c>
      <c r="J3295" s="794">
        <v>16.855562326662849</v>
      </c>
      <c r="K3295" s="771"/>
    </row>
    <row r="3296" spans="1:11" ht="18.75" customHeight="1" outlineLevel="2">
      <c r="A3296" s="791" t="s">
        <v>776</v>
      </c>
      <c r="B3296" s="791" t="s">
        <v>1037</v>
      </c>
      <c r="C3296" s="791" t="s">
        <v>1022</v>
      </c>
      <c r="D3296" s="792" t="s">
        <v>779</v>
      </c>
      <c r="E3296" s="793" t="s">
        <v>763</v>
      </c>
      <c r="F3296" s="793" t="s">
        <v>916</v>
      </c>
      <c r="G3296" s="793" t="s">
        <v>782</v>
      </c>
      <c r="H3296" s="793" t="s">
        <v>913</v>
      </c>
      <c r="I3296" s="794">
        <v>1.7217522908900881E-3</v>
      </c>
      <c r="J3296" s="794">
        <v>2.9766764098727205</v>
      </c>
      <c r="K3296" s="771"/>
    </row>
    <row r="3297" spans="1:11" ht="18.75" customHeight="1" outlineLevel="2">
      <c r="A3297" s="791" t="s">
        <v>776</v>
      </c>
      <c r="B3297" s="791" t="s">
        <v>1037</v>
      </c>
      <c r="C3297" s="791" t="s">
        <v>1022</v>
      </c>
      <c r="D3297" s="792" t="s">
        <v>779</v>
      </c>
      <c r="E3297" s="793" t="s">
        <v>763</v>
      </c>
      <c r="F3297" s="793" t="s">
        <v>917</v>
      </c>
      <c r="G3297" s="793" t="s">
        <v>782</v>
      </c>
      <c r="H3297" s="793" t="s">
        <v>913</v>
      </c>
      <c r="I3297" s="794">
        <v>3.1521690519324339E-4</v>
      </c>
      <c r="J3297" s="794">
        <v>1.7257146136544137</v>
      </c>
      <c r="K3297" s="771"/>
    </row>
    <row r="3298" spans="1:11" ht="18.75" customHeight="1" outlineLevel="2">
      <c r="A3298" s="791" t="s">
        <v>776</v>
      </c>
      <c r="B3298" s="791" t="s">
        <v>1037</v>
      </c>
      <c r="C3298" s="791" t="s">
        <v>1022</v>
      </c>
      <c r="D3298" s="792" t="s">
        <v>779</v>
      </c>
      <c r="E3298" s="793" t="s">
        <v>763</v>
      </c>
      <c r="F3298" s="793" t="s">
        <v>918</v>
      </c>
      <c r="G3298" s="793" t="s">
        <v>782</v>
      </c>
      <c r="H3298" s="793" t="s">
        <v>913</v>
      </c>
      <c r="I3298" s="794">
        <v>6.9768422252470021E-3</v>
      </c>
      <c r="J3298" s="794">
        <v>31.170336428697979</v>
      </c>
      <c r="K3298" s="771"/>
    </row>
    <row r="3299" spans="1:11" ht="18.75" customHeight="1" outlineLevel="2">
      <c r="A3299" s="791" t="s">
        <v>776</v>
      </c>
      <c r="B3299" s="791" t="s">
        <v>1037</v>
      </c>
      <c r="C3299" s="791" t="s">
        <v>1022</v>
      </c>
      <c r="D3299" s="792" t="s">
        <v>779</v>
      </c>
      <c r="E3299" s="793" t="s">
        <v>763</v>
      </c>
      <c r="F3299" s="793" t="s">
        <v>919</v>
      </c>
      <c r="G3299" s="793" t="s">
        <v>782</v>
      </c>
      <c r="H3299" s="793" t="s">
        <v>913</v>
      </c>
      <c r="I3299" s="794">
        <v>1.3345449830497957E-2</v>
      </c>
      <c r="J3299" s="794">
        <v>15.656200157677999</v>
      </c>
      <c r="K3299" s="771"/>
    </row>
    <row r="3300" spans="1:11" ht="18.75" customHeight="1" outlineLevel="2">
      <c r="A3300" s="791" t="s">
        <v>776</v>
      </c>
      <c r="B3300" s="791" t="s">
        <v>1037</v>
      </c>
      <c r="C3300" s="791" t="s">
        <v>1022</v>
      </c>
      <c r="D3300" s="792" t="s">
        <v>779</v>
      </c>
      <c r="E3300" s="793" t="s">
        <v>763</v>
      </c>
      <c r="F3300" s="793" t="s">
        <v>920</v>
      </c>
      <c r="G3300" s="793" t="s">
        <v>782</v>
      </c>
      <c r="H3300" s="793" t="s">
        <v>913</v>
      </c>
      <c r="I3300" s="794">
        <v>1.449491421775403E-3</v>
      </c>
      <c r="J3300" s="794">
        <v>28.8383006107236</v>
      </c>
      <c r="K3300" s="771"/>
    </row>
    <row r="3301" spans="1:11" ht="18.75" customHeight="1" outlineLevel="2">
      <c r="A3301" s="791" t="s">
        <v>776</v>
      </c>
      <c r="B3301" s="791" t="s">
        <v>1037</v>
      </c>
      <c r="C3301" s="791" t="s">
        <v>1022</v>
      </c>
      <c r="D3301" s="792" t="s">
        <v>779</v>
      </c>
      <c r="E3301" s="793" t="s">
        <v>763</v>
      </c>
      <c r="F3301" s="793" t="s">
        <v>921</v>
      </c>
      <c r="G3301" s="793" t="s">
        <v>782</v>
      </c>
      <c r="H3301" s="793" t="s">
        <v>913</v>
      </c>
      <c r="I3301" s="794">
        <v>6.7274602591750783E-3</v>
      </c>
      <c r="J3301" s="794">
        <v>11.750666525613372</v>
      </c>
      <c r="K3301" s="771"/>
    </row>
    <row r="3302" spans="1:11" ht="18.75" customHeight="1" outlineLevel="2">
      <c r="A3302" s="791" t="s">
        <v>776</v>
      </c>
      <c r="B3302" s="791" t="s">
        <v>1037</v>
      </c>
      <c r="C3302" s="791" t="s">
        <v>1022</v>
      </c>
      <c r="D3302" s="792" t="s">
        <v>779</v>
      </c>
      <c r="E3302" s="793" t="s">
        <v>763</v>
      </c>
      <c r="F3302" s="793" t="s">
        <v>922</v>
      </c>
      <c r="G3302" s="793" t="s">
        <v>782</v>
      </c>
      <c r="H3302" s="793" t="s">
        <v>913</v>
      </c>
      <c r="I3302" s="794">
        <v>1.005678115109256E-3</v>
      </c>
      <c r="J3302" s="794">
        <v>1.9259342183556143</v>
      </c>
      <c r="K3302" s="771"/>
    </row>
    <row r="3303" spans="1:11" ht="18.75" customHeight="1" outlineLevel="2">
      <c r="A3303" s="791" t="s">
        <v>776</v>
      </c>
      <c r="B3303" s="791" t="s">
        <v>1037</v>
      </c>
      <c r="C3303" s="791" t="s">
        <v>1022</v>
      </c>
      <c r="D3303" s="792" t="s">
        <v>779</v>
      </c>
      <c r="E3303" s="793" t="s">
        <v>763</v>
      </c>
      <c r="F3303" s="793" t="s">
        <v>923</v>
      </c>
      <c r="G3303" s="793" t="s">
        <v>782</v>
      </c>
      <c r="H3303" s="793" t="s">
        <v>913</v>
      </c>
      <c r="I3303" s="794">
        <v>5.5116241383886396E-3</v>
      </c>
      <c r="J3303" s="794">
        <v>20.026356152701844</v>
      </c>
      <c r="K3303" s="771"/>
    </row>
    <row r="3304" spans="1:11" ht="18.75" customHeight="1" outlineLevel="2">
      <c r="A3304" s="791" t="s">
        <v>776</v>
      </c>
      <c r="B3304" s="791" t="s">
        <v>1037</v>
      </c>
      <c r="C3304" s="791" t="s">
        <v>1022</v>
      </c>
      <c r="D3304" s="792" t="s">
        <v>779</v>
      </c>
      <c r="E3304" s="793" t="s">
        <v>763</v>
      </c>
      <c r="F3304" s="793" t="s">
        <v>924</v>
      </c>
      <c r="G3304" s="793" t="s">
        <v>782</v>
      </c>
      <c r="H3304" s="793" t="s">
        <v>913</v>
      </c>
      <c r="I3304" s="794">
        <v>4.5406827632154638E-3</v>
      </c>
      <c r="J3304" s="794">
        <v>48.359266241996266</v>
      </c>
      <c r="K3304" s="771"/>
    </row>
    <row r="3305" spans="1:11" ht="18.75" customHeight="1" outlineLevel="2">
      <c r="A3305" s="791" t="s">
        <v>776</v>
      </c>
      <c r="B3305" s="791" t="s">
        <v>1037</v>
      </c>
      <c r="C3305" s="791" t="s">
        <v>1022</v>
      </c>
      <c r="D3305" s="792" t="s">
        <v>779</v>
      </c>
      <c r="E3305" s="793" t="s">
        <v>763</v>
      </c>
      <c r="F3305" s="793" t="s">
        <v>925</v>
      </c>
      <c r="G3305" s="793" t="s">
        <v>782</v>
      </c>
      <c r="H3305" s="793" t="s">
        <v>913</v>
      </c>
      <c r="I3305" s="794">
        <v>3.195029336251648E-4</v>
      </c>
      <c r="J3305" s="794">
        <v>5.088027292743492</v>
      </c>
      <c r="K3305" s="771"/>
    </row>
    <row r="3306" spans="1:11" ht="18.75" customHeight="1" outlineLevel="2">
      <c r="A3306" s="791" t="s">
        <v>776</v>
      </c>
      <c r="B3306" s="791" t="s">
        <v>1037</v>
      </c>
      <c r="C3306" s="791" t="s">
        <v>1022</v>
      </c>
      <c r="D3306" s="792" t="s">
        <v>779</v>
      </c>
      <c r="E3306" s="793" t="s">
        <v>763</v>
      </c>
      <c r="F3306" s="793" t="s">
        <v>926</v>
      </c>
      <c r="G3306" s="793" t="s">
        <v>782</v>
      </c>
      <c r="H3306" s="793" t="s">
        <v>913</v>
      </c>
      <c r="I3306" s="794">
        <v>2.369424100479698E-2</v>
      </c>
      <c r="J3306" s="794">
        <v>43.559578506693775</v>
      </c>
      <c r="K3306" s="771"/>
    </row>
    <row r="3307" spans="1:11" ht="18.75" customHeight="1" outlineLevel="2">
      <c r="A3307" s="791" t="s">
        <v>776</v>
      </c>
      <c r="B3307" s="791" t="s">
        <v>1037</v>
      </c>
      <c r="C3307" s="791" t="s">
        <v>1022</v>
      </c>
      <c r="D3307" s="792" t="s">
        <v>779</v>
      </c>
      <c r="E3307" s="793" t="s">
        <v>763</v>
      </c>
      <c r="F3307" s="793" t="s">
        <v>927</v>
      </c>
      <c r="G3307" s="793" t="s">
        <v>782</v>
      </c>
      <c r="H3307" s="793" t="s">
        <v>913</v>
      </c>
      <c r="I3307" s="794">
        <v>1.3207143132083618E-2</v>
      </c>
      <c r="J3307" s="794">
        <v>18.280746875664065</v>
      </c>
      <c r="K3307" s="771"/>
    </row>
    <row r="3308" spans="1:11" ht="18.75" customHeight="1" outlineLevel="2">
      <c r="A3308" s="791" t="s">
        <v>776</v>
      </c>
      <c r="B3308" s="791" t="s">
        <v>1037</v>
      </c>
      <c r="C3308" s="791" t="s">
        <v>1022</v>
      </c>
      <c r="D3308" s="792" t="s">
        <v>779</v>
      </c>
      <c r="E3308" s="793" t="s">
        <v>763</v>
      </c>
      <c r="F3308" s="793" t="s">
        <v>928</v>
      </c>
      <c r="G3308" s="793" t="s">
        <v>785</v>
      </c>
      <c r="H3308" s="793" t="s">
        <v>913</v>
      </c>
      <c r="I3308" s="794">
        <v>3.9816634905568825E-2</v>
      </c>
      <c r="J3308" s="794">
        <v>122.57110787670054</v>
      </c>
      <c r="K3308" s="771"/>
    </row>
    <row r="3309" spans="1:11" ht="18.75" customHeight="1" outlineLevel="2">
      <c r="A3309" s="791" t="s">
        <v>776</v>
      </c>
      <c r="B3309" s="791" t="s">
        <v>1037</v>
      </c>
      <c r="C3309" s="791" t="s">
        <v>1022</v>
      </c>
      <c r="D3309" s="792" t="s">
        <v>779</v>
      </c>
      <c r="E3309" s="793" t="s">
        <v>763</v>
      </c>
      <c r="F3309" s="793" t="s">
        <v>929</v>
      </c>
      <c r="G3309" s="793" t="s">
        <v>785</v>
      </c>
      <c r="H3309" s="793" t="s">
        <v>913</v>
      </c>
      <c r="I3309" s="794">
        <v>0.79158131794062603</v>
      </c>
      <c r="J3309" s="794">
        <v>11149.179175641562</v>
      </c>
      <c r="K3309" s="771"/>
    </row>
    <row r="3310" spans="1:11" ht="18.75" customHeight="1" outlineLevel="2">
      <c r="A3310" s="791" t="s">
        <v>776</v>
      </c>
      <c r="B3310" s="791" t="s">
        <v>1037</v>
      </c>
      <c r="C3310" s="791" t="s">
        <v>1022</v>
      </c>
      <c r="D3310" s="792" t="s">
        <v>779</v>
      </c>
      <c r="E3310" s="793" t="s">
        <v>763</v>
      </c>
      <c r="F3310" s="793" t="s">
        <v>930</v>
      </c>
      <c r="G3310" s="793" t="s">
        <v>785</v>
      </c>
      <c r="H3310" s="793" t="s">
        <v>913</v>
      </c>
      <c r="I3310" s="794">
        <v>4.7126822471245371E-3</v>
      </c>
      <c r="J3310" s="794">
        <v>83.057099282358308</v>
      </c>
      <c r="K3310" s="771"/>
    </row>
    <row r="3311" spans="1:11" ht="18.75" customHeight="1" outlineLevel="2">
      <c r="A3311" s="791" t="s">
        <v>776</v>
      </c>
      <c r="B3311" s="791" t="s">
        <v>1037</v>
      </c>
      <c r="C3311" s="791" t="s">
        <v>1022</v>
      </c>
      <c r="D3311" s="792" t="s">
        <v>779</v>
      </c>
      <c r="E3311" s="793" t="s">
        <v>763</v>
      </c>
      <c r="F3311" s="793" t="s">
        <v>931</v>
      </c>
      <c r="G3311" s="793" t="s">
        <v>785</v>
      </c>
      <c r="H3311" s="793" t="s">
        <v>913</v>
      </c>
      <c r="I3311" s="794">
        <v>1.5764852336072718E-3</v>
      </c>
      <c r="J3311" s="794">
        <v>26.199175900046868</v>
      </c>
      <c r="K3311" s="771"/>
    </row>
    <row r="3312" spans="1:11" ht="18.75" customHeight="1" outlineLevel="2">
      <c r="A3312" s="791" t="s">
        <v>776</v>
      </c>
      <c r="B3312" s="791" t="s">
        <v>1037</v>
      </c>
      <c r="C3312" s="791" t="s">
        <v>1022</v>
      </c>
      <c r="D3312" s="792" t="s">
        <v>779</v>
      </c>
      <c r="E3312" s="793" t="s">
        <v>763</v>
      </c>
      <c r="F3312" s="793" t="s">
        <v>932</v>
      </c>
      <c r="G3312" s="793" t="s">
        <v>785</v>
      </c>
      <c r="H3312" s="793" t="s">
        <v>913</v>
      </c>
      <c r="I3312" s="794">
        <v>1.683294385375159E-3</v>
      </c>
      <c r="J3312" s="794">
        <v>6.4704157028655844</v>
      </c>
      <c r="K3312" s="771"/>
    </row>
    <row r="3313" spans="1:11" ht="18.75" customHeight="1" outlineLevel="2">
      <c r="A3313" s="791" t="s">
        <v>776</v>
      </c>
      <c r="B3313" s="791" t="s">
        <v>1037</v>
      </c>
      <c r="C3313" s="791" t="s">
        <v>1022</v>
      </c>
      <c r="D3313" s="792" t="s">
        <v>779</v>
      </c>
      <c r="E3313" s="793" t="s">
        <v>763</v>
      </c>
      <c r="F3313" s="793" t="s">
        <v>933</v>
      </c>
      <c r="G3313" s="793" t="s">
        <v>785</v>
      </c>
      <c r="H3313" s="793" t="s">
        <v>913</v>
      </c>
      <c r="I3313" s="794">
        <v>2.3627115960233214E-3</v>
      </c>
      <c r="J3313" s="794">
        <v>51.457757332062684</v>
      </c>
      <c r="K3313" s="771"/>
    </row>
    <row r="3314" spans="1:11" ht="18.75" customHeight="1" outlineLevel="2">
      <c r="A3314" s="791" t="s">
        <v>776</v>
      </c>
      <c r="B3314" s="791" t="s">
        <v>1037</v>
      </c>
      <c r="C3314" s="791" t="s">
        <v>1022</v>
      </c>
      <c r="D3314" s="792" t="s">
        <v>779</v>
      </c>
      <c r="E3314" s="793" t="s">
        <v>763</v>
      </c>
      <c r="F3314" s="793" t="s">
        <v>934</v>
      </c>
      <c r="G3314" s="793" t="s">
        <v>813</v>
      </c>
      <c r="H3314" s="793" t="s">
        <v>913</v>
      </c>
      <c r="I3314" s="794">
        <v>3.0812886628780612E-2</v>
      </c>
      <c r="J3314" s="794">
        <v>466.94773262753358</v>
      </c>
      <c r="K3314" s="771"/>
    </row>
    <row r="3315" spans="1:11" ht="18.75" customHeight="1" outlineLevel="2">
      <c r="A3315" s="791" t="s">
        <v>776</v>
      </c>
      <c r="B3315" s="791" t="s">
        <v>1037</v>
      </c>
      <c r="C3315" s="791" t="s">
        <v>1022</v>
      </c>
      <c r="D3315" s="792" t="s">
        <v>779</v>
      </c>
      <c r="E3315" s="793" t="s">
        <v>763</v>
      </c>
      <c r="F3315" s="793" t="s">
        <v>935</v>
      </c>
      <c r="G3315" s="793" t="s">
        <v>791</v>
      </c>
      <c r="H3315" s="793" t="s">
        <v>913</v>
      </c>
      <c r="I3315" s="794">
        <v>9.4470740712992392E-6</v>
      </c>
      <c r="J3315" s="794">
        <v>1.1904090181210868E-2</v>
      </c>
      <c r="K3315" s="771"/>
    </row>
    <row r="3316" spans="1:11" ht="18.75" customHeight="1" outlineLevel="2">
      <c r="A3316" s="791" t="s">
        <v>776</v>
      </c>
      <c r="B3316" s="791" t="s">
        <v>1037</v>
      </c>
      <c r="C3316" s="791" t="s">
        <v>1022</v>
      </c>
      <c r="D3316" s="792" t="s">
        <v>779</v>
      </c>
      <c r="E3316" s="793" t="s">
        <v>763</v>
      </c>
      <c r="F3316" s="793" t="s">
        <v>936</v>
      </c>
      <c r="G3316" s="793" t="s">
        <v>791</v>
      </c>
      <c r="H3316" s="793" t="s">
        <v>913</v>
      </c>
      <c r="I3316" s="794">
        <v>1.368793864303409E-6</v>
      </c>
      <c r="J3316" s="794">
        <v>2.3185810531209168E-2</v>
      </c>
      <c r="K3316" s="771"/>
    </row>
    <row r="3317" spans="1:11" ht="18.75" customHeight="1" outlineLevel="2">
      <c r="A3317" s="791" t="s">
        <v>776</v>
      </c>
      <c r="B3317" s="791" t="s">
        <v>1037</v>
      </c>
      <c r="C3317" s="791" t="s">
        <v>1022</v>
      </c>
      <c r="D3317" s="792" t="s">
        <v>779</v>
      </c>
      <c r="E3317" s="793" t="s">
        <v>763</v>
      </c>
      <c r="F3317" s="793" t="s">
        <v>937</v>
      </c>
      <c r="G3317" s="793" t="s">
        <v>794</v>
      </c>
      <c r="H3317" s="793" t="s">
        <v>913</v>
      </c>
      <c r="I3317" s="794">
        <v>0.23692711073482423</v>
      </c>
      <c r="J3317" s="794">
        <v>581.7322555226275</v>
      </c>
      <c r="K3317" s="771"/>
    </row>
    <row r="3318" spans="1:11" ht="18.75" customHeight="1" outlineLevel="2">
      <c r="A3318" s="791" t="s">
        <v>776</v>
      </c>
      <c r="B3318" s="791" t="s">
        <v>1037</v>
      </c>
      <c r="C3318" s="791" t="s">
        <v>1022</v>
      </c>
      <c r="D3318" s="792" t="s">
        <v>779</v>
      </c>
      <c r="E3318" s="793" t="s">
        <v>763</v>
      </c>
      <c r="F3318" s="793" t="s">
        <v>938</v>
      </c>
      <c r="G3318" s="793" t="s">
        <v>794</v>
      </c>
      <c r="H3318" s="793" t="s">
        <v>913</v>
      </c>
      <c r="I3318" s="794">
        <v>2.7878331165279633E-2</v>
      </c>
      <c r="J3318" s="794">
        <v>127.33391081909554</v>
      </c>
      <c r="K3318" s="771"/>
    </row>
    <row r="3319" spans="1:11" ht="18.75" customHeight="1" outlineLevel="2">
      <c r="A3319" s="791" t="s">
        <v>776</v>
      </c>
      <c r="B3319" s="791" t="s">
        <v>1037</v>
      </c>
      <c r="C3319" s="791" t="s">
        <v>1022</v>
      </c>
      <c r="D3319" s="792" t="s">
        <v>779</v>
      </c>
      <c r="E3319" s="793" t="s">
        <v>763</v>
      </c>
      <c r="F3319" s="793" t="s">
        <v>939</v>
      </c>
      <c r="G3319" s="793" t="s">
        <v>794</v>
      </c>
      <c r="H3319" s="793" t="s">
        <v>913</v>
      </c>
      <c r="I3319" s="794">
        <v>1.4536013143459313E-2</v>
      </c>
      <c r="J3319" s="794">
        <v>148.68449092661629</v>
      </c>
      <c r="K3319" s="771"/>
    </row>
    <row r="3320" spans="1:11" ht="18.75" customHeight="1" outlineLevel="2">
      <c r="A3320" s="791" t="s">
        <v>776</v>
      </c>
      <c r="B3320" s="791" t="s">
        <v>1037</v>
      </c>
      <c r="C3320" s="791" t="s">
        <v>1022</v>
      </c>
      <c r="D3320" s="792" t="s">
        <v>779</v>
      </c>
      <c r="E3320" s="793" t="s">
        <v>763</v>
      </c>
      <c r="F3320" s="793" t="s">
        <v>940</v>
      </c>
      <c r="G3320" s="793" t="s">
        <v>794</v>
      </c>
      <c r="H3320" s="793" t="s">
        <v>913</v>
      </c>
      <c r="I3320" s="794">
        <v>2.4064285223289614E-2</v>
      </c>
      <c r="J3320" s="794">
        <v>184.79309514446061</v>
      </c>
      <c r="K3320" s="771"/>
    </row>
    <row r="3321" spans="1:11" ht="18.75" customHeight="1" outlineLevel="2">
      <c r="A3321" s="791" t="s">
        <v>776</v>
      </c>
      <c r="B3321" s="791" t="s">
        <v>1037</v>
      </c>
      <c r="C3321" s="791" t="s">
        <v>1022</v>
      </c>
      <c r="D3321" s="792" t="s">
        <v>779</v>
      </c>
      <c r="E3321" s="793" t="s">
        <v>763</v>
      </c>
      <c r="F3321" s="793" t="s">
        <v>941</v>
      </c>
      <c r="G3321" s="793" t="s">
        <v>794</v>
      </c>
      <c r="H3321" s="793" t="s">
        <v>913</v>
      </c>
      <c r="I3321" s="794">
        <v>8.330127464432045E-4</v>
      </c>
      <c r="J3321" s="794">
        <v>2.5132885830245173</v>
      </c>
      <c r="K3321" s="771"/>
    </row>
    <row r="3322" spans="1:11" ht="18.75" customHeight="1" outlineLevel="2">
      <c r="A3322" s="791" t="s">
        <v>776</v>
      </c>
      <c r="B3322" s="791" t="s">
        <v>1037</v>
      </c>
      <c r="C3322" s="791" t="s">
        <v>1022</v>
      </c>
      <c r="D3322" s="792" t="s">
        <v>779</v>
      </c>
      <c r="E3322" s="793" t="s">
        <v>763</v>
      </c>
      <c r="F3322" s="793" t="s">
        <v>942</v>
      </c>
      <c r="G3322" s="793" t="s">
        <v>794</v>
      </c>
      <c r="H3322" s="793" t="s">
        <v>913</v>
      </c>
      <c r="I3322" s="794">
        <v>1.9746393303512148E-4</v>
      </c>
      <c r="J3322" s="794">
        <v>2.2818484446276028</v>
      </c>
      <c r="K3322" s="771"/>
    </row>
    <row r="3323" spans="1:11" ht="18.75" customHeight="1" outlineLevel="2">
      <c r="A3323" s="791" t="s">
        <v>776</v>
      </c>
      <c r="B3323" s="791" t="s">
        <v>1037</v>
      </c>
      <c r="C3323" s="791" t="s">
        <v>1022</v>
      </c>
      <c r="D3323" s="792" t="s">
        <v>779</v>
      </c>
      <c r="E3323" s="793" t="s">
        <v>763</v>
      </c>
      <c r="F3323" s="793" t="s">
        <v>943</v>
      </c>
      <c r="G3323" s="793" t="s">
        <v>944</v>
      </c>
      <c r="H3323" s="793" t="s">
        <v>913</v>
      </c>
      <c r="I3323" s="794">
        <v>5.2108561541975784E-5</v>
      </c>
      <c r="J3323" s="794">
        <v>0.22512690163507282</v>
      </c>
      <c r="K3323" s="771"/>
    </row>
    <row r="3324" spans="1:11" ht="18.75" customHeight="1" outlineLevel="2">
      <c r="A3324" s="791" t="s">
        <v>776</v>
      </c>
      <c r="B3324" s="791" t="s">
        <v>1037</v>
      </c>
      <c r="C3324" s="791" t="s">
        <v>1022</v>
      </c>
      <c r="D3324" s="792" t="s">
        <v>779</v>
      </c>
      <c r="E3324" s="793" t="s">
        <v>764</v>
      </c>
      <c r="F3324" s="793" t="s">
        <v>945</v>
      </c>
      <c r="G3324" s="793" t="s">
        <v>244</v>
      </c>
      <c r="H3324" s="793" t="s">
        <v>905</v>
      </c>
      <c r="I3324" s="794">
        <v>1.0474520284465319E-2</v>
      </c>
      <c r="J3324" s="794">
        <v>376.98621215710091</v>
      </c>
      <c r="K3324" s="771"/>
    </row>
    <row r="3325" spans="1:11" ht="18.75" customHeight="1" outlineLevel="2">
      <c r="A3325" s="791" t="s">
        <v>776</v>
      </c>
      <c r="B3325" s="791" t="s">
        <v>1037</v>
      </c>
      <c r="C3325" s="791" t="s">
        <v>1022</v>
      </c>
      <c r="D3325" s="792" t="s">
        <v>779</v>
      </c>
      <c r="E3325" s="793" t="s">
        <v>764</v>
      </c>
      <c r="F3325" s="793" t="s">
        <v>946</v>
      </c>
      <c r="G3325" s="793" t="s">
        <v>244</v>
      </c>
      <c r="H3325" s="793" t="s">
        <v>905</v>
      </c>
      <c r="I3325" s="794">
        <v>1.6600102798310153E-4</v>
      </c>
      <c r="J3325" s="794">
        <v>3.1489455094637435</v>
      </c>
      <c r="K3325" s="771"/>
    </row>
    <row r="3326" spans="1:11" ht="18.75" customHeight="1" outlineLevel="2">
      <c r="A3326" s="791" t="s">
        <v>776</v>
      </c>
      <c r="B3326" s="791" t="s">
        <v>1037</v>
      </c>
      <c r="C3326" s="791" t="s">
        <v>1022</v>
      </c>
      <c r="D3326" s="792" t="s">
        <v>779</v>
      </c>
      <c r="E3326" s="793" t="s">
        <v>947</v>
      </c>
      <c r="F3326" s="793" t="s">
        <v>948</v>
      </c>
      <c r="G3326" s="793" t="s">
        <v>799</v>
      </c>
      <c r="H3326" s="793" t="s">
        <v>800</v>
      </c>
      <c r="I3326" s="794">
        <v>4.661726690934313E-3</v>
      </c>
      <c r="J3326" s="794">
        <v>115.24447296446014</v>
      </c>
      <c r="K3326" s="771"/>
    </row>
    <row r="3327" spans="1:11" ht="18.75" customHeight="1" outlineLevel="2">
      <c r="A3327" s="791" t="s">
        <v>776</v>
      </c>
      <c r="B3327" s="791" t="s">
        <v>1037</v>
      </c>
      <c r="C3327" s="791" t="s">
        <v>1022</v>
      </c>
      <c r="D3327" s="792" t="s">
        <v>779</v>
      </c>
      <c r="E3327" s="793" t="s">
        <v>947</v>
      </c>
      <c r="F3327" s="793" t="s">
        <v>949</v>
      </c>
      <c r="G3327" s="793" t="s">
        <v>782</v>
      </c>
      <c r="H3327" s="793" t="s">
        <v>804</v>
      </c>
      <c r="I3327" s="794">
        <v>2.0669226395940543E-2</v>
      </c>
      <c r="J3327" s="794">
        <v>1205.4381683771578</v>
      </c>
      <c r="K3327" s="771"/>
    </row>
    <row r="3328" spans="1:11" ht="18.75" customHeight="1" outlineLevel="2">
      <c r="A3328" s="791" t="s">
        <v>776</v>
      </c>
      <c r="B3328" s="791" t="s">
        <v>1037</v>
      </c>
      <c r="C3328" s="791" t="s">
        <v>1022</v>
      </c>
      <c r="D3328" s="792" t="s">
        <v>779</v>
      </c>
      <c r="E3328" s="793" t="s">
        <v>947</v>
      </c>
      <c r="F3328" s="793" t="s">
        <v>950</v>
      </c>
      <c r="G3328" s="793" t="s">
        <v>782</v>
      </c>
      <c r="H3328" s="793" t="s">
        <v>804</v>
      </c>
      <c r="I3328" s="794">
        <v>1.7771999482184164E-4</v>
      </c>
      <c r="J3328" s="794">
        <v>1.9630295028929581</v>
      </c>
      <c r="K3328" s="771"/>
    </row>
    <row r="3329" spans="1:11" ht="18.75" customHeight="1" outlineLevel="2">
      <c r="A3329" s="791" t="s">
        <v>776</v>
      </c>
      <c r="B3329" s="791" t="s">
        <v>1037</v>
      </c>
      <c r="C3329" s="791" t="s">
        <v>1022</v>
      </c>
      <c r="D3329" s="792" t="s">
        <v>779</v>
      </c>
      <c r="E3329" s="793" t="s">
        <v>947</v>
      </c>
      <c r="F3329" s="793" t="s">
        <v>951</v>
      </c>
      <c r="G3329" s="793" t="s">
        <v>782</v>
      </c>
      <c r="H3329" s="793" t="s">
        <v>804</v>
      </c>
      <c r="I3329" s="794">
        <v>2.577399039773031E-3</v>
      </c>
      <c r="J3329" s="794">
        <v>32.33646130613792</v>
      </c>
      <c r="K3329" s="771"/>
    </row>
    <row r="3330" spans="1:11" ht="18.75" customHeight="1" outlineLevel="2">
      <c r="A3330" s="791" t="s">
        <v>776</v>
      </c>
      <c r="B3330" s="791" t="s">
        <v>1037</v>
      </c>
      <c r="C3330" s="791" t="s">
        <v>1022</v>
      </c>
      <c r="D3330" s="792" t="s">
        <v>779</v>
      </c>
      <c r="E3330" s="793" t="s">
        <v>947</v>
      </c>
      <c r="F3330" s="793" t="s">
        <v>952</v>
      </c>
      <c r="G3330" s="793" t="s">
        <v>782</v>
      </c>
      <c r="H3330" s="793" t="s">
        <v>804</v>
      </c>
      <c r="I3330" s="794">
        <v>5.8857589114780236E-2</v>
      </c>
      <c r="J3330" s="794">
        <v>3017.3939213117992</v>
      </c>
      <c r="K3330" s="771"/>
    </row>
    <row r="3331" spans="1:11" ht="18.75" customHeight="1" outlineLevel="2">
      <c r="A3331" s="791" t="s">
        <v>776</v>
      </c>
      <c r="B3331" s="791" t="s">
        <v>1037</v>
      </c>
      <c r="C3331" s="791" t="s">
        <v>1022</v>
      </c>
      <c r="D3331" s="792" t="s">
        <v>779</v>
      </c>
      <c r="E3331" s="793" t="s">
        <v>947</v>
      </c>
      <c r="F3331" s="793" t="s">
        <v>953</v>
      </c>
      <c r="G3331" s="793" t="s">
        <v>782</v>
      </c>
      <c r="H3331" s="793" t="s">
        <v>804</v>
      </c>
      <c r="I3331" s="794">
        <v>4.4680397623232899E-2</v>
      </c>
      <c r="J3331" s="794">
        <v>3283.1292813950108</v>
      </c>
      <c r="K3331" s="771"/>
    </row>
    <row r="3332" spans="1:11" ht="18.75" customHeight="1" outlineLevel="2">
      <c r="A3332" s="791" t="s">
        <v>776</v>
      </c>
      <c r="B3332" s="791" t="s">
        <v>1037</v>
      </c>
      <c r="C3332" s="791" t="s">
        <v>1022</v>
      </c>
      <c r="D3332" s="792" t="s">
        <v>779</v>
      </c>
      <c r="E3332" s="793" t="s">
        <v>947</v>
      </c>
      <c r="F3332" s="793" t="s">
        <v>954</v>
      </c>
      <c r="G3332" s="793" t="s">
        <v>782</v>
      </c>
      <c r="H3332" s="793" t="s">
        <v>804</v>
      </c>
      <c r="I3332" s="794">
        <v>5.0479508440640667E-3</v>
      </c>
      <c r="J3332" s="794">
        <v>181.28823374791133</v>
      </c>
      <c r="K3332" s="771"/>
    </row>
    <row r="3333" spans="1:11" ht="18.75" customHeight="1" outlineLevel="2">
      <c r="A3333" s="791" t="s">
        <v>776</v>
      </c>
      <c r="B3333" s="791" t="s">
        <v>1037</v>
      </c>
      <c r="C3333" s="791" t="s">
        <v>1022</v>
      </c>
      <c r="D3333" s="792" t="s">
        <v>779</v>
      </c>
      <c r="E3333" s="793" t="s">
        <v>947</v>
      </c>
      <c r="F3333" s="793" t="s">
        <v>955</v>
      </c>
      <c r="G3333" s="793" t="s">
        <v>782</v>
      </c>
      <c r="H3333" s="793" t="s">
        <v>804</v>
      </c>
      <c r="I3333" s="794">
        <v>2.684959139219927E-3</v>
      </c>
      <c r="J3333" s="794">
        <v>123.44947301963178</v>
      </c>
      <c r="K3333" s="771"/>
    </row>
    <row r="3334" spans="1:11" ht="18.75" customHeight="1" outlineLevel="2">
      <c r="A3334" s="791" t="s">
        <v>776</v>
      </c>
      <c r="B3334" s="791" t="s">
        <v>1037</v>
      </c>
      <c r="C3334" s="791" t="s">
        <v>1022</v>
      </c>
      <c r="D3334" s="792" t="s">
        <v>779</v>
      </c>
      <c r="E3334" s="793" t="s">
        <v>947</v>
      </c>
      <c r="F3334" s="793" t="s">
        <v>956</v>
      </c>
      <c r="G3334" s="793" t="s">
        <v>782</v>
      </c>
      <c r="H3334" s="793" t="s">
        <v>804</v>
      </c>
      <c r="I3334" s="794">
        <v>1.427045584075911E-2</v>
      </c>
      <c r="J3334" s="794">
        <v>339.0042017775138</v>
      </c>
      <c r="K3334" s="771"/>
    </row>
    <row r="3335" spans="1:11" ht="18.75" customHeight="1" outlineLevel="2">
      <c r="A3335" s="791" t="s">
        <v>776</v>
      </c>
      <c r="B3335" s="791" t="s">
        <v>1037</v>
      </c>
      <c r="C3335" s="791" t="s">
        <v>1022</v>
      </c>
      <c r="D3335" s="792" t="s">
        <v>779</v>
      </c>
      <c r="E3335" s="793" t="s">
        <v>947</v>
      </c>
      <c r="F3335" s="793" t="s">
        <v>957</v>
      </c>
      <c r="G3335" s="793" t="s">
        <v>782</v>
      </c>
      <c r="H3335" s="793" t="s">
        <v>804</v>
      </c>
      <c r="I3335" s="794">
        <v>4.0909315449333371E-2</v>
      </c>
      <c r="J3335" s="794">
        <v>1450.6887094634128</v>
      </c>
      <c r="K3335" s="771"/>
    </row>
    <row r="3336" spans="1:11" ht="18.75" customHeight="1" outlineLevel="2">
      <c r="A3336" s="791" t="s">
        <v>776</v>
      </c>
      <c r="B3336" s="791" t="s">
        <v>1037</v>
      </c>
      <c r="C3336" s="791" t="s">
        <v>1022</v>
      </c>
      <c r="D3336" s="792" t="s">
        <v>779</v>
      </c>
      <c r="E3336" s="793" t="s">
        <v>947</v>
      </c>
      <c r="F3336" s="793" t="s">
        <v>958</v>
      </c>
      <c r="G3336" s="793" t="s">
        <v>782</v>
      </c>
      <c r="H3336" s="793" t="s">
        <v>804</v>
      </c>
      <c r="I3336" s="794">
        <v>2.8921536035794882E-2</v>
      </c>
      <c r="J3336" s="794">
        <v>1592.7663173333212</v>
      </c>
      <c r="K3336" s="771"/>
    </row>
    <row r="3337" spans="1:11" ht="18.75" customHeight="1" outlineLevel="2">
      <c r="A3337" s="791" t="s">
        <v>776</v>
      </c>
      <c r="B3337" s="791" t="s">
        <v>1037</v>
      </c>
      <c r="C3337" s="791" t="s">
        <v>1022</v>
      </c>
      <c r="D3337" s="792" t="s">
        <v>779</v>
      </c>
      <c r="E3337" s="793" t="s">
        <v>947</v>
      </c>
      <c r="F3337" s="793" t="s">
        <v>959</v>
      </c>
      <c r="G3337" s="793" t="s">
        <v>782</v>
      </c>
      <c r="H3337" s="793" t="s">
        <v>804</v>
      </c>
      <c r="I3337" s="794">
        <v>0.15856127726695926</v>
      </c>
      <c r="J3337" s="794">
        <v>12230.017813690542</v>
      </c>
      <c r="K3337" s="771"/>
    </row>
    <row r="3338" spans="1:11" ht="18.75" customHeight="1" outlineLevel="2">
      <c r="A3338" s="791" t="s">
        <v>776</v>
      </c>
      <c r="B3338" s="791" t="s">
        <v>1037</v>
      </c>
      <c r="C3338" s="791" t="s">
        <v>1022</v>
      </c>
      <c r="D3338" s="792" t="s">
        <v>779</v>
      </c>
      <c r="E3338" s="793" t="s">
        <v>947</v>
      </c>
      <c r="F3338" s="793" t="s">
        <v>960</v>
      </c>
      <c r="G3338" s="793" t="s">
        <v>782</v>
      </c>
      <c r="H3338" s="793" t="s">
        <v>804</v>
      </c>
      <c r="I3338" s="794">
        <v>3.3536912822181098E-3</v>
      </c>
      <c r="J3338" s="794">
        <v>101.69405284369708</v>
      </c>
      <c r="K3338" s="771"/>
    </row>
    <row r="3339" spans="1:11" ht="18.75" customHeight="1" outlineLevel="2">
      <c r="A3339" s="791" t="s">
        <v>776</v>
      </c>
      <c r="B3339" s="791" t="s">
        <v>1037</v>
      </c>
      <c r="C3339" s="791" t="s">
        <v>1022</v>
      </c>
      <c r="D3339" s="792" t="s">
        <v>779</v>
      </c>
      <c r="E3339" s="793" t="s">
        <v>947</v>
      </c>
      <c r="F3339" s="793" t="s">
        <v>961</v>
      </c>
      <c r="G3339" s="793" t="s">
        <v>782</v>
      </c>
      <c r="H3339" s="793" t="s">
        <v>804</v>
      </c>
      <c r="I3339" s="794">
        <v>1.3207200578740346E-3</v>
      </c>
      <c r="J3339" s="794">
        <v>62.267487075074122</v>
      </c>
      <c r="K3339" s="771"/>
    </row>
    <row r="3340" spans="1:11" ht="18.75" customHeight="1" outlineLevel="2">
      <c r="A3340" s="791" t="s">
        <v>776</v>
      </c>
      <c r="B3340" s="791" t="s">
        <v>1037</v>
      </c>
      <c r="C3340" s="791" t="s">
        <v>1022</v>
      </c>
      <c r="D3340" s="792" t="s">
        <v>779</v>
      </c>
      <c r="E3340" s="793" t="s">
        <v>947</v>
      </c>
      <c r="F3340" s="793" t="s">
        <v>962</v>
      </c>
      <c r="G3340" s="793" t="s">
        <v>782</v>
      </c>
      <c r="H3340" s="793" t="s">
        <v>804</v>
      </c>
      <c r="I3340" s="794">
        <v>4.6788977294353377E-2</v>
      </c>
      <c r="J3340" s="794">
        <v>2795.4678806445081</v>
      </c>
      <c r="K3340" s="771"/>
    </row>
    <row r="3341" spans="1:11" ht="18.75" customHeight="1" outlineLevel="2">
      <c r="A3341" s="791" t="s">
        <v>776</v>
      </c>
      <c r="B3341" s="791" t="s">
        <v>1037</v>
      </c>
      <c r="C3341" s="791" t="s">
        <v>1022</v>
      </c>
      <c r="D3341" s="792" t="s">
        <v>779</v>
      </c>
      <c r="E3341" s="793" t="s">
        <v>947</v>
      </c>
      <c r="F3341" s="793" t="s">
        <v>963</v>
      </c>
      <c r="G3341" s="793" t="s">
        <v>782</v>
      </c>
      <c r="H3341" s="793" t="s">
        <v>804</v>
      </c>
      <c r="I3341" s="794">
        <v>4.0225141413094148E-2</v>
      </c>
      <c r="J3341" s="794">
        <v>3042.9033716348563</v>
      </c>
      <c r="K3341" s="771"/>
    </row>
    <row r="3342" spans="1:11" ht="18.75" customHeight="1" outlineLevel="2">
      <c r="A3342" s="791" t="s">
        <v>776</v>
      </c>
      <c r="B3342" s="791" t="s">
        <v>1037</v>
      </c>
      <c r="C3342" s="791" t="s">
        <v>1022</v>
      </c>
      <c r="D3342" s="792" t="s">
        <v>779</v>
      </c>
      <c r="E3342" s="793" t="s">
        <v>947</v>
      </c>
      <c r="F3342" s="793" t="s">
        <v>964</v>
      </c>
      <c r="G3342" s="793" t="s">
        <v>782</v>
      </c>
      <c r="H3342" s="793" t="s">
        <v>804</v>
      </c>
      <c r="I3342" s="794">
        <v>0.14686578013908005</v>
      </c>
      <c r="J3342" s="794">
        <v>10467.156609340782</v>
      </c>
      <c r="K3342" s="771"/>
    </row>
    <row r="3343" spans="1:11" ht="18.75" customHeight="1" outlineLevel="2">
      <c r="A3343" s="791" t="s">
        <v>776</v>
      </c>
      <c r="B3343" s="791" t="s">
        <v>1037</v>
      </c>
      <c r="C3343" s="791" t="s">
        <v>1022</v>
      </c>
      <c r="D3343" s="792" t="s">
        <v>779</v>
      </c>
      <c r="E3343" s="793" t="s">
        <v>947</v>
      </c>
      <c r="F3343" s="793" t="s">
        <v>965</v>
      </c>
      <c r="G3343" s="793" t="s">
        <v>782</v>
      </c>
      <c r="H3343" s="793" t="s">
        <v>804</v>
      </c>
      <c r="I3343" s="794">
        <v>1.0109523203885619E-2</v>
      </c>
      <c r="J3343" s="794">
        <v>492.18411045220432</v>
      </c>
      <c r="K3343" s="771"/>
    </row>
    <row r="3344" spans="1:11" ht="18.75" customHeight="1" outlineLevel="2">
      <c r="A3344" s="791" t="s">
        <v>776</v>
      </c>
      <c r="B3344" s="791" t="s">
        <v>1037</v>
      </c>
      <c r="C3344" s="791" t="s">
        <v>1022</v>
      </c>
      <c r="D3344" s="792" t="s">
        <v>779</v>
      </c>
      <c r="E3344" s="793" t="s">
        <v>947</v>
      </c>
      <c r="F3344" s="793" t="s">
        <v>966</v>
      </c>
      <c r="G3344" s="793" t="s">
        <v>782</v>
      </c>
      <c r="H3344" s="793" t="s">
        <v>804</v>
      </c>
      <c r="I3344" s="794">
        <v>8.5008120731142875E-2</v>
      </c>
      <c r="J3344" s="794">
        <v>3915.0589625645885</v>
      </c>
      <c r="K3344" s="771"/>
    </row>
    <row r="3345" spans="1:11" ht="18.75" customHeight="1" outlineLevel="2">
      <c r="A3345" s="791" t="s">
        <v>776</v>
      </c>
      <c r="B3345" s="791" t="s">
        <v>1037</v>
      </c>
      <c r="C3345" s="791" t="s">
        <v>1022</v>
      </c>
      <c r="D3345" s="792" t="s">
        <v>779</v>
      </c>
      <c r="E3345" s="793" t="s">
        <v>947</v>
      </c>
      <c r="F3345" s="793" t="s">
        <v>967</v>
      </c>
      <c r="G3345" s="793" t="s">
        <v>782</v>
      </c>
      <c r="H3345" s="793" t="s">
        <v>804</v>
      </c>
      <c r="I3345" s="794">
        <v>0.20770087745529414</v>
      </c>
      <c r="J3345" s="794">
        <v>13310.454312003909</v>
      </c>
      <c r="K3345" s="771"/>
    </row>
    <row r="3346" spans="1:11" ht="18.75" customHeight="1" outlineLevel="2">
      <c r="A3346" s="791" t="s">
        <v>776</v>
      </c>
      <c r="B3346" s="791" t="s">
        <v>1037</v>
      </c>
      <c r="C3346" s="791" t="s">
        <v>1022</v>
      </c>
      <c r="D3346" s="792" t="s">
        <v>779</v>
      </c>
      <c r="E3346" s="793" t="s">
        <v>947</v>
      </c>
      <c r="F3346" s="793" t="s">
        <v>968</v>
      </c>
      <c r="G3346" s="793" t="s">
        <v>782</v>
      </c>
      <c r="H3346" s="793" t="s">
        <v>804</v>
      </c>
      <c r="I3346" s="794">
        <v>0.45491617600648837</v>
      </c>
      <c r="J3346" s="794">
        <v>8929.4950628664046</v>
      </c>
      <c r="K3346" s="771"/>
    </row>
    <row r="3347" spans="1:11" ht="18.75" customHeight="1" outlineLevel="2">
      <c r="A3347" s="791" t="s">
        <v>776</v>
      </c>
      <c r="B3347" s="791" t="s">
        <v>1037</v>
      </c>
      <c r="C3347" s="791" t="s">
        <v>1022</v>
      </c>
      <c r="D3347" s="792" t="s">
        <v>779</v>
      </c>
      <c r="E3347" s="793" t="s">
        <v>947</v>
      </c>
      <c r="F3347" s="793" t="s">
        <v>969</v>
      </c>
      <c r="G3347" s="793" t="s">
        <v>782</v>
      </c>
      <c r="H3347" s="793" t="s">
        <v>804</v>
      </c>
      <c r="I3347" s="794">
        <v>0.16726179897988003</v>
      </c>
      <c r="J3347" s="794">
        <v>12176.250676895699</v>
      </c>
      <c r="K3347" s="771"/>
    </row>
    <row r="3348" spans="1:11" ht="18.75" customHeight="1" outlineLevel="2">
      <c r="A3348" s="791" t="s">
        <v>776</v>
      </c>
      <c r="B3348" s="791" t="s">
        <v>1037</v>
      </c>
      <c r="C3348" s="791" t="s">
        <v>1022</v>
      </c>
      <c r="D3348" s="792" t="s">
        <v>779</v>
      </c>
      <c r="E3348" s="793" t="s">
        <v>947</v>
      </c>
      <c r="F3348" s="793" t="s">
        <v>970</v>
      </c>
      <c r="G3348" s="793" t="s">
        <v>782</v>
      </c>
      <c r="H3348" s="793" t="s">
        <v>804</v>
      </c>
      <c r="I3348" s="794">
        <v>0.30455121962454412</v>
      </c>
      <c r="J3348" s="794">
        <v>7009.1992576214507</v>
      </c>
      <c r="K3348" s="771"/>
    </row>
    <row r="3349" spans="1:11" ht="18.75" customHeight="1" outlineLevel="2">
      <c r="A3349" s="791" t="s">
        <v>776</v>
      </c>
      <c r="B3349" s="791" t="s">
        <v>1037</v>
      </c>
      <c r="C3349" s="791" t="s">
        <v>1022</v>
      </c>
      <c r="D3349" s="792" t="s">
        <v>779</v>
      </c>
      <c r="E3349" s="793" t="s">
        <v>947</v>
      </c>
      <c r="F3349" s="793" t="s">
        <v>971</v>
      </c>
      <c r="G3349" s="793" t="s">
        <v>782</v>
      </c>
      <c r="H3349" s="793" t="s">
        <v>804</v>
      </c>
      <c r="I3349" s="794">
        <v>1.7877750842673765E-2</v>
      </c>
      <c r="J3349" s="794">
        <v>1306.526697669133</v>
      </c>
      <c r="K3349" s="771"/>
    </row>
    <row r="3350" spans="1:11" ht="18.75" customHeight="1" outlineLevel="2">
      <c r="A3350" s="791" t="s">
        <v>776</v>
      </c>
      <c r="B3350" s="791" t="s">
        <v>1037</v>
      </c>
      <c r="C3350" s="791" t="s">
        <v>1022</v>
      </c>
      <c r="D3350" s="792" t="s">
        <v>779</v>
      </c>
      <c r="E3350" s="793" t="s">
        <v>947</v>
      </c>
      <c r="F3350" s="793" t="s">
        <v>972</v>
      </c>
      <c r="G3350" s="793" t="s">
        <v>782</v>
      </c>
      <c r="H3350" s="793" t="s">
        <v>804</v>
      </c>
      <c r="I3350" s="794">
        <v>9.2855538282623107E-4</v>
      </c>
      <c r="J3350" s="794">
        <v>21.435298555809947</v>
      </c>
      <c r="K3350" s="771"/>
    </row>
    <row r="3351" spans="1:11" ht="18.75" customHeight="1" outlineLevel="2">
      <c r="A3351" s="791" t="s">
        <v>776</v>
      </c>
      <c r="B3351" s="791" t="s">
        <v>1037</v>
      </c>
      <c r="C3351" s="791" t="s">
        <v>1022</v>
      </c>
      <c r="D3351" s="792" t="s">
        <v>779</v>
      </c>
      <c r="E3351" s="793" t="s">
        <v>947</v>
      </c>
      <c r="F3351" s="793" t="s">
        <v>973</v>
      </c>
      <c r="G3351" s="793" t="s">
        <v>782</v>
      </c>
      <c r="H3351" s="793" t="s">
        <v>804</v>
      </c>
      <c r="I3351" s="794">
        <v>2.5350413615266534E-2</v>
      </c>
      <c r="J3351" s="794">
        <v>1362.8356749963496</v>
      </c>
      <c r="K3351" s="771"/>
    </row>
    <row r="3352" spans="1:11" ht="18.75" customHeight="1" outlineLevel="2">
      <c r="A3352" s="791" t="s">
        <v>776</v>
      </c>
      <c r="B3352" s="791" t="s">
        <v>1037</v>
      </c>
      <c r="C3352" s="791" t="s">
        <v>1022</v>
      </c>
      <c r="D3352" s="792" t="s">
        <v>779</v>
      </c>
      <c r="E3352" s="793" t="s">
        <v>947</v>
      </c>
      <c r="F3352" s="793" t="s">
        <v>974</v>
      </c>
      <c r="G3352" s="793" t="s">
        <v>785</v>
      </c>
      <c r="H3352" s="793" t="s">
        <v>727</v>
      </c>
      <c r="I3352" s="794">
        <v>8.2844958164279194E-3</v>
      </c>
      <c r="J3352" s="794">
        <v>200.42405566578685</v>
      </c>
      <c r="K3352" s="771"/>
    </row>
    <row r="3353" spans="1:11" ht="18.75" customHeight="1" outlineLevel="2">
      <c r="A3353" s="791" t="s">
        <v>776</v>
      </c>
      <c r="B3353" s="791" t="s">
        <v>1037</v>
      </c>
      <c r="C3353" s="791" t="s">
        <v>1022</v>
      </c>
      <c r="D3353" s="792" t="s">
        <v>779</v>
      </c>
      <c r="E3353" s="793" t="s">
        <v>947</v>
      </c>
      <c r="F3353" s="793" t="s">
        <v>975</v>
      </c>
      <c r="G3353" s="793" t="s">
        <v>785</v>
      </c>
      <c r="H3353" s="793" t="s">
        <v>727</v>
      </c>
      <c r="I3353" s="794">
        <v>4.1228896895067847E-2</v>
      </c>
      <c r="J3353" s="794">
        <v>2907.6714755497574</v>
      </c>
      <c r="K3353" s="771"/>
    </row>
    <row r="3354" spans="1:11" ht="18.75" customHeight="1" outlineLevel="2">
      <c r="A3354" s="791" t="s">
        <v>776</v>
      </c>
      <c r="B3354" s="791" t="s">
        <v>1037</v>
      </c>
      <c r="C3354" s="791" t="s">
        <v>1022</v>
      </c>
      <c r="D3354" s="792" t="s">
        <v>779</v>
      </c>
      <c r="E3354" s="793" t="s">
        <v>947</v>
      </c>
      <c r="F3354" s="793" t="s">
        <v>976</v>
      </c>
      <c r="G3354" s="793" t="s">
        <v>785</v>
      </c>
      <c r="H3354" s="793" t="s">
        <v>727</v>
      </c>
      <c r="I3354" s="794">
        <v>2.4219802176995323E-2</v>
      </c>
      <c r="J3354" s="794">
        <v>1270.0108905491418</v>
      </c>
      <c r="K3354" s="771"/>
    </row>
    <row r="3355" spans="1:11" ht="18.75" customHeight="1" outlineLevel="2">
      <c r="A3355" s="791" t="s">
        <v>776</v>
      </c>
      <c r="B3355" s="791" t="s">
        <v>1037</v>
      </c>
      <c r="C3355" s="791" t="s">
        <v>1022</v>
      </c>
      <c r="D3355" s="792" t="s">
        <v>779</v>
      </c>
      <c r="E3355" s="793" t="s">
        <v>947</v>
      </c>
      <c r="F3355" s="793" t="s">
        <v>977</v>
      </c>
      <c r="G3355" s="793" t="s">
        <v>785</v>
      </c>
      <c r="H3355" s="793" t="s">
        <v>727</v>
      </c>
      <c r="I3355" s="794">
        <v>2.8668398870149058E-2</v>
      </c>
      <c r="J3355" s="794">
        <v>1287.8409515211226</v>
      </c>
      <c r="K3355" s="771"/>
    </row>
    <row r="3356" spans="1:11" ht="18.75" customHeight="1" outlineLevel="2">
      <c r="A3356" s="791" t="s">
        <v>776</v>
      </c>
      <c r="B3356" s="791" t="s">
        <v>1037</v>
      </c>
      <c r="C3356" s="791" t="s">
        <v>1022</v>
      </c>
      <c r="D3356" s="792" t="s">
        <v>779</v>
      </c>
      <c r="E3356" s="793" t="s">
        <v>947</v>
      </c>
      <c r="F3356" s="793" t="s">
        <v>978</v>
      </c>
      <c r="G3356" s="793" t="s">
        <v>785</v>
      </c>
      <c r="H3356" s="793" t="s">
        <v>727</v>
      </c>
      <c r="I3356" s="794">
        <v>1.8157261361988835E-3</v>
      </c>
      <c r="J3356" s="794">
        <v>49.667092467994102</v>
      </c>
      <c r="K3356" s="771"/>
    </row>
    <row r="3357" spans="1:11" ht="18.75" customHeight="1" outlineLevel="2">
      <c r="A3357" s="791" t="s">
        <v>776</v>
      </c>
      <c r="B3357" s="791" t="s">
        <v>1037</v>
      </c>
      <c r="C3357" s="791" t="s">
        <v>1022</v>
      </c>
      <c r="D3357" s="792" t="s">
        <v>779</v>
      </c>
      <c r="E3357" s="793" t="s">
        <v>947</v>
      </c>
      <c r="F3357" s="793" t="s">
        <v>979</v>
      </c>
      <c r="G3357" s="793" t="s">
        <v>785</v>
      </c>
      <c r="H3357" s="793" t="s">
        <v>727</v>
      </c>
      <c r="I3357" s="794">
        <v>0.4433925741527398</v>
      </c>
      <c r="J3357" s="794">
        <v>14572.708207685037</v>
      </c>
      <c r="K3357" s="771"/>
    </row>
    <row r="3358" spans="1:11" ht="18.75" customHeight="1" outlineLevel="2">
      <c r="A3358" s="791" t="s">
        <v>776</v>
      </c>
      <c r="B3358" s="791" t="s">
        <v>1037</v>
      </c>
      <c r="C3358" s="791" t="s">
        <v>1022</v>
      </c>
      <c r="D3358" s="792" t="s">
        <v>779</v>
      </c>
      <c r="E3358" s="793" t="s">
        <v>947</v>
      </c>
      <c r="F3358" s="793" t="s">
        <v>980</v>
      </c>
      <c r="G3358" s="793" t="s">
        <v>785</v>
      </c>
      <c r="H3358" s="793" t="s">
        <v>727</v>
      </c>
      <c r="I3358" s="794">
        <v>2.2605983132303786E-2</v>
      </c>
      <c r="J3358" s="794">
        <v>1832.6008778489522</v>
      </c>
      <c r="K3358" s="771"/>
    </row>
    <row r="3359" spans="1:11" ht="18.75" customHeight="1" outlineLevel="2">
      <c r="A3359" s="791" t="s">
        <v>776</v>
      </c>
      <c r="B3359" s="791" t="s">
        <v>1037</v>
      </c>
      <c r="C3359" s="791" t="s">
        <v>1022</v>
      </c>
      <c r="D3359" s="792" t="s">
        <v>779</v>
      </c>
      <c r="E3359" s="793" t="s">
        <v>947</v>
      </c>
      <c r="F3359" s="793" t="s">
        <v>981</v>
      </c>
      <c r="G3359" s="793" t="s">
        <v>813</v>
      </c>
      <c r="H3359" s="793" t="s">
        <v>814</v>
      </c>
      <c r="I3359" s="794">
        <v>2.1874745473526013E-5</v>
      </c>
      <c r="J3359" s="794">
        <v>0.54826595767202002</v>
      </c>
      <c r="K3359" s="771"/>
    </row>
    <row r="3360" spans="1:11" ht="18.75" customHeight="1" outlineLevel="2">
      <c r="A3360" s="791" t="s">
        <v>776</v>
      </c>
      <c r="B3360" s="791" t="s">
        <v>1037</v>
      </c>
      <c r="C3360" s="791" t="s">
        <v>1022</v>
      </c>
      <c r="D3360" s="792" t="s">
        <v>779</v>
      </c>
      <c r="E3360" s="793" t="s">
        <v>947</v>
      </c>
      <c r="F3360" s="793" t="s">
        <v>982</v>
      </c>
      <c r="G3360" s="793" t="s">
        <v>813</v>
      </c>
      <c r="H3360" s="793" t="s">
        <v>814</v>
      </c>
      <c r="I3360" s="794">
        <v>2.5709314052120777E-3</v>
      </c>
      <c r="J3360" s="794">
        <v>144.01308827184971</v>
      </c>
      <c r="K3360" s="771"/>
    </row>
    <row r="3361" spans="1:11" ht="18.75" customHeight="1" outlineLevel="2">
      <c r="A3361" s="791" t="s">
        <v>776</v>
      </c>
      <c r="B3361" s="791" t="s">
        <v>1037</v>
      </c>
      <c r="C3361" s="791" t="s">
        <v>1022</v>
      </c>
      <c r="D3361" s="792" t="s">
        <v>779</v>
      </c>
      <c r="E3361" s="793" t="s">
        <v>947</v>
      </c>
      <c r="F3361" s="793" t="s">
        <v>983</v>
      </c>
      <c r="G3361" s="793" t="s">
        <v>813</v>
      </c>
      <c r="H3361" s="793" t="s">
        <v>814</v>
      </c>
      <c r="I3361" s="794">
        <v>0.17299953833880502</v>
      </c>
      <c r="J3361" s="794">
        <v>3843.209087090001</v>
      </c>
      <c r="K3361" s="771"/>
    </row>
    <row r="3362" spans="1:11" ht="18.75" customHeight="1" outlineLevel="2">
      <c r="A3362" s="791" t="s">
        <v>776</v>
      </c>
      <c r="B3362" s="791" t="s">
        <v>1037</v>
      </c>
      <c r="C3362" s="791" t="s">
        <v>1022</v>
      </c>
      <c r="D3362" s="792" t="s">
        <v>779</v>
      </c>
      <c r="E3362" s="793" t="s">
        <v>947</v>
      </c>
      <c r="F3362" s="793" t="s">
        <v>984</v>
      </c>
      <c r="G3362" s="793" t="s">
        <v>813</v>
      </c>
      <c r="H3362" s="793" t="s">
        <v>814</v>
      </c>
      <c r="I3362" s="794">
        <v>4.5495804213696547E-2</v>
      </c>
      <c r="J3362" s="794">
        <v>793.36057275754456</v>
      </c>
      <c r="K3362" s="771"/>
    </row>
    <row r="3363" spans="1:11" ht="18.75" customHeight="1" outlineLevel="2">
      <c r="A3363" s="791" t="s">
        <v>776</v>
      </c>
      <c r="B3363" s="791" t="s">
        <v>1037</v>
      </c>
      <c r="C3363" s="791" t="s">
        <v>1022</v>
      </c>
      <c r="D3363" s="792" t="s">
        <v>779</v>
      </c>
      <c r="E3363" s="793" t="s">
        <v>947</v>
      </c>
      <c r="F3363" s="793" t="s">
        <v>985</v>
      </c>
      <c r="G3363" s="793" t="s">
        <v>813</v>
      </c>
      <c r="H3363" s="793" t="s">
        <v>814</v>
      </c>
      <c r="I3363" s="794">
        <v>0.10753424354178728</v>
      </c>
      <c r="J3363" s="794">
        <v>5239.0600754318039</v>
      </c>
      <c r="K3363" s="771"/>
    </row>
    <row r="3364" spans="1:11" ht="18.75" customHeight="1" outlineLevel="2">
      <c r="A3364" s="791" t="s">
        <v>776</v>
      </c>
      <c r="B3364" s="791" t="s">
        <v>1037</v>
      </c>
      <c r="C3364" s="791" t="s">
        <v>1022</v>
      </c>
      <c r="D3364" s="792" t="s">
        <v>779</v>
      </c>
      <c r="E3364" s="793" t="s">
        <v>947</v>
      </c>
      <c r="F3364" s="793" t="s">
        <v>986</v>
      </c>
      <c r="G3364" s="793" t="s">
        <v>813</v>
      </c>
      <c r="H3364" s="793" t="s">
        <v>814</v>
      </c>
      <c r="I3364" s="794">
        <v>1.8441661540207772E-2</v>
      </c>
      <c r="J3364" s="794">
        <v>617.29321980759175</v>
      </c>
      <c r="K3364" s="771"/>
    </row>
    <row r="3365" spans="1:11" ht="18.75" customHeight="1" outlineLevel="2">
      <c r="A3365" s="791" t="s">
        <v>776</v>
      </c>
      <c r="B3365" s="791" t="s">
        <v>1037</v>
      </c>
      <c r="C3365" s="791" t="s">
        <v>1022</v>
      </c>
      <c r="D3365" s="792" t="s">
        <v>779</v>
      </c>
      <c r="E3365" s="793" t="s">
        <v>947</v>
      </c>
      <c r="F3365" s="793" t="s">
        <v>987</v>
      </c>
      <c r="G3365" s="793" t="s">
        <v>813</v>
      </c>
      <c r="H3365" s="793" t="s">
        <v>814</v>
      </c>
      <c r="I3365" s="794">
        <v>5.1848486836203629E-4</v>
      </c>
      <c r="J3365" s="794">
        <v>15.67442807049434</v>
      </c>
      <c r="K3365" s="771"/>
    </row>
    <row r="3366" spans="1:11" ht="18.75" customHeight="1" outlineLevel="2">
      <c r="A3366" s="791" t="s">
        <v>776</v>
      </c>
      <c r="B3366" s="791" t="s">
        <v>1037</v>
      </c>
      <c r="C3366" s="791" t="s">
        <v>1022</v>
      </c>
      <c r="D3366" s="792" t="s">
        <v>779</v>
      </c>
      <c r="E3366" s="793" t="s">
        <v>947</v>
      </c>
      <c r="F3366" s="793" t="s">
        <v>988</v>
      </c>
      <c r="G3366" s="793" t="s">
        <v>791</v>
      </c>
      <c r="H3366" s="793" t="s">
        <v>826</v>
      </c>
      <c r="I3366" s="794">
        <v>2.7181468712076181E-6</v>
      </c>
      <c r="J3366" s="794">
        <v>2.3233102382798403E-2</v>
      </c>
      <c r="K3366" s="771"/>
    </row>
    <row r="3367" spans="1:11" ht="18.75" customHeight="1" outlineLevel="2">
      <c r="A3367" s="791" t="s">
        <v>776</v>
      </c>
      <c r="B3367" s="791" t="s">
        <v>1037</v>
      </c>
      <c r="C3367" s="791" t="s">
        <v>1022</v>
      </c>
      <c r="D3367" s="792" t="s">
        <v>779</v>
      </c>
      <c r="E3367" s="793" t="s">
        <v>947</v>
      </c>
      <c r="F3367" s="793" t="s">
        <v>989</v>
      </c>
      <c r="G3367" s="793" t="s">
        <v>791</v>
      </c>
      <c r="H3367" s="793" t="s">
        <v>826</v>
      </c>
      <c r="I3367" s="794">
        <v>1.6442143726419004E-2</v>
      </c>
      <c r="J3367" s="794">
        <v>964.68899999480834</v>
      </c>
      <c r="K3367" s="771"/>
    </row>
    <row r="3368" spans="1:11" ht="18.75" customHeight="1" outlineLevel="2">
      <c r="A3368" s="791" t="s">
        <v>776</v>
      </c>
      <c r="B3368" s="791" t="s">
        <v>1037</v>
      </c>
      <c r="C3368" s="791" t="s">
        <v>1022</v>
      </c>
      <c r="D3368" s="792" t="s">
        <v>779</v>
      </c>
      <c r="E3368" s="793" t="s">
        <v>947</v>
      </c>
      <c r="F3368" s="793" t="s">
        <v>990</v>
      </c>
      <c r="G3368" s="793" t="s">
        <v>791</v>
      </c>
      <c r="H3368" s="793" t="s">
        <v>826</v>
      </c>
      <c r="I3368" s="794">
        <v>7.8476687132683002E-4</v>
      </c>
      <c r="J3368" s="794">
        <v>86.492603009928771</v>
      </c>
      <c r="K3368" s="771"/>
    </row>
    <row r="3369" spans="1:11" ht="18.75" customHeight="1" outlineLevel="2">
      <c r="A3369" s="791" t="s">
        <v>776</v>
      </c>
      <c r="B3369" s="791" t="s">
        <v>1037</v>
      </c>
      <c r="C3369" s="791" t="s">
        <v>1022</v>
      </c>
      <c r="D3369" s="792" t="s">
        <v>779</v>
      </c>
      <c r="E3369" s="793" t="s">
        <v>947</v>
      </c>
      <c r="F3369" s="793" t="s">
        <v>991</v>
      </c>
      <c r="G3369" s="793" t="s">
        <v>791</v>
      </c>
      <c r="H3369" s="793" t="s">
        <v>826</v>
      </c>
      <c r="I3369" s="794">
        <v>6.2334603006937277E-6</v>
      </c>
      <c r="J3369" s="794">
        <v>0.4787425960519649</v>
      </c>
      <c r="K3369" s="771"/>
    </row>
    <row r="3370" spans="1:11" ht="18.75" customHeight="1" outlineLevel="2">
      <c r="A3370" s="791" t="s">
        <v>776</v>
      </c>
      <c r="B3370" s="791" t="s">
        <v>1037</v>
      </c>
      <c r="C3370" s="791" t="s">
        <v>1022</v>
      </c>
      <c r="D3370" s="792" t="s">
        <v>779</v>
      </c>
      <c r="E3370" s="793" t="s">
        <v>947</v>
      </c>
      <c r="F3370" s="793" t="s">
        <v>992</v>
      </c>
      <c r="G3370" s="793" t="s">
        <v>791</v>
      </c>
      <c r="H3370" s="793" t="s">
        <v>826</v>
      </c>
      <c r="I3370" s="794">
        <v>1.215123574678435E-6</v>
      </c>
      <c r="J3370" s="794">
        <v>0.10056921115812419</v>
      </c>
      <c r="K3370" s="771"/>
    </row>
    <row r="3371" spans="1:11" ht="18.75" customHeight="1" outlineLevel="2">
      <c r="A3371" s="791" t="s">
        <v>776</v>
      </c>
      <c r="B3371" s="791" t="s">
        <v>1037</v>
      </c>
      <c r="C3371" s="791" t="s">
        <v>1022</v>
      </c>
      <c r="D3371" s="792" t="s">
        <v>779</v>
      </c>
      <c r="E3371" s="793" t="s">
        <v>947</v>
      </c>
      <c r="F3371" s="793" t="s">
        <v>993</v>
      </c>
      <c r="G3371" s="793" t="s">
        <v>791</v>
      </c>
      <c r="H3371" s="793" t="s">
        <v>826</v>
      </c>
      <c r="I3371" s="794">
        <v>7.9772743929402192E-5</v>
      </c>
      <c r="J3371" s="794">
        <v>7.3349488733939552</v>
      </c>
      <c r="K3371" s="771"/>
    </row>
    <row r="3372" spans="1:11" ht="18.75" customHeight="1" outlineLevel="2">
      <c r="A3372" s="791" t="s">
        <v>776</v>
      </c>
      <c r="B3372" s="791" t="s">
        <v>1037</v>
      </c>
      <c r="C3372" s="791" t="s">
        <v>1022</v>
      </c>
      <c r="D3372" s="792" t="s">
        <v>779</v>
      </c>
      <c r="E3372" s="793" t="s">
        <v>947</v>
      </c>
      <c r="F3372" s="793" t="s">
        <v>994</v>
      </c>
      <c r="G3372" s="793" t="s">
        <v>791</v>
      </c>
      <c r="H3372" s="793" t="s">
        <v>826</v>
      </c>
      <c r="I3372" s="794">
        <v>1.6866000580549408E-7</v>
      </c>
      <c r="J3372" s="794">
        <v>2.0293545891846697E-2</v>
      </c>
      <c r="K3372" s="771"/>
    </row>
    <row r="3373" spans="1:11" ht="18.75" customHeight="1" outlineLevel="2">
      <c r="A3373" s="791" t="s">
        <v>776</v>
      </c>
      <c r="B3373" s="791" t="s">
        <v>1037</v>
      </c>
      <c r="C3373" s="791" t="s">
        <v>1022</v>
      </c>
      <c r="D3373" s="792" t="s">
        <v>779</v>
      </c>
      <c r="E3373" s="793" t="s">
        <v>947</v>
      </c>
      <c r="F3373" s="793" t="s">
        <v>995</v>
      </c>
      <c r="G3373" s="793" t="s">
        <v>791</v>
      </c>
      <c r="H3373" s="793" t="s">
        <v>826</v>
      </c>
      <c r="I3373" s="794">
        <v>7.1800463129908335E-5</v>
      </c>
      <c r="J3373" s="794">
        <v>6.7821313773496383</v>
      </c>
      <c r="K3373" s="771"/>
    </row>
    <row r="3374" spans="1:11" ht="18.75" customHeight="1" outlineLevel="2">
      <c r="A3374" s="791" t="s">
        <v>776</v>
      </c>
      <c r="B3374" s="791" t="s">
        <v>1037</v>
      </c>
      <c r="C3374" s="791" t="s">
        <v>1022</v>
      </c>
      <c r="D3374" s="792" t="s">
        <v>779</v>
      </c>
      <c r="E3374" s="793" t="s">
        <v>947</v>
      </c>
      <c r="F3374" s="793" t="s">
        <v>996</v>
      </c>
      <c r="G3374" s="793" t="s">
        <v>791</v>
      </c>
      <c r="H3374" s="793" t="s">
        <v>826</v>
      </c>
      <c r="I3374" s="794">
        <v>2.1229088209226066E-4</v>
      </c>
      <c r="J3374" s="794">
        <v>18.873551338101088</v>
      </c>
      <c r="K3374" s="771"/>
    </row>
    <row r="3375" spans="1:11" ht="18.75" customHeight="1" outlineLevel="2">
      <c r="A3375" s="791" t="s">
        <v>776</v>
      </c>
      <c r="B3375" s="791" t="s">
        <v>1037</v>
      </c>
      <c r="C3375" s="791" t="s">
        <v>1022</v>
      </c>
      <c r="D3375" s="792" t="s">
        <v>779</v>
      </c>
      <c r="E3375" s="793" t="s">
        <v>947</v>
      </c>
      <c r="F3375" s="793" t="s">
        <v>997</v>
      </c>
      <c r="G3375" s="793" t="s">
        <v>791</v>
      </c>
      <c r="H3375" s="793" t="s">
        <v>826</v>
      </c>
      <c r="I3375" s="794">
        <v>3.2196424818101073E-4</v>
      </c>
      <c r="J3375" s="794">
        <v>13.916822027603068</v>
      </c>
      <c r="K3375" s="771"/>
    </row>
    <row r="3376" spans="1:11" ht="18.75" customHeight="1" outlineLevel="2">
      <c r="A3376" s="791" t="s">
        <v>776</v>
      </c>
      <c r="B3376" s="791" t="s">
        <v>1037</v>
      </c>
      <c r="C3376" s="791" t="s">
        <v>1022</v>
      </c>
      <c r="D3376" s="792" t="s">
        <v>779</v>
      </c>
      <c r="E3376" s="793" t="s">
        <v>947</v>
      </c>
      <c r="F3376" s="793" t="s">
        <v>998</v>
      </c>
      <c r="G3376" s="793" t="s">
        <v>794</v>
      </c>
      <c r="H3376" s="793" t="s">
        <v>828</v>
      </c>
      <c r="I3376" s="794">
        <v>0.12097344802712569</v>
      </c>
      <c r="J3376" s="794">
        <v>4423.6328641650562</v>
      </c>
      <c r="K3376" s="771"/>
    </row>
    <row r="3377" spans="1:11" ht="18.75" customHeight="1" outlineLevel="2">
      <c r="A3377" s="791" t="s">
        <v>776</v>
      </c>
      <c r="B3377" s="791" t="s">
        <v>1037</v>
      </c>
      <c r="C3377" s="791" t="s">
        <v>1022</v>
      </c>
      <c r="D3377" s="792" t="s">
        <v>779</v>
      </c>
      <c r="E3377" s="793" t="s">
        <v>947</v>
      </c>
      <c r="F3377" s="793" t="s">
        <v>999</v>
      </c>
      <c r="G3377" s="793" t="s">
        <v>794</v>
      </c>
      <c r="H3377" s="793" t="s">
        <v>828</v>
      </c>
      <c r="I3377" s="794">
        <v>2.8529264411119578E-2</v>
      </c>
      <c r="J3377" s="794">
        <v>1044.0578695766369</v>
      </c>
      <c r="K3377" s="771"/>
    </row>
    <row r="3378" spans="1:11" ht="18.75" customHeight="1" outlineLevel="2">
      <c r="A3378" s="791" t="s">
        <v>776</v>
      </c>
      <c r="B3378" s="791" t="s">
        <v>1037</v>
      </c>
      <c r="C3378" s="791" t="s">
        <v>1022</v>
      </c>
      <c r="D3378" s="792" t="s">
        <v>779</v>
      </c>
      <c r="E3378" s="793" t="s">
        <v>947</v>
      </c>
      <c r="F3378" s="793" t="s">
        <v>1000</v>
      </c>
      <c r="G3378" s="793" t="s">
        <v>794</v>
      </c>
      <c r="H3378" s="793" t="s">
        <v>828</v>
      </c>
      <c r="I3378" s="794">
        <v>8.0069600574505864E-2</v>
      </c>
      <c r="J3378" s="794">
        <v>2896.6116037203419</v>
      </c>
      <c r="K3378" s="771"/>
    </row>
    <row r="3379" spans="1:11" ht="18.75" customHeight="1" outlineLevel="2">
      <c r="A3379" s="791" t="s">
        <v>776</v>
      </c>
      <c r="B3379" s="791" t="s">
        <v>1037</v>
      </c>
      <c r="C3379" s="791" t="s">
        <v>1022</v>
      </c>
      <c r="D3379" s="792" t="s">
        <v>779</v>
      </c>
      <c r="E3379" s="793" t="s">
        <v>947</v>
      </c>
      <c r="F3379" s="793" t="s">
        <v>1001</v>
      </c>
      <c r="G3379" s="793" t="s">
        <v>794</v>
      </c>
      <c r="H3379" s="793" t="s">
        <v>828</v>
      </c>
      <c r="I3379" s="794">
        <v>6.761213832886398E-2</v>
      </c>
      <c r="J3379" s="794">
        <v>1470.6982502277976</v>
      </c>
      <c r="K3379" s="771"/>
    </row>
    <row r="3380" spans="1:11" ht="18.75" customHeight="1" outlineLevel="2">
      <c r="A3380" s="791" t="s">
        <v>776</v>
      </c>
      <c r="B3380" s="791" t="s">
        <v>1037</v>
      </c>
      <c r="C3380" s="791" t="s">
        <v>1022</v>
      </c>
      <c r="D3380" s="792" t="s">
        <v>779</v>
      </c>
      <c r="E3380" s="793" t="s">
        <v>947</v>
      </c>
      <c r="F3380" s="793" t="s">
        <v>1002</v>
      </c>
      <c r="G3380" s="793" t="s">
        <v>794</v>
      </c>
      <c r="H3380" s="793" t="s">
        <v>828</v>
      </c>
      <c r="I3380" s="794">
        <v>3.3633239187655711E-3</v>
      </c>
      <c r="J3380" s="794">
        <v>141.44427648794269</v>
      </c>
      <c r="K3380" s="771"/>
    </row>
    <row r="3381" spans="1:11" ht="18.75" customHeight="1" outlineLevel="2">
      <c r="A3381" s="791" t="s">
        <v>776</v>
      </c>
      <c r="B3381" s="791" t="s">
        <v>1037</v>
      </c>
      <c r="C3381" s="791" t="s">
        <v>1022</v>
      </c>
      <c r="D3381" s="792" t="s">
        <v>779</v>
      </c>
      <c r="E3381" s="793" t="s">
        <v>947</v>
      </c>
      <c r="F3381" s="793" t="s">
        <v>1003</v>
      </c>
      <c r="G3381" s="793" t="s">
        <v>794</v>
      </c>
      <c r="H3381" s="793" t="s">
        <v>828</v>
      </c>
      <c r="I3381" s="794">
        <v>3.8909832368062714E-3</v>
      </c>
      <c r="J3381" s="794">
        <v>125.18950853180179</v>
      </c>
      <c r="K3381" s="771"/>
    </row>
    <row r="3382" spans="1:11" ht="18.75" customHeight="1" outlineLevel="2">
      <c r="A3382" s="791" t="s">
        <v>776</v>
      </c>
      <c r="B3382" s="791" t="s">
        <v>1037</v>
      </c>
      <c r="C3382" s="791" t="s">
        <v>1022</v>
      </c>
      <c r="D3382" s="792" t="s">
        <v>779</v>
      </c>
      <c r="E3382" s="793" t="s">
        <v>947</v>
      </c>
      <c r="F3382" s="793" t="s">
        <v>1004</v>
      </c>
      <c r="G3382" s="793" t="s">
        <v>833</v>
      </c>
      <c r="H3382" s="793" t="s">
        <v>834</v>
      </c>
      <c r="I3382" s="794">
        <v>5.3851538140553138E-3</v>
      </c>
      <c r="J3382" s="794">
        <v>352.9316025644622</v>
      </c>
      <c r="K3382" s="771"/>
    </row>
    <row r="3383" spans="1:11" ht="18.75" customHeight="1" outlineLevel="2">
      <c r="A3383" s="791" t="s">
        <v>776</v>
      </c>
      <c r="B3383" s="791" t="s">
        <v>1037</v>
      </c>
      <c r="C3383" s="791" t="s">
        <v>1022</v>
      </c>
      <c r="D3383" s="792" t="s">
        <v>779</v>
      </c>
      <c r="E3383" s="793" t="s">
        <v>947</v>
      </c>
      <c r="F3383" s="793" t="s">
        <v>1007</v>
      </c>
      <c r="G3383" s="793" t="s">
        <v>244</v>
      </c>
      <c r="H3383" s="793" t="s">
        <v>911</v>
      </c>
      <c r="I3383" s="794">
        <v>5.6284990776409851E-3</v>
      </c>
      <c r="J3383" s="794">
        <v>125.48274096433998</v>
      </c>
      <c r="K3383" s="771"/>
    </row>
    <row r="3384" spans="1:11" ht="18.75" customHeight="1" outlineLevel="2">
      <c r="A3384" s="791" t="s">
        <v>776</v>
      </c>
      <c r="B3384" s="791" t="s">
        <v>1037</v>
      </c>
      <c r="C3384" s="791" t="s">
        <v>1022</v>
      </c>
      <c r="D3384" s="792" t="s">
        <v>1010</v>
      </c>
      <c r="E3384" s="793" t="s">
        <v>662</v>
      </c>
      <c r="F3384" s="793" t="s">
        <v>1011</v>
      </c>
      <c r="G3384" s="793" t="s">
        <v>1012</v>
      </c>
      <c r="H3384" s="793" t="s">
        <v>1013</v>
      </c>
      <c r="I3384" s="794">
        <v>4.1776511924603131E-6</v>
      </c>
      <c r="J3384" s="794">
        <v>1.4135248323356317E-2</v>
      </c>
      <c r="K3384" s="771"/>
    </row>
    <row r="3385" spans="1:11" ht="18.75" customHeight="1" outlineLevel="2">
      <c r="A3385" s="791" t="s">
        <v>776</v>
      </c>
      <c r="B3385" s="791" t="s">
        <v>1037</v>
      </c>
      <c r="C3385" s="791" t="s">
        <v>1022</v>
      </c>
      <c r="D3385" s="792" t="s">
        <v>1010</v>
      </c>
      <c r="E3385" s="793" t="s">
        <v>763</v>
      </c>
      <c r="F3385" s="793" t="s">
        <v>1014</v>
      </c>
      <c r="G3385" s="793" t="s">
        <v>1012</v>
      </c>
      <c r="H3385" s="793" t="s">
        <v>913</v>
      </c>
      <c r="I3385" s="794">
        <v>4.7057225346231728E-7</v>
      </c>
      <c r="J3385" s="794">
        <v>7.8869956956905147E-3</v>
      </c>
      <c r="K3385" s="771"/>
    </row>
    <row r="3386" spans="1:11" ht="18.75" customHeight="1" outlineLevel="2">
      <c r="A3386" s="791" t="s">
        <v>776</v>
      </c>
      <c r="B3386" s="791" t="s">
        <v>1037</v>
      </c>
      <c r="C3386" s="791" t="s">
        <v>1022</v>
      </c>
      <c r="D3386" s="792" t="s">
        <v>1010</v>
      </c>
      <c r="E3386" s="793" t="s">
        <v>947</v>
      </c>
      <c r="F3386" s="793" t="s">
        <v>1015</v>
      </c>
      <c r="G3386" s="793" t="s">
        <v>1012</v>
      </c>
      <c r="H3386" s="793" t="s">
        <v>1013</v>
      </c>
      <c r="I3386" s="794">
        <v>8.1915036435705775E-6</v>
      </c>
      <c r="J3386" s="794">
        <v>0.4362462693591197</v>
      </c>
      <c r="K3386" s="771"/>
    </row>
    <row r="3387" spans="1:11" ht="18.75" customHeight="1" outlineLevel="2">
      <c r="A3387" s="791" t="s">
        <v>776</v>
      </c>
      <c r="B3387" s="791" t="s">
        <v>1038</v>
      </c>
      <c r="C3387" s="791" t="s">
        <v>1035</v>
      </c>
      <c r="D3387" s="792" t="s">
        <v>779</v>
      </c>
      <c r="E3387" s="793" t="s">
        <v>780</v>
      </c>
      <c r="F3387" s="793" t="s">
        <v>781</v>
      </c>
      <c r="G3387" s="793" t="s">
        <v>782</v>
      </c>
      <c r="H3387" s="793" t="s">
        <v>783</v>
      </c>
      <c r="I3387" s="794">
        <v>2.3637201812688577E-3</v>
      </c>
      <c r="J3387" s="794">
        <v>3.4770855830917109E-2</v>
      </c>
      <c r="K3387" s="771"/>
    </row>
    <row r="3388" spans="1:11" ht="18.75" customHeight="1" outlineLevel="2">
      <c r="A3388" s="791" t="s">
        <v>776</v>
      </c>
      <c r="B3388" s="791" t="s">
        <v>1038</v>
      </c>
      <c r="C3388" s="791" t="s">
        <v>1035</v>
      </c>
      <c r="D3388" s="792" t="s">
        <v>779</v>
      </c>
      <c r="E3388" s="793" t="s">
        <v>780</v>
      </c>
      <c r="F3388" s="793" t="s">
        <v>784</v>
      </c>
      <c r="G3388" s="793" t="s">
        <v>785</v>
      </c>
      <c r="H3388" s="793" t="s">
        <v>783</v>
      </c>
      <c r="I3388" s="794">
        <v>0.37742906979421681</v>
      </c>
      <c r="J3388" s="794">
        <v>61.292222782684277</v>
      </c>
      <c r="K3388" s="771"/>
    </row>
    <row r="3389" spans="1:11" ht="18.75" customHeight="1" outlineLevel="2">
      <c r="A3389" s="791" t="s">
        <v>776</v>
      </c>
      <c r="B3389" s="791" t="s">
        <v>1038</v>
      </c>
      <c r="C3389" s="791" t="s">
        <v>1035</v>
      </c>
      <c r="D3389" s="792" t="s">
        <v>779</v>
      </c>
      <c r="E3389" s="793" t="s">
        <v>780</v>
      </c>
      <c r="F3389" s="793" t="s">
        <v>786</v>
      </c>
      <c r="G3389" s="793" t="s">
        <v>785</v>
      </c>
      <c r="H3389" s="793" t="s">
        <v>783</v>
      </c>
      <c r="I3389" s="794">
        <v>3.0650974664164413E-4</v>
      </c>
      <c r="J3389" s="794">
        <v>5.1925363055538777E-2</v>
      </c>
      <c r="K3389" s="771"/>
    </row>
    <row r="3390" spans="1:11" ht="18.75" customHeight="1" outlineLevel="2">
      <c r="A3390" s="791" t="s">
        <v>776</v>
      </c>
      <c r="B3390" s="791" t="s">
        <v>1038</v>
      </c>
      <c r="C3390" s="791" t="s">
        <v>1035</v>
      </c>
      <c r="D3390" s="792" t="s">
        <v>779</v>
      </c>
      <c r="E3390" s="793" t="s">
        <v>780</v>
      </c>
      <c r="F3390" s="793" t="s">
        <v>787</v>
      </c>
      <c r="G3390" s="793" t="s">
        <v>785</v>
      </c>
      <c r="H3390" s="793" t="s">
        <v>783</v>
      </c>
      <c r="I3390" s="794">
        <v>1.5402920304719098E-4</v>
      </c>
      <c r="J3390" s="794">
        <v>2.8295790924451565E-2</v>
      </c>
      <c r="K3390" s="771"/>
    </row>
    <row r="3391" spans="1:11" ht="18.75" customHeight="1" outlineLevel="2">
      <c r="A3391" s="791" t="s">
        <v>776</v>
      </c>
      <c r="B3391" s="791" t="s">
        <v>1038</v>
      </c>
      <c r="C3391" s="791" t="s">
        <v>1035</v>
      </c>
      <c r="D3391" s="792" t="s">
        <v>779</v>
      </c>
      <c r="E3391" s="793" t="s">
        <v>780</v>
      </c>
      <c r="F3391" s="793" t="s">
        <v>788</v>
      </c>
      <c r="G3391" s="793" t="s">
        <v>785</v>
      </c>
      <c r="H3391" s="793" t="s">
        <v>783</v>
      </c>
      <c r="I3391" s="794">
        <v>1.8155571243558442E-3</v>
      </c>
      <c r="J3391" s="794">
        <v>0.28920193600925248</v>
      </c>
      <c r="K3391" s="771"/>
    </row>
    <row r="3392" spans="1:11" ht="18.75" customHeight="1" outlineLevel="2">
      <c r="A3392" s="791" t="s">
        <v>776</v>
      </c>
      <c r="B3392" s="791" t="s">
        <v>1038</v>
      </c>
      <c r="C3392" s="791" t="s">
        <v>1035</v>
      </c>
      <c r="D3392" s="792" t="s">
        <v>779</v>
      </c>
      <c r="E3392" s="793" t="s">
        <v>780</v>
      </c>
      <c r="F3392" s="793" t="s">
        <v>789</v>
      </c>
      <c r="G3392" s="793" t="s">
        <v>785</v>
      </c>
      <c r="H3392" s="793" t="s">
        <v>783</v>
      </c>
      <c r="I3392" s="794">
        <v>1.409866592927511E-3</v>
      </c>
      <c r="J3392" s="794">
        <v>0.34681524097452415</v>
      </c>
      <c r="K3392" s="771"/>
    </row>
    <row r="3393" spans="1:11" ht="18.75" customHeight="1" outlineLevel="2">
      <c r="A3393" s="791" t="s">
        <v>776</v>
      </c>
      <c r="B3393" s="791" t="s">
        <v>1038</v>
      </c>
      <c r="C3393" s="791" t="s">
        <v>1035</v>
      </c>
      <c r="D3393" s="792" t="s">
        <v>779</v>
      </c>
      <c r="E3393" s="793" t="s">
        <v>780</v>
      </c>
      <c r="F3393" s="793" t="s">
        <v>790</v>
      </c>
      <c r="G3393" s="793" t="s">
        <v>791</v>
      </c>
      <c r="H3393" s="793" t="s">
        <v>783</v>
      </c>
      <c r="I3393" s="794">
        <v>1.1773828221483403E-2</v>
      </c>
      <c r="J3393" s="794">
        <v>0.15639068858105998</v>
      </c>
      <c r="K3393" s="771"/>
    </row>
    <row r="3394" spans="1:11" ht="18.75" customHeight="1" outlineLevel="2">
      <c r="A3394" s="791" t="s">
        <v>776</v>
      </c>
      <c r="B3394" s="791" t="s">
        <v>1038</v>
      </c>
      <c r="C3394" s="791" t="s">
        <v>1035</v>
      </c>
      <c r="D3394" s="792" t="s">
        <v>779</v>
      </c>
      <c r="E3394" s="793" t="s">
        <v>780</v>
      </c>
      <c r="F3394" s="793" t="s">
        <v>792</v>
      </c>
      <c r="G3394" s="793" t="s">
        <v>791</v>
      </c>
      <c r="H3394" s="793" t="s">
        <v>783</v>
      </c>
      <c r="I3394" s="794">
        <v>8.7395227621383437E-2</v>
      </c>
      <c r="J3394" s="794">
        <v>16.972997220858684</v>
      </c>
      <c r="K3394" s="771"/>
    </row>
    <row r="3395" spans="1:11" ht="18.75" customHeight="1" outlineLevel="2">
      <c r="A3395" s="791" t="s">
        <v>776</v>
      </c>
      <c r="B3395" s="791" t="s">
        <v>1038</v>
      </c>
      <c r="C3395" s="791" t="s">
        <v>1035</v>
      </c>
      <c r="D3395" s="792" t="s">
        <v>779</v>
      </c>
      <c r="E3395" s="793" t="s">
        <v>780</v>
      </c>
      <c r="F3395" s="793" t="s">
        <v>793</v>
      </c>
      <c r="G3395" s="793" t="s">
        <v>794</v>
      </c>
      <c r="H3395" s="793" t="s">
        <v>783</v>
      </c>
      <c r="I3395" s="794">
        <v>0.79146450375537936</v>
      </c>
      <c r="J3395" s="794">
        <v>20.540607681628622</v>
      </c>
      <c r="K3395" s="771"/>
    </row>
    <row r="3396" spans="1:11" ht="18.75" customHeight="1" outlineLevel="2">
      <c r="A3396" s="791" t="s">
        <v>776</v>
      </c>
      <c r="B3396" s="791" t="s">
        <v>1038</v>
      </c>
      <c r="C3396" s="791" t="s">
        <v>1035</v>
      </c>
      <c r="D3396" s="792" t="s">
        <v>779</v>
      </c>
      <c r="E3396" s="793" t="s">
        <v>780</v>
      </c>
      <c r="F3396" s="793" t="s">
        <v>795</v>
      </c>
      <c r="G3396" s="793" t="s">
        <v>794</v>
      </c>
      <c r="H3396" s="793" t="s">
        <v>783</v>
      </c>
      <c r="I3396" s="794">
        <v>2.3933773940085681E-2</v>
      </c>
      <c r="J3396" s="794">
        <v>0.98064377409739234</v>
      </c>
      <c r="K3396" s="771"/>
    </row>
    <row r="3397" spans="1:11" ht="18.75" customHeight="1" outlineLevel="2">
      <c r="A3397" s="791" t="s">
        <v>776</v>
      </c>
      <c r="B3397" s="791" t="s">
        <v>1038</v>
      </c>
      <c r="C3397" s="791" t="s">
        <v>1035</v>
      </c>
      <c r="D3397" s="792" t="s">
        <v>779</v>
      </c>
      <c r="E3397" s="793" t="s">
        <v>780</v>
      </c>
      <c r="F3397" s="793" t="s">
        <v>796</v>
      </c>
      <c r="G3397" s="793" t="s">
        <v>794</v>
      </c>
      <c r="H3397" s="793" t="s">
        <v>783</v>
      </c>
      <c r="I3397" s="794">
        <v>1.2440196027833198E-2</v>
      </c>
      <c r="J3397" s="794">
        <v>1.4335899255528206</v>
      </c>
      <c r="K3397" s="771"/>
    </row>
    <row r="3398" spans="1:11" ht="18.75" customHeight="1" outlineLevel="2">
      <c r="A3398" s="791" t="s">
        <v>776</v>
      </c>
      <c r="B3398" s="791" t="s">
        <v>1038</v>
      </c>
      <c r="C3398" s="791" t="s">
        <v>1035</v>
      </c>
      <c r="D3398" s="792" t="s">
        <v>779</v>
      </c>
      <c r="E3398" s="793" t="s">
        <v>780</v>
      </c>
      <c r="F3398" s="793" t="s">
        <v>797</v>
      </c>
      <c r="G3398" s="793" t="s">
        <v>794</v>
      </c>
      <c r="H3398" s="793" t="s">
        <v>783</v>
      </c>
      <c r="I3398" s="794">
        <v>0.24327450881450177</v>
      </c>
      <c r="J3398" s="794">
        <v>50.908913675273752</v>
      </c>
      <c r="K3398" s="771"/>
    </row>
    <row r="3399" spans="1:11" ht="18.75" customHeight="1" outlineLevel="2">
      <c r="A3399" s="791" t="s">
        <v>776</v>
      </c>
      <c r="B3399" s="791" t="s">
        <v>1038</v>
      </c>
      <c r="C3399" s="791" t="s">
        <v>1035</v>
      </c>
      <c r="D3399" s="792" t="s">
        <v>779</v>
      </c>
      <c r="E3399" s="793" t="s">
        <v>662</v>
      </c>
      <c r="F3399" s="793" t="s">
        <v>798</v>
      </c>
      <c r="G3399" s="793" t="s">
        <v>799</v>
      </c>
      <c r="H3399" s="793" t="s">
        <v>800</v>
      </c>
      <c r="I3399" s="794">
        <v>0.4180615518394642</v>
      </c>
      <c r="J3399" s="794">
        <v>120.12258423272182</v>
      </c>
      <c r="K3399" s="771"/>
    </row>
    <row r="3400" spans="1:11" ht="18.75" customHeight="1" outlineLevel="2">
      <c r="A3400" s="791" t="s">
        <v>776</v>
      </c>
      <c r="B3400" s="791" t="s">
        <v>1038</v>
      </c>
      <c r="C3400" s="791" t="s">
        <v>1035</v>
      </c>
      <c r="D3400" s="792" t="s">
        <v>779</v>
      </c>
      <c r="E3400" s="793" t="s">
        <v>662</v>
      </c>
      <c r="F3400" s="793" t="s">
        <v>801</v>
      </c>
      <c r="G3400" s="793" t="s">
        <v>799</v>
      </c>
      <c r="H3400" s="793" t="s">
        <v>800</v>
      </c>
      <c r="I3400" s="794">
        <v>0.12770134327772839</v>
      </c>
      <c r="J3400" s="794">
        <v>51.58785491717655</v>
      </c>
      <c r="K3400" s="771"/>
    </row>
    <row r="3401" spans="1:11" ht="18.75" customHeight="1" outlineLevel="2">
      <c r="A3401" s="791" t="s">
        <v>776</v>
      </c>
      <c r="B3401" s="791" t="s">
        <v>1038</v>
      </c>
      <c r="C3401" s="791" t="s">
        <v>1035</v>
      </c>
      <c r="D3401" s="792" t="s">
        <v>779</v>
      </c>
      <c r="E3401" s="793" t="s">
        <v>662</v>
      </c>
      <c r="F3401" s="793" t="s">
        <v>802</v>
      </c>
      <c r="G3401" s="793" t="s">
        <v>799</v>
      </c>
      <c r="H3401" s="793" t="s">
        <v>800</v>
      </c>
      <c r="I3401" s="794">
        <v>5.8123756045513716E-2</v>
      </c>
      <c r="J3401" s="794">
        <v>74.751498975467868</v>
      </c>
      <c r="K3401" s="771"/>
    </row>
    <row r="3402" spans="1:11" ht="18.75" customHeight="1" outlineLevel="2">
      <c r="A3402" s="791" t="s">
        <v>776</v>
      </c>
      <c r="B3402" s="791" t="s">
        <v>1038</v>
      </c>
      <c r="C3402" s="791" t="s">
        <v>1035</v>
      </c>
      <c r="D3402" s="792" t="s">
        <v>779</v>
      </c>
      <c r="E3402" s="793" t="s">
        <v>662</v>
      </c>
      <c r="F3402" s="793" t="s">
        <v>803</v>
      </c>
      <c r="G3402" s="793" t="s">
        <v>782</v>
      </c>
      <c r="H3402" s="793" t="s">
        <v>804</v>
      </c>
      <c r="I3402" s="794">
        <v>7.3063836260276425E-3</v>
      </c>
      <c r="J3402" s="794">
        <v>4.5334662055289776</v>
      </c>
      <c r="K3402" s="771"/>
    </row>
    <row r="3403" spans="1:11" ht="18.75" customHeight="1" outlineLevel="2">
      <c r="A3403" s="791" t="s">
        <v>776</v>
      </c>
      <c r="B3403" s="791" t="s">
        <v>1038</v>
      </c>
      <c r="C3403" s="791" t="s">
        <v>1035</v>
      </c>
      <c r="D3403" s="792" t="s">
        <v>779</v>
      </c>
      <c r="E3403" s="793" t="s">
        <v>662</v>
      </c>
      <c r="F3403" s="793" t="s">
        <v>805</v>
      </c>
      <c r="G3403" s="793" t="s">
        <v>782</v>
      </c>
      <c r="H3403" s="793" t="s">
        <v>804</v>
      </c>
      <c r="I3403" s="794">
        <v>6.0635268242644977E-4</v>
      </c>
      <c r="J3403" s="794">
        <v>0.29366052044759627</v>
      </c>
      <c r="K3403" s="771"/>
    </row>
    <row r="3404" spans="1:11" ht="18.75" customHeight="1" outlineLevel="2">
      <c r="A3404" s="791" t="s">
        <v>776</v>
      </c>
      <c r="B3404" s="791" t="s">
        <v>1038</v>
      </c>
      <c r="C3404" s="791" t="s">
        <v>1035</v>
      </c>
      <c r="D3404" s="792" t="s">
        <v>779</v>
      </c>
      <c r="E3404" s="793" t="s">
        <v>662</v>
      </c>
      <c r="F3404" s="793" t="s">
        <v>806</v>
      </c>
      <c r="G3404" s="793" t="s">
        <v>782</v>
      </c>
      <c r="H3404" s="793" t="s">
        <v>804</v>
      </c>
      <c r="I3404" s="794">
        <v>7.3481991310541154E-4</v>
      </c>
      <c r="J3404" s="794">
        <v>0.35100754372818832</v>
      </c>
      <c r="K3404" s="771"/>
    </row>
    <row r="3405" spans="1:11" ht="18.75" customHeight="1" outlineLevel="2">
      <c r="A3405" s="791" t="s">
        <v>776</v>
      </c>
      <c r="B3405" s="791" t="s">
        <v>1038</v>
      </c>
      <c r="C3405" s="791" t="s">
        <v>1035</v>
      </c>
      <c r="D3405" s="792" t="s">
        <v>779</v>
      </c>
      <c r="E3405" s="793" t="s">
        <v>662</v>
      </c>
      <c r="F3405" s="793" t="s">
        <v>807</v>
      </c>
      <c r="G3405" s="793" t="s">
        <v>782</v>
      </c>
      <c r="H3405" s="793" t="s">
        <v>804</v>
      </c>
      <c r="I3405" s="794">
        <v>5.4343146262308335E-6</v>
      </c>
      <c r="J3405" s="794">
        <v>2.4321053117756664E-3</v>
      </c>
      <c r="K3405" s="771"/>
    </row>
    <row r="3406" spans="1:11" ht="18.75" customHeight="1" outlineLevel="2">
      <c r="A3406" s="791" t="s">
        <v>776</v>
      </c>
      <c r="B3406" s="791" t="s">
        <v>1038</v>
      </c>
      <c r="C3406" s="791" t="s">
        <v>1035</v>
      </c>
      <c r="D3406" s="792" t="s">
        <v>779</v>
      </c>
      <c r="E3406" s="793" t="s">
        <v>662</v>
      </c>
      <c r="F3406" s="793" t="s">
        <v>808</v>
      </c>
      <c r="G3406" s="793" t="s">
        <v>782</v>
      </c>
      <c r="H3406" s="793" t="s">
        <v>804</v>
      </c>
      <c r="I3406" s="794">
        <v>2.0946629494444553E-2</v>
      </c>
      <c r="J3406" s="794">
        <v>11.696265446881188</v>
      </c>
      <c r="K3406" s="771"/>
    </row>
    <row r="3407" spans="1:11" ht="18.75" customHeight="1" outlineLevel="2">
      <c r="A3407" s="791" t="s">
        <v>776</v>
      </c>
      <c r="B3407" s="791" t="s">
        <v>1038</v>
      </c>
      <c r="C3407" s="791" t="s">
        <v>1035</v>
      </c>
      <c r="D3407" s="792" t="s">
        <v>779</v>
      </c>
      <c r="E3407" s="793" t="s">
        <v>662</v>
      </c>
      <c r="F3407" s="793" t="s">
        <v>809</v>
      </c>
      <c r="G3407" s="793" t="s">
        <v>782</v>
      </c>
      <c r="H3407" s="793" t="s">
        <v>804</v>
      </c>
      <c r="I3407" s="794">
        <v>1.5315498488100918E-4</v>
      </c>
      <c r="J3407" s="794">
        <v>6.8543958012772702E-2</v>
      </c>
      <c r="K3407" s="771"/>
    </row>
    <row r="3408" spans="1:11" ht="18.75" customHeight="1" outlineLevel="2">
      <c r="A3408" s="791" t="s">
        <v>776</v>
      </c>
      <c r="B3408" s="791" t="s">
        <v>1038</v>
      </c>
      <c r="C3408" s="791" t="s">
        <v>1035</v>
      </c>
      <c r="D3408" s="792" t="s">
        <v>779</v>
      </c>
      <c r="E3408" s="793" t="s">
        <v>662</v>
      </c>
      <c r="F3408" s="793" t="s">
        <v>810</v>
      </c>
      <c r="G3408" s="793" t="s">
        <v>785</v>
      </c>
      <c r="H3408" s="793" t="s">
        <v>727</v>
      </c>
      <c r="I3408" s="794">
        <v>3.7380565756920298E-4</v>
      </c>
      <c r="J3408" s="794">
        <v>0.1672953973876472</v>
      </c>
      <c r="K3408" s="771"/>
    </row>
    <row r="3409" spans="1:11" ht="18.75" customHeight="1" outlineLevel="2">
      <c r="A3409" s="791" t="s">
        <v>776</v>
      </c>
      <c r="B3409" s="791" t="s">
        <v>1038</v>
      </c>
      <c r="C3409" s="791" t="s">
        <v>1035</v>
      </c>
      <c r="D3409" s="792" t="s">
        <v>779</v>
      </c>
      <c r="E3409" s="793" t="s">
        <v>662</v>
      </c>
      <c r="F3409" s="793" t="s">
        <v>811</v>
      </c>
      <c r="G3409" s="793" t="s">
        <v>785</v>
      </c>
      <c r="H3409" s="793" t="s">
        <v>727</v>
      </c>
      <c r="I3409" s="794">
        <v>2.8604112144978978E-5</v>
      </c>
      <c r="J3409" s="794">
        <v>1.2801669592167149E-2</v>
      </c>
      <c r="K3409" s="771"/>
    </row>
    <row r="3410" spans="1:11" ht="18.75" customHeight="1" outlineLevel="2">
      <c r="A3410" s="791" t="s">
        <v>776</v>
      </c>
      <c r="B3410" s="791" t="s">
        <v>1038</v>
      </c>
      <c r="C3410" s="791" t="s">
        <v>1035</v>
      </c>
      <c r="D3410" s="792" t="s">
        <v>779</v>
      </c>
      <c r="E3410" s="793" t="s">
        <v>662</v>
      </c>
      <c r="F3410" s="793" t="s">
        <v>812</v>
      </c>
      <c r="G3410" s="793" t="s">
        <v>813</v>
      </c>
      <c r="H3410" s="793" t="s">
        <v>814</v>
      </c>
      <c r="I3410" s="794">
        <v>2.7835720138006869E-3</v>
      </c>
      <c r="J3410" s="794">
        <v>1.524467900715774</v>
      </c>
      <c r="K3410" s="771"/>
    </row>
    <row r="3411" spans="1:11" ht="18.75" customHeight="1" outlineLevel="2">
      <c r="A3411" s="791" t="s">
        <v>776</v>
      </c>
      <c r="B3411" s="791" t="s">
        <v>1038</v>
      </c>
      <c r="C3411" s="791" t="s">
        <v>1035</v>
      </c>
      <c r="D3411" s="792" t="s">
        <v>779</v>
      </c>
      <c r="E3411" s="793" t="s">
        <v>662</v>
      </c>
      <c r="F3411" s="793" t="s">
        <v>815</v>
      </c>
      <c r="G3411" s="793" t="s">
        <v>813</v>
      </c>
      <c r="H3411" s="793" t="s">
        <v>814</v>
      </c>
      <c r="I3411" s="794">
        <v>2.4266697461398486E-2</v>
      </c>
      <c r="J3411" s="794">
        <v>13.042024794596674</v>
      </c>
      <c r="K3411" s="771"/>
    </row>
    <row r="3412" spans="1:11" ht="18.75" customHeight="1" outlineLevel="2">
      <c r="A3412" s="791" t="s">
        <v>776</v>
      </c>
      <c r="B3412" s="791" t="s">
        <v>1038</v>
      </c>
      <c r="C3412" s="791" t="s">
        <v>1035</v>
      </c>
      <c r="D3412" s="792" t="s">
        <v>779</v>
      </c>
      <c r="E3412" s="793" t="s">
        <v>662</v>
      </c>
      <c r="F3412" s="793" t="s">
        <v>816</v>
      </c>
      <c r="G3412" s="793" t="s">
        <v>813</v>
      </c>
      <c r="H3412" s="793" t="s">
        <v>814</v>
      </c>
      <c r="I3412" s="794">
        <v>3.917746033986616E-2</v>
      </c>
      <c r="J3412" s="794">
        <v>20.354518162309667</v>
      </c>
      <c r="K3412" s="771"/>
    </row>
    <row r="3413" spans="1:11" ht="18.75" customHeight="1" outlineLevel="2">
      <c r="A3413" s="791" t="s">
        <v>776</v>
      </c>
      <c r="B3413" s="791" t="s">
        <v>1038</v>
      </c>
      <c r="C3413" s="791" t="s">
        <v>1035</v>
      </c>
      <c r="D3413" s="792" t="s">
        <v>779</v>
      </c>
      <c r="E3413" s="793" t="s">
        <v>662</v>
      </c>
      <c r="F3413" s="793" t="s">
        <v>817</v>
      </c>
      <c r="G3413" s="793" t="s">
        <v>813</v>
      </c>
      <c r="H3413" s="793" t="s">
        <v>814</v>
      </c>
      <c r="I3413" s="794">
        <v>0.22945551871868367</v>
      </c>
      <c r="J3413" s="794">
        <v>125.60479784656566</v>
      </c>
      <c r="K3413" s="771"/>
    </row>
    <row r="3414" spans="1:11" ht="18.75" customHeight="1" outlineLevel="2">
      <c r="A3414" s="791" t="s">
        <v>776</v>
      </c>
      <c r="B3414" s="791" t="s">
        <v>1038</v>
      </c>
      <c r="C3414" s="791" t="s">
        <v>1035</v>
      </c>
      <c r="D3414" s="792" t="s">
        <v>779</v>
      </c>
      <c r="E3414" s="793" t="s">
        <v>662</v>
      </c>
      <c r="F3414" s="793" t="s">
        <v>818</v>
      </c>
      <c r="G3414" s="793" t="s">
        <v>813</v>
      </c>
      <c r="H3414" s="793" t="s">
        <v>814</v>
      </c>
      <c r="I3414" s="794">
        <v>4.8127255757440549E-2</v>
      </c>
      <c r="J3414" s="794">
        <v>28.268020435844367</v>
      </c>
      <c r="K3414" s="771"/>
    </row>
    <row r="3415" spans="1:11" ht="18.75" customHeight="1" outlineLevel="2">
      <c r="A3415" s="791" t="s">
        <v>776</v>
      </c>
      <c r="B3415" s="791" t="s">
        <v>1038</v>
      </c>
      <c r="C3415" s="791" t="s">
        <v>1035</v>
      </c>
      <c r="D3415" s="792" t="s">
        <v>779</v>
      </c>
      <c r="E3415" s="793" t="s">
        <v>662</v>
      </c>
      <c r="F3415" s="793" t="s">
        <v>819</v>
      </c>
      <c r="G3415" s="793" t="s">
        <v>813</v>
      </c>
      <c r="H3415" s="793" t="s">
        <v>814</v>
      </c>
      <c r="I3415" s="794">
        <v>0.21711904094081316</v>
      </c>
      <c r="J3415" s="794">
        <v>109.76174040364108</v>
      </c>
      <c r="K3415" s="771"/>
    </row>
    <row r="3416" spans="1:11" ht="18.75" customHeight="1" outlineLevel="2">
      <c r="A3416" s="791" t="s">
        <v>776</v>
      </c>
      <c r="B3416" s="791" t="s">
        <v>1038</v>
      </c>
      <c r="C3416" s="791" t="s">
        <v>1035</v>
      </c>
      <c r="D3416" s="792" t="s">
        <v>779</v>
      </c>
      <c r="E3416" s="793" t="s">
        <v>662</v>
      </c>
      <c r="F3416" s="793" t="s">
        <v>820</v>
      </c>
      <c r="G3416" s="793" t="s">
        <v>813</v>
      </c>
      <c r="H3416" s="793" t="s">
        <v>814</v>
      </c>
      <c r="I3416" s="794">
        <v>3.3922300641860914E-2</v>
      </c>
      <c r="J3416" s="794">
        <v>18.193234094548774</v>
      </c>
      <c r="K3416" s="771"/>
    </row>
    <row r="3417" spans="1:11" ht="18.75" customHeight="1" outlineLevel="2">
      <c r="A3417" s="791" t="s">
        <v>776</v>
      </c>
      <c r="B3417" s="791" t="s">
        <v>1038</v>
      </c>
      <c r="C3417" s="791" t="s">
        <v>1035</v>
      </c>
      <c r="D3417" s="792" t="s">
        <v>779</v>
      </c>
      <c r="E3417" s="793" t="s">
        <v>662</v>
      </c>
      <c r="F3417" s="793" t="s">
        <v>821</v>
      </c>
      <c r="G3417" s="793" t="s">
        <v>813</v>
      </c>
      <c r="H3417" s="793" t="s">
        <v>814</v>
      </c>
      <c r="I3417" s="794">
        <v>0.19162779474868569</v>
      </c>
      <c r="J3417" s="794">
        <v>102.49121053107706</v>
      </c>
      <c r="K3417" s="771"/>
    </row>
    <row r="3418" spans="1:11" ht="18.75" customHeight="1" outlineLevel="2">
      <c r="A3418" s="791" t="s">
        <v>776</v>
      </c>
      <c r="B3418" s="791" t="s">
        <v>1038</v>
      </c>
      <c r="C3418" s="791" t="s">
        <v>1035</v>
      </c>
      <c r="D3418" s="792" t="s">
        <v>779</v>
      </c>
      <c r="E3418" s="793" t="s">
        <v>662</v>
      </c>
      <c r="F3418" s="793" t="s">
        <v>824</v>
      </c>
      <c r="G3418" s="793" t="s">
        <v>813</v>
      </c>
      <c r="H3418" s="793" t="s">
        <v>814</v>
      </c>
      <c r="I3418" s="794">
        <v>1.0960359354687657E-4</v>
      </c>
      <c r="J3418" s="794">
        <v>5.4690114413711778E-2</v>
      </c>
      <c r="K3418" s="771"/>
    </row>
    <row r="3419" spans="1:11" ht="18.75" customHeight="1" outlineLevel="2">
      <c r="A3419" s="791" t="s">
        <v>776</v>
      </c>
      <c r="B3419" s="791" t="s">
        <v>1038</v>
      </c>
      <c r="C3419" s="791" t="s">
        <v>1035</v>
      </c>
      <c r="D3419" s="792" t="s">
        <v>779</v>
      </c>
      <c r="E3419" s="793" t="s">
        <v>662</v>
      </c>
      <c r="F3419" s="793" t="s">
        <v>825</v>
      </c>
      <c r="G3419" s="793" t="s">
        <v>791</v>
      </c>
      <c r="H3419" s="793" t="s">
        <v>826</v>
      </c>
      <c r="I3419" s="794">
        <v>1.4621522560050815E-3</v>
      </c>
      <c r="J3419" s="794">
        <v>0.88916776450723667</v>
      </c>
      <c r="K3419" s="771"/>
    </row>
    <row r="3420" spans="1:11" ht="18.75" customHeight="1" outlineLevel="2">
      <c r="A3420" s="791" t="s">
        <v>776</v>
      </c>
      <c r="B3420" s="791" t="s">
        <v>1038</v>
      </c>
      <c r="C3420" s="791" t="s">
        <v>1035</v>
      </c>
      <c r="D3420" s="792" t="s">
        <v>779</v>
      </c>
      <c r="E3420" s="793" t="s">
        <v>662</v>
      </c>
      <c r="F3420" s="793" t="s">
        <v>827</v>
      </c>
      <c r="G3420" s="793" t="s">
        <v>794</v>
      </c>
      <c r="H3420" s="793" t="s">
        <v>828</v>
      </c>
      <c r="I3420" s="794">
        <v>6.9749700790556176E-3</v>
      </c>
      <c r="J3420" s="794">
        <v>3.4533754415473528</v>
      </c>
      <c r="K3420" s="771"/>
    </row>
    <row r="3421" spans="1:11" ht="18.75" customHeight="1" outlineLevel="2">
      <c r="A3421" s="791" t="s">
        <v>776</v>
      </c>
      <c r="B3421" s="791" t="s">
        <v>1038</v>
      </c>
      <c r="C3421" s="791" t="s">
        <v>1035</v>
      </c>
      <c r="D3421" s="792" t="s">
        <v>779</v>
      </c>
      <c r="E3421" s="793" t="s">
        <v>662</v>
      </c>
      <c r="F3421" s="793" t="s">
        <v>829</v>
      </c>
      <c r="G3421" s="793" t="s">
        <v>794</v>
      </c>
      <c r="H3421" s="793" t="s">
        <v>828</v>
      </c>
      <c r="I3421" s="794">
        <v>4.4511448031233108E-2</v>
      </c>
      <c r="J3421" s="794">
        <v>23.037890836065539</v>
      </c>
      <c r="K3421" s="771"/>
    </row>
    <row r="3422" spans="1:11" ht="18.75" customHeight="1" outlineLevel="2">
      <c r="A3422" s="791" t="s">
        <v>776</v>
      </c>
      <c r="B3422" s="791" t="s">
        <v>1038</v>
      </c>
      <c r="C3422" s="791" t="s">
        <v>1035</v>
      </c>
      <c r="D3422" s="792" t="s">
        <v>779</v>
      </c>
      <c r="E3422" s="793" t="s">
        <v>662</v>
      </c>
      <c r="F3422" s="793" t="s">
        <v>830</v>
      </c>
      <c r="G3422" s="793" t="s">
        <v>794</v>
      </c>
      <c r="H3422" s="793" t="s">
        <v>828</v>
      </c>
      <c r="I3422" s="794">
        <v>1.7853483328454574E-5</v>
      </c>
      <c r="J3422" s="794">
        <v>7.9902565759135038E-3</v>
      </c>
      <c r="K3422" s="771"/>
    </row>
    <row r="3423" spans="1:11" ht="18.75" customHeight="1" outlineLevel="2">
      <c r="A3423" s="791" t="s">
        <v>776</v>
      </c>
      <c r="B3423" s="791" t="s">
        <v>1038</v>
      </c>
      <c r="C3423" s="791" t="s">
        <v>1035</v>
      </c>
      <c r="D3423" s="792" t="s">
        <v>779</v>
      </c>
      <c r="E3423" s="793" t="s">
        <v>662</v>
      </c>
      <c r="F3423" s="793" t="s">
        <v>831</v>
      </c>
      <c r="G3423" s="793" t="s">
        <v>794</v>
      </c>
      <c r="H3423" s="793" t="s">
        <v>828</v>
      </c>
      <c r="I3423" s="794">
        <v>3.1142089941647958E-4</v>
      </c>
      <c r="J3423" s="794">
        <v>0.13937539098950816</v>
      </c>
      <c r="K3423" s="771"/>
    </row>
    <row r="3424" spans="1:11" ht="18.75" customHeight="1" outlineLevel="2">
      <c r="A3424" s="791" t="s">
        <v>776</v>
      </c>
      <c r="B3424" s="791" t="s">
        <v>1038</v>
      </c>
      <c r="C3424" s="791" t="s">
        <v>1035</v>
      </c>
      <c r="D3424" s="792" t="s">
        <v>779</v>
      </c>
      <c r="E3424" s="793" t="s">
        <v>662</v>
      </c>
      <c r="F3424" s="793" t="s">
        <v>832</v>
      </c>
      <c r="G3424" s="793" t="s">
        <v>833</v>
      </c>
      <c r="H3424" s="793" t="s">
        <v>834</v>
      </c>
      <c r="I3424" s="794">
        <v>7.6063023659498855E-3</v>
      </c>
      <c r="J3424" s="794">
        <v>4.391345746233041</v>
      </c>
      <c r="K3424" s="771"/>
    </row>
    <row r="3425" spans="1:11" ht="18.75" customHeight="1" outlineLevel="2">
      <c r="A3425" s="791" t="s">
        <v>776</v>
      </c>
      <c r="B3425" s="791" t="s">
        <v>1038</v>
      </c>
      <c r="C3425" s="791" t="s">
        <v>1035</v>
      </c>
      <c r="D3425" s="792" t="s">
        <v>779</v>
      </c>
      <c r="E3425" s="793" t="s">
        <v>662</v>
      </c>
      <c r="F3425" s="793" t="s">
        <v>835</v>
      </c>
      <c r="G3425" s="793" t="s">
        <v>799</v>
      </c>
      <c r="H3425" s="793" t="s">
        <v>800</v>
      </c>
      <c r="I3425" s="794">
        <v>7.9104554427726265E-2</v>
      </c>
      <c r="J3425" s="794">
        <v>56.022741164136818</v>
      </c>
      <c r="K3425" s="771"/>
    </row>
    <row r="3426" spans="1:11" ht="18.75" customHeight="1" outlineLevel="2">
      <c r="A3426" s="791" t="s">
        <v>776</v>
      </c>
      <c r="B3426" s="791" t="s">
        <v>1038</v>
      </c>
      <c r="C3426" s="791" t="s">
        <v>1035</v>
      </c>
      <c r="D3426" s="792" t="s">
        <v>779</v>
      </c>
      <c r="E3426" s="793" t="s">
        <v>662</v>
      </c>
      <c r="F3426" s="793" t="s">
        <v>836</v>
      </c>
      <c r="G3426" s="793" t="s">
        <v>799</v>
      </c>
      <c r="H3426" s="793" t="s">
        <v>800</v>
      </c>
      <c r="I3426" s="794">
        <v>0.58293341169696922</v>
      </c>
      <c r="J3426" s="794">
        <v>532.5960606575253</v>
      </c>
      <c r="K3426" s="771"/>
    </row>
    <row r="3427" spans="1:11" ht="18.75" customHeight="1" outlineLevel="2">
      <c r="A3427" s="791" t="s">
        <v>776</v>
      </c>
      <c r="B3427" s="791" t="s">
        <v>1038</v>
      </c>
      <c r="C3427" s="791" t="s">
        <v>1035</v>
      </c>
      <c r="D3427" s="792" t="s">
        <v>779</v>
      </c>
      <c r="E3427" s="793" t="s">
        <v>662</v>
      </c>
      <c r="F3427" s="793" t="s">
        <v>837</v>
      </c>
      <c r="G3427" s="793" t="s">
        <v>799</v>
      </c>
      <c r="H3427" s="793" t="s">
        <v>800</v>
      </c>
      <c r="I3427" s="794">
        <v>0.13688312542341316</v>
      </c>
      <c r="J3427" s="794">
        <v>182.18545927328904</v>
      </c>
      <c r="K3427" s="771"/>
    </row>
    <row r="3428" spans="1:11" ht="18.75" customHeight="1" outlineLevel="2">
      <c r="A3428" s="791" t="s">
        <v>776</v>
      </c>
      <c r="B3428" s="791" t="s">
        <v>1038</v>
      </c>
      <c r="C3428" s="791" t="s">
        <v>1035</v>
      </c>
      <c r="D3428" s="792" t="s">
        <v>779</v>
      </c>
      <c r="E3428" s="793" t="s">
        <v>662</v>
      </c>
      <c r="F3428" s="793" t="s">
        <v>838</v>
      </c>
      <c r="G3428" s="793" t="s">
        <v>799</v>
      </c>
      <c r="H3428" s="793" t="s">
        <v>800</v>
      </c>
      <c r="I3428" s="794">
        <v>7.8335040611138385E-2</v>
      </c>
      <c r="J3428" s="794">
        <v>71.434688271111</v>
      </c>
      <c r="K3428" s="771"/>
    </row>
    <row r="3429" spans="1:11" ht="18.75" customHeight="1" outlineLevel="2">
      <c r="A3429" s="791" t="s">
        <v>776</v>
      </c>
      <c r="B3429" s="791" t="s">
        <v>1038</v>
      </c>
      <c r="C3429" s="791" t="s">
        <v>1035</v>
      </c>
      <c r="D3429" s="792" t="s">
        <v>779</v>
      </c>
      <c r="E3429" s="793" t="s">
        <v>662</v>
      </c>
      <c r="F3429" s="793" t="s">
        <v>839</v>
      </c>
      <c r="G3429" s="793" t="s">
        <v>782</v>
      </c>
      <c r="H3429" s="793" t="s">
        <v>804</v>
      </c>
      <c r="I3429" s="794">
        <v>2.4615967806287729E-3</v>
      </c>
      <c r="J3429" s="794">
        <v>4.0187127127595579</v>
      </c>
      <c r="K3429" s="771"/>
    </row>
    <row r="3430" spans="1:11" ht="18.75" customHeight="1" outlineLevel="2">
      <c r="A3430" s="791" t="s">
        <v>776</v>
      </c>
      <c r="B3430" s="791" t="s">
        <v>1038</v>
      </c>
      <c r="C3430" s="791" t="s">
        <v>1035</v>
      </c>
      <c r="D3430" s="792" t="s">
        <v>779</v>
      </c>
      <c r="E3430" s="793" t="s">
        <v>662</v>
      </c>
      <c r="F3430" s="793" t="s">
        <v>840</v>
      </c>
      <c r="G3430" s="793" t="s">
        <v>782</v>
      </c>
      <c r="H3430" s="793" t="s">
        <v>804</v>
      </c>
      <c r="I3430" s="794">
        <v>1.9669657212825456E-5</v>
      </c>
      <c r="J3430" s="794">
        <v>2.9996192429718793E-2</v>
      </c>
      <c r="K3430" s="771"/>
    </row>
    <row r="3431" spans="1:11" ht="18.75" customHeight="1" outlineLevel="2">
      <c r="A3431" s="791" t="s">
        <v>776</v>
      </c>
      <c r="B3431" s="791" t="s">
        <v>1038</v>
      </c>
      <c r="C3431" s="791" t="s">
        <v>1035</v>
      </c>
      <c r="D3431" s="792" t="s">
        <v>779</v>
      </c>
      <c r="E3431" s="793" t="s">
        <v>662</v>
      </c>
      <c r="F3431" s="793" t="s">
        <v>841</v>
      </c>
      <c r="G3431" s="793" t="s">
        <v>782</v>
      </c>
      <c r="H3431" s="793" t="s">
        <v>804</v>
      </c>
      <c r="I3431" s="794">
        <v>5.3183717923726932E-3</v>
      </c>
      <c r="J3431" s="794">
        <v>7.5496379319212572</v>
      </c>
      <c r="K3431" s="771"/>
    </row>
    <row r="3432" spans="1:11" ht="18.75" customHeight="1" outlineLevel="2">
      <c r="A3432" s="791" t="s">
        <v>776</v>
      </c>
      <c r="B3432" s="791" t="s">
        <v>1038</v>
      </c>
      <c r="C3432" s="791" t="s">
        <v>1035</v>
      </c>
      <c r="D3432" s="792" t="s">
        <v>779</v>
      </c>
      <c r="E3432" s="793" t="s">
        <v>662</v>
      </c>
      <c r="F3432" s="793" t="s">
        <v>842</v>
      </c>
      <c r="G3432" s="793" t="s">
        <v>782</v>
      </c>
      <c r="H3432" s="793" t="s">
        <v>804</v>
      </c>
      <c r="I3432" s="794">
        <v>4.3399838150781451E-3</v>
      </c>
      <c r="J3432" s="794">
        <v>7.1078597482571286</v>
      </c>
      <c r="K3432" s="771"/>
    </row>
    <row r="3433" spans="1:11" ht="18.75" customHeight="1" outlineLevel="2">
      <c r="A3433" s="791" t="s">
        <v>776</v>
      </c>
      <c r="B3433" s="791" t="s">
        <v>1038</v>
      </c>
      <c r="C3433" s="791" t="s">
        <v>1035</v>
      </c>
      <c r="D3433" s="792" t="s">
        <v>779</v>
      </c>
      <c r="E3433" s="793" t="s">
        <v>662</v>
      </c>
      <c r="F3433" s="793" t="s">
        <v>843</v>
      </c>
      <c r="G3433" s="793" t="s">
        <v>782</v>
      </c>
      <c r="H3433" s="793" t="s">
        <v>804</v>
      </c>
      <c r="I3433" s="794">
        <v>9.7056786901125285E-3</v>
      </c>
      <c r="J3433" s="794">
        <v>14.185098078578076</v>
      </c>
      <c r="K3433" s="771"/>
    </row>
    <row r="3434" spans="1:11" ht="18.75" customHeight="1" outlineLevel="2">
      <c r="A3434" s="791" t="s">
        <v>776</v>
      </c>
      <c r="B3434" s="791" t="s">
        <v>1038</v>
      </c>
      <c r="C3434" s="791" t="s">
        <v>1035</v>
      </c>
      <c r="D3434" s="792" t="s">
        <v>779</v>
      </c>
      <c r="E3434" s="793" t="s">
        <v>662</v>
      </c>
      <c r="F3434" s="793" t="s">
        <v>844</v>
      </c>
      <c r="G3434" s="793" t="s">
        <v>782</v>
      </c>
      <c r="H3434" s="793" t="s">
        <v>804</v>
      </c>
      <c r="I3434" s="794">
        <v>4.2105258729455489E-3</v>
      </c>
      <c r="J3434" s="794">
        <v>5.9729757603403053</v>
      </c>
      <c r="K3434" s="771"/>
    </row>
    <row r="3435" spans="1:11" ht="18.75" customHeight="1" outlineLevel="2">
      <c r="A3435" s="791" t="s">
        <v>776</v>
      </c>
      <c r="B3435" s="791" t="s">
        <v>1038</v>
      </c>
      <c r="C3435" s="791" t="s">
        <v>1035</v>
      </c>
      <c r="D3435" s="792" t="s">
        <v>779</v>
      </c>
      <c r="E3435" s="793" t="s">
        <v>662</v>
      </c>
      <c r="F3435" s="793" t="s">
        <v>845</v>
      </c>
      <c r="G3435" s="793" t="s">
        <v>782</v>
      </c>
      <c r="H3435" s="793" t="s">
        <v>804</v>
      </c>
      <c r="I3435" s="794">
        <v>2.293117288179159E-4</v>
      </c>
      <c r="J3435" s="794">
        <v>0.31130047026225866</v>
      </c>
      <c r="K3435" s="771"/>
    </row>
    <row r="3436" spans="1:11" ht="18.75" customHeight="1" outlineLevel="2">
      <c r="A3436" s="791" t="s">
        <v>776</v>
      </c>
      <c r="B3436" s="791" t="s">
        <v>1038</v>
      </c>
      <c r="C3436" s="791" t="s">
        <v>1035</v>
      </c>
      <c r="D3436" s="792" t="s">
        <v>779</v>
      </c>
      <c r="E3436" s="793" t="s">
        <v>662</v>
      </c>
      <c r="F3436" s="793" t="s">
        <v>846</v>
      </c>
      <c r="G3436" s="793" t="s">
        <v>782</v>
      </c>
      <c r="H3436" s="793" t="s">
        <v>804</v>
      </c>
      <c r="I3436" s="794">
        <v>7.9802208015734705E-3</v>
      </c>
      <c r="J3436" s="794">
        <v>12.499602563944132</v>
      </c>
      <c r="K3436" s="771"/>
    </row>
    <row r="3437" spans="1:11" ht="18.75" customHeight="1" outlineLevel="2">
      <c r="A3437" s="791" t="s">
        <v>776</v>
      </c>
      <c r="B3437" s="791" t="s">
        <v>1038</v>
      </c>
      <c r="C3437" s="791" t="s">
        <v>1035</v>
      </c>
      <c r="D3437" s="792" t="s">
        <v>779</v>
      </c>
      <c r="E3437" s="793" t="s">
        <v>662</v>
      </c>
      <c r="F3437" s="793" t="s">
        <v>847</v>
      </c>
      <c r="G3437" s="793" t="s">
        <v>782</v>
      </c>
      <c r="H3437" s="793" t="s">
        <v>804</v>
      </c>
      <c r="I3437" s="794">
        <v>3.8043371202764026E-3</v>
      </c>
      <c r="J3437" s="794">
        <v>4.6358780651287201</v>
      </c>
      <c r="K3437" s="771"/>
    </row>
    <row r="3438" spans="1:11" ht="18.75" customHeight="1" outlineLevel="2">
      <c r="A3438" s="791" t="s">
        <v>776</v>
      </c>
      <c r="B3438" s="791" t="s">
        <v>1038</v>
      </c>
      <c r="C3438" s="791" t="s">
        <v>1035</v>
      </c>
      <c r="D3438" s="792" t="s">
        <v>779</v>
      </c>
      <c r="E3438" s="793" t="s">
        <v>662</v>
      </c>
      <c r="F3438" s="793" t="s">
        <v>848</v>
      </c>
      <c r="G3438" s="793" t="s">
        <v>782</v>
      </c>
      <c r="H3438" s="793" t="s">
        <v>804</v>
      </c>
      <c r="I3438" s="794">
        <v>1.797745325925797E-2</v>
      </c>
      <c r="J3438" s="794">
        <v>26.046434613257897</v>
      </c>
      <c r="K3438" s="771"/>
    </row>
    <row r="3439" spans="1:11" ht="18.75" customHeight="1" outlineLevel="2">
      <c r="A3439" s="791" t="s">
        <v>776</v>
      </c>
      <c r="B3439" s="791" t="s">
        <v>1038</v>
      </c>
      <c r="C3439" s="791" t="s">
        <v>1035</v>
      </c>
      <c r="D3439" s="792" t="s">
        <v>779</v>
      </c>
      <c r="E3439" s="793" t="s">
        <v>662</v>
      </c>
      <c r="F3439" s="793" t="s">
        <v>849</v>
      </c>
      <c r="G3439" s="793" t="s">
        <v>782</v>
      </c>
      <c r="H3439" s="793" t="s">
        <v>804</v>
      </c>
      <c r="I3439" s="794">
        <v>9.1132003148890334E-3</v>
      </c>
      <c r="J3439" s="794">
        <v>12.508218456263066</v>
      </c>
      <c r="K3439" s="771"/>
    </row>
    <row r="3440" spans="1:11" ht="18.75" customHeight="1" outlineLevel="2">
      <c r="A3440" s="791" t="s">
        <v>776</v>
      </c>
      <c r="B3440" s="791" t="s">
        <v>1038</v>
      </c>
      <c r="C3440" s="791" t="s">
        <v>1035</v>
      </c>
      <c r="D3440" s="792" t="s">
        <v>779</v>
      </c>
      <c r="E3440" s="793" t="s">
        <v>662</v>
      </c>
      <c r="F3440" s="793" t="s">
        <v>850</v>
      </c>
      <c r="G3440" s="793" t="s">
        <v>782</v>
      </c>
      <c r="H3440" s="793" t="s">
        <v>804</v>
      </c>
      <c r="I3440" s="794">
        <v>7.2063618534433859E-4</v>
      </c>
      <c r="J3440" s="794">
        <v>1.0075208475801891</v>
      </c>
      <c r="K3440" s="771"/>
    </row>
    <row r="3441" spans="1:11" ht="18.75" customHeight="1" outlineLevel="2">
      <c r="A3441" s="791" t="s">
        <v>776</v>
      </c>
      <c r="B3441" s="791" t="s">
        <v>1038</v>
      </c>
      <c r="C3441" s="791" t="s">
        <v>1035</v>
      </c>
      <c r="D3441" s="792" t="s">
        <v>779</v>
      </c>
      <c r="E3441" s="793" t="s">
        <v>662</v>
      </c>
      <c r="F3441" s="793" t="s">
        <v>851</v>
      </c>
      <c r="G3441" s="793" t="s">
        <v>782</v>
      </c>
      <c r="H3441" s="793" t="s">
        <v>804</v>
      </c>
      <c r="I3441" s="794">
        <v>1.1828710775444997E-3</v>
      </c>
      <c r="J3441" s="794">
        <v>1.6918796212619969</v>
      </c>
      <c r="K3441" s="771"/>
    </row>
    <row r="3442" spans="1:11" ht="18.75" customHeight="1" outlineLevel="2">
      <c r="A3442" s="791" t="s">
        <v>776</v>
      </c>
      <c r="B3442" s="791" t="s">
        <v>1038</v>
      </c>
      <c r="C3442" s="791" t="s">
        <v>1035</v>
      </c>
      <c r="D3442" s="792" t="s">
        <v>779</v>
      </c>
      <c r="E3442" s="793" t="s">
        <v>662</v>
      </c>
      <c r="F3442" s="793" t="s">
        <v>852</v>
      </c>
      <c r="G3442" s="793" t="s">
        <v>782</v>
      </c>
      <c r="H3442" s="793" t="s">
        <v>804</v>
      </c>
      <c r="I3442" s="794">
        <v>5.1803340214892938E-4</v>
      </c>
      <c r="J3442" s="794">
        <v>1.5118331341301086</v>
      </c>
      <c r="K3442" s="771"/>
    </row>
    <row r="3443" spans="1:11" ht="18.75" customHeight="1" outlineLevel="2">
      <c r="A3443" s="791" t="s">
        <v>776</v>
      </c>
      <c r="B3443" s="791" t="s">
        <v>1038</v>
      </c>
      <c r="C3443" s="791" t="s">
        <v>1035</v>
      </c>
      <c r="D3443" s="792" t="s">
        <v>779</v>
      </c>
      <c r="E3443" s="793" t="s">
        <v>662</v>
      </c>
      <c r="F3443" s="793" t="s">
        <v>853</v>
      </c>
      <c r="G3443" s="793" t="s">
        <v>782</v>
      </c>
      <c r="H3443" s="793" t="s">
        <v>804</v>
      </c>
      <c r="I3443" s="794">
        <v>4.1688039387325119E-4</v>
      </c>
      <c r="J3443" s="794">
        <v>3.5858067805558744</v>
      </c>
      <c r="K3443" s="771"/>
    </row>
    <row r="3444" spans="1:11" ht="18.75" customHeight="1" outlineLevel="2">
      <c r="A3444" s="791" t="s">
        <v>776</v>
      </c>
      <c r="B3444" s="791" t="s">
        <v>1038</v>
      </c>
      <c r="C3444" s="791" t="s">
        <v>1035</v>
      </c>
      <c r="D3444" s="792" t="s">
        <v>779</v>
      </c>
      <c r="E3444" s="793" t="s">
        <v>662</v>
      </c>
      <c r="F3444" s="793" t="s">
        <v>854</v>
      </c>
      <c r="G3444" s="793" t="s">
        <v>782</v>
      </c>
      <c r="H3444" s="793" t="s">
        <v>804</v>
      </c>
      <c r="I3444" s="794">
        <v>5.671955364698212E-3</v>
      </c>
      <c r="J3444" s="794">
        <v>8.5501003994622131</v>
      </c>
      <c r="K3444" s="771"/>
    </row>
    <row r="3445" spans="1:11" ht="18.75" customHeight="1" outlineLevel="2">
      <c r="A3445" s="791" t="s">
        <v>776</v>
      </c>
      <c r="B3445" s="791" t="s">
        <v>1038</v>
      </c>
      <c r="C3445" s="791" t="s">
        <v>1035</v>
      </c>
      <c r="D3445" s="792" t="s">
        <v>779</v>
      </c>
      <c r="E3445" s="793" t="s">
        <v>662</v>
      </c>
      <c r="F3445" s="793" t="s">
        <v>855</v>
      </c>
      <c r="G3445" s="793" t="s">
        <v>782</v>
      </c>
      <c r="H3445" s="793" t="s">
        <v>804</v>
      </c>
      <c r="I3445" s="794">
        <v>4.049982036890637E-3</v>
      </c>
      <c r="J3445" s="794">
        <v>5.9590793051056918</v>
      </c>
      <c r="K3445" s="771"/>
    </row>
    <row r="3446" spans="1:11" ht="18.75" customHeight="1" outlineLevel="2">
      <c r="A3446" s="791" t="s">
        <v>776</v>
      </c>
      <c r="B3446" s="791" t="s">
        <v>1038</v>
      </c>
      <c r="C3446" s="791" t="s">
        <v>1035</v>
      </c>
      <c r="D3446" s="792" t="s">
        <v>779</v>
      </c>
      <c r="E3446" s="793" t="s">
        <v>662</v>
      </c>
      <c r="F3446" s="793" t="s">
        <v>856</v>
      </c>
      <c r="G3446" s="793" t="s">
        <v>782</v>
      </c>
      <c r="H3446" s="793" t="s">
        <v>804</v>
      </c>
      <c r="I3446" s="794">
        <v>1.5905383064236977E-3</v>
      </c>
      <c r="J3446" s="794">
        <v>1.9525777292797253</v>
      </c>
      <c r="K3446" s="771"/>
    </row>
    <row r="3447" spans="1:11" ht="18.75" customHeight="1" outlineLevel="2">
      <c r="A3447" s="791" t="s">
        <v>776</v>
      </c>
      <c r="B3447" s="791" t="s">
        <v>1038</v>
      </c>
      <c r="C3447" s="791" t="s">
        <v>1035</v>
      </c>
      <c r="D3447" s="792" t="s">
        <v>779</v>
      </c>
      <c r="E3447" s="793" t="s">
        <v>662</v>
      </c>
      <c r="F3447" s="793" t="s">
        <v>857</v>
      </c>
      <c r="G3447" s="793" t="s">
        <v>782</v>
      </c>
      <c r="H3447" s="793" t="s">
        <v>804</v>
      </c>
      <c r="I3447" s="794">
        <v>1.3241343925771913E-3</v>
      </c>
      <c r="J3447" s="794">
        <v>1.4267527875677897</v>
      </c>
      <c r="K3447" s="771"/>
    </row>
    <row r="3448" spans="1:11" ht="18.75" customHeight="1" outlineLevel="2">
      <c r="A3448" s="791" t="s">
        <v>776</v>
      </c>
      <c r="B3448" s="791" t="s">
        <v>1038</v>
      </c>
      <c r="C3448" s="791" t="s">
        <v>1035</v>
      </c>
      <c r="D3448" s="792" t="s">
        <v>779</v>
      </c>
      <c r="E3448" s="793" t="s">
        <v>662</v>
      </c>
      <c r="F3448" s="793" t="s">
        <v>858</v>
      </c>
      <c r="G3448" s="793" t="s">
        <v>785</v>
      </c>
      <c r="H3448" s="793" t="s">
        <v>727</v>
      </c>
      <c r="I3448" s="794">
        <v>9.2428296080874599E-3</v>
      </c>
      <c r="J3448" s="794">
        <v>18.543844146493281</v>
      </c>
      <c r="K3448" s="771"/>
    </row>
    <row r="3449" spans="1:11" ht="18.75" customHeight="1" outlineLevel="2">
      <c r="A3449" s="791" t="s">
        <v>776</v>
      </c>
      <c r="B3449" s="791" t="s">
        <v>1038</v>
      </c>
      <c r="C3449" s="791" t="s">
        <v>1035</v>
      </c>
      <c r="D3449" s="792" t="s">
        <v>779</v>
      </c>
      <c r="E3449" s="793" t="s">
        <v>662</v>
      </c>
      <c r="F3449" s="793" t="s">
        <v>859</v>
      </c>
      <c r="G3449" s="793" t="s">
        <v>785</v>
      </c>
      <c r="H3449" s="793" t="s">
        <v>727</v>
      </c>
      <c r="I3449" s="794">
        <v>6.6401057185657966E-3</v>
      </c>
      <c r="J3449" s="794">
        <v>70.179183499825129</v>
      </c>
      <c r="K3449" s="771"/>
    </row>
    <row r="3450" spans="1:11" ht="18.75" customHeight="1" outlineLevel="2">
      <c r="A3450" s="791" t="s">
        <v>776</v>
      </c>
      <c r="B3450" s="791" t="s">
        <v>1038</v>
      </c>
      <c r="C3450" s="791" t="s">
        <v>1035</v>
      </c>
      <c r="D3450" s="792" t="s">
        <v>779</v>
      </c>
      <c r="E3450" s="793" t="s">
        <v>662</v>
      </c>
      <c r="F3450" s="793" t="s">
        <v>860</v>
      </c>
      <c r="G3450" s="793" t="s">
        <v>785</v>
      </c>
      <c r="H3450" s="793" t="s">
        <v>727</v>
      </c>
      <c r="I3450" s="794">
        <v>5.5095058305387832E-3</v>
      </c>
      <c r="J3450" s="794">
        <v>15.080237695277685</v>
      </c>
      <c r="K3450" s="771"/>
    </row>
    <row r="3451" spans="1:11" ht="18.75" customHeight="1" outlineLevel="2">
      <c r="A3451" s="791" t="s">
        <v>776</v>
      </c>
      <c r="B3451" s="791" t="s">
        <v>1038</v>
      </c>
      <c r="C3451" s="791" t="s">
        <v>1035</v>
      </c>
      <c r="D3451" s="792" t="s">
        <v>779</v>
      </c>
      <c r="E3451" s="793" t="s">
        <v>662</v>
      </c>
      <c r="F3451" s="793" t="s">
        <v>861</v>
      </c>
      <c r="G3451" s="793" t="s">
        <v>785</v>
      </c>
      <c r="H3451" s="793" t="s">
        <v>727</v>
      </c>
      <c r="I3451" s="794">
        <v>2.1192637174458361E-2</v>
      </c>
      <c r="J3451" s="794">
        <v>28.324821737778656</v>
      </c>
      <c r="K3451" s="771"/>
    </row>
    <row r="3452" spans="1:11" ht="18.75" customHeight="1" outlineLevel="2">
      <c r="A3452" s="791" t="s">
        <v>776</v>
      </c>
      <c r="B3452" s="791" t="s">
        <v>1038</v>
      </c>
      <c r="C3452" s="791" t="s">
        <v>1035</v>
      </c>
      <c r="D3452" s="792" t="s">
        <v>779</v>
      </c>
      <c r="E3452" s="793" t="s">
        <v>662</v>
      </c>
      <c r="F3452" s="793" t="s">
        <v>862</v>
      </c>
      <c r="G3452" s="793" t="s">
        <v>785</v>
      </c>
      <c r="H3452" s="793" t="s">
        <v>727</v>
      </c>
      <c r="I3452" s="794">
        <v>5.9794680857776206E-4</v>
      </c>
      <c r="J3452" s="794">
        <v>1.2996639034085666</v>
      </c>
      <c r="K3452" s="771"/>
    </row>
    <row r="3453" spans="1:11" ht="18.75" customHeight="1" outlineLevel="2">
      <c r="A3453" s="791" t="s">
        <v>776</v>
      </c>
      <c r="B3453" s="791" t="s">
        <v>1038</v>
      </c>
      <c r="C3453" s="791" t="s">
        <v>1035</v>
      </c>
      <c r="D3453" s="792" t="s">
        <v>779</v>
      </c>
      <c r="E3453" s="793" t="s">
        <v>662</v>
      </c>
      <c r="F3453" s="793" t="s">
        <v>863</v>
      </c>
      <c r="G3453" s="793" t="s">
        <v>785</v>
      </c>
      <c r="H3453" s="793" t="s">
        <v>727</v>
      </c>
      <c r="I3453" s="794">
        <v>9.4540924424386203E-4</v>
      </c>
      <c r="J3453" s="794">
        <v>1.405232011679407</v>
      </c>
      <c r="K3453" s="771"/>
    </row>
    <row r="3454" spans="1:11" ht="18.75" customHeight="1" outlineLevel="2">
      <c r="A3454" s="791" t="s">
        <v>776</v>
      </c>
      <c r="B3454" s="791" t="s">
        <v>1038</v>
      </c>
      <c r="C3454" s="791" t="s">
        <v>1035</v>
      </c>
      <c r="D3454" s="792" t="s">
        <v>779</v>
      </c>
      <c r="E3454" s="793" t="s">
        <v>662</v>
      </c>
      <c r="F3454" s="793" t="s">
        <v>864</v>
      </c>
      <c r="G3454" s="793" t="s">
        <v>785</v>
      </c>
      <c r="H3454" s="793" t="s">
        <v>727</v>
      </c>
      <c r="I3454" s="794">
        <v>4.3530256107738793E-4</v>
      </c>
      <c r="J3454" s="794">
        <v>6.1979108461854224</v>
      </c>
      <c r="K3454" s="771"/>
    </row>
    <row r="3455" spans="1:11" ht="18.75" customHeight="1" outlineLevel="2">
      <c r="A3455" s="791" t="s">
        <v>776</v>
      </c>
      <c r="B3455" s="791" t="s">
        <v>1038</v>
      </c>
      <c r="C3455" s="791" t="s">
        <v>1035</v>
      </c>
      <c r="D3455" s="792" t="s">
        <v>779</v>
      </c>
      <c r="E3455" s="793" t="s">
        <v>662</v>
      </c>
      <c r="F3455" s="793" t="s">
        <v>865</v>
      </c>
      <c r="G3455" s="793" t="s">
        <v>813</v>
      </c>
      <c r="H3455" s="793" t="s">
        <v>814</v>
      </c>
      <c r="I3455" s="794">
        <v>0.24031251674410692</v>
      </c>
      <c r="J3455" s="794">
        <v>257.1377033141103</v>
      </c>
      <c r="K3455" s="771"/>
    </row>
    <row r="3456" spans="1:11" ht="18.75" customHeight="1" outlineLevel="2">
      <c r="A3456" s="791" t="s">
        <v>776</v>
      </c>
      <c r="B3456" s="791" t="s">
        <v>1038</v>
      </c>
      <c r="C3456" s="791" t="s">
        <v>1035</v>
      </c>
      <c r="D3456" s="792" t="s">
        <v>779</v>
      </c>
      <c r="E3456" s="793" t="s">
        <v>662</v>
      </c>
      <c r="F3456" s="793" t="s">
        <v>866</v>
      </c>
      <c r="G3456" s="793" t="s">
        <v>813</v>
      </c>
      <c r="H3456" s="793" t="s">
        <v>814</v>
      </c>
      <c r="I3456" s="794">
        <v>0.23635519471334104</v>
      </c>
      <c r="J3456" s="794">
        <v>320.84535938975176</v>
      </c>
      <c r="K3456" s="771"/>
    </row>
    <row r="3457" spans="1:11" ht="18.75" customHeight="1" outlineLevel="2">
      <c r="A3457" s="791" t="s">
        <v>776</v>
      </c>
      <c r="B3457" s="791" t="s">
        <v>1038</v>
      </c>
      <c r="C3457" s="791" t="s">
        <v>1035</v>
      </c>
      <c r="D3457" s="792" t="s">
        <v>779</v>
      </c>
      <c r="E3457" s="793" t="s">
        <v>662</v>
      </c>
      <c r="F3457" s="793" t="s">
        <v>867</v>
      </c>
      <c r="G3457" s="793" t="s">
        <v>813</v>
      </c>
      <c r="H3457" s="793" t="s">
        <v>814</v>
      </c>
      <c r="I3457" s="794">
        <v>2.068722722302474E-2</v>
      </c>
      <c r="J3457" s="794">
        <v>22.1271447195615</v>
      </c>
      <c r="K3457" s="771"/>
    </row>
    <row r="3458" spans="1:11" ht="18.75" customHeight="1" outlineLevel="2">
      <c r="A3458" s="791" t="s">
        <v>776</v>
      </c>
      <c r="B3458" s="791" t="s">
        <v>1038</v>
      </c>
      <c r="C3458" s="791" t="s">
        <v>1035</v>
      </c>
      <c r="D3458" s="792" t="s">
        <v>779</v>
      </c>
      <c r="E3458" s="793" t="s">
        <v>662</v>
      </c>
      <c r="F3458" s="793" t="s">
        <v>868</v>
      </c>
      <c r="G3458" s="793" t="s">
        <v>813</v>
      </c>
      <c r="H3458" s="793" t="s">
        <v>814</v>
      </c>
      <c r="I3458" s="794">
        <v>0.15062249048016674</v>
      </c>
      <c r="J3458" s="794">
        <v>190.31376640865389</v>
      </c>
      <c r="K3458" s="771"/>
    </row>
    <row r="3459" spans="1:11" ht="18.75" customHeight="1" outlineLevel="2">
      <c r="A3459" s="791" t="s">
        <v>776</v>
      </c>
      <c r="B3459" s="791" t="s">
        <v>1038</v>
      </c>
      <c r="C3459" s="791" t="s">
        <v>1035</v>
      </c>
      <c r="D3459" s="792" t="s">
        <v>779</v>
      </c>
      <c r="E3459" s="793" t="s">
        <v>662</v>
      </c>
      <c r="F3459" s="793" t="s">
        <v>869</v>
      </c>
      <c r="G3459" s="793" t="s">
        <v>813</v>
      </c>
      <c r="H3459" s="793" t="s">
        <v>814</v>
      </c>
      <c r="I3459" s="794">
        <v>1.126949159988716E-3</v>
      </c>
      <c r="J3459" s="794">
        <v>1.4293564107406964</v>
      </c>
      <c r="K3459" s="771"/>
    </row>
    <row r="3460" spans="1:11" ht="18.75" customHeight="1" outlineLevel="2">
      <c r="A3460" s="791" t="s">
        <v>776</v>
      </c>
      <c r="B3460" s="791" t="s">
        <v>1038</v>
      </c>
      <c r="C3460" s="791" t="s">
        <v>1035</v>
      </c>
      <c r="D3460" s="792" t="s">
        <v>779</v>
      </c>
      <c r="E3460" s="793" t="s">
        <v>662</v>
      </c>
      <c r="F3460" s="793" t="s">
        <v>870</v>
      </c>
      <c r="G3460" s="793" t="s">
        <v>813</v>
      </c>
      <c r="H3460" s="793" t="s">
        <v>814</v>
      </c>
      <c r="I3460" s="794">
        <v>5.2473904021520757E-3</v>
      </c>
      <c r="J3460" s="794">
        <v>7.4315818384513008</v>
      </c>
      <c r="K3460" s="771"/>
    </row>
    <row r="3461" spans="1:11" ht="18.75" customHeight="1" outlineLevel="2">
      <c r="A3461" s="791" t="s">
        <v>776</v>
      </c>
      <c r="B3461" s="791" t="s">
        <v>1038</v>
      </c>
      <c r="C3461" s="791" t="s">
        <v>1035</v>
      </c>
      <c r="D3461" s="792" t="s">
        <v>779</v>
      </c>
      <c r="E3461" s="793" t="s">
        <v>662</v>
      </c>
      <c r="F3461" s="793" t="s">
        <v>871</v>
      </c>
      <c r="G3461" s="793" t="s">
        <v>813</v>
      </c>
      <c r="H3461" s="793" t="s">
        <v>814</v>
      </c>
      <c r="I3461" s="794">
        <v>2.1463071177601177E-3</v>
      </c>
      <c r="J3461" s="794">
        <v>2.7268892259600919</v>
      </c>
      <c r="K3461" s="771"/>
    </row>
    <row r="3462" spans="1:11" ht="18.75" customHeight="1" outlineLevel="2">
      <c r="A3462" s="791" t="s">
        <v>776</v>
      </c>
      <c r="B3462" s="791" t="s">
        <v>1038</v>
      </c>
      <c r="C3462" s="791" t="s">
        <v>1035</v>
      </c>
      <c r="D3462" s="792" t="s">
        <v>779</v>
      </c>
      <c r="E3462" s="793" t="s">
        <v>662</v>
      </c>
      <c r="F3462" s="793" t="s">
        <v>872</v>
      </c>
      <c r="G3462" s="793" t="s">
        <v>813</v>
      </c>
      <c r="H3462" s="793" t="s">
        <v>814</v>
      </c>
      <c r="I3462" s="794">
        <v>0.17933538656300532</v>
      </c>
      <c r="J3462" s="794">
        <v>304.95212150632494</v>
      </c>
      <c r="K3462" s="771"/>
    </row>
    <row r="3463" spans="1:11" ht="18.75" customHeight="1" outlineLevel="2">
      <c r="A3463" s="791" t="s">
        <v>776</v>
      </c>
      <c r="B3463" s="791" t="s">
        <v>1038</v>
      </c>
      <c r="C3463" s="791" t="s">
        <v>1035</v>
      </c>
      <c r="D3463" s="792" t="s">
        <v>779</v>
      </c>
      <c r="E3463" s="793" t="s">
        <v>662</v>
      </c>
      <c r="F3463" s="793" t="s">
        <v>875</v>
      </c>
      <c r="G3463" s="793" t="s">
        <v>813</v>
      </c>
      <c r="H3463" s="793" t="s">
        <v>814</v>
      </c>
      <c r="I3463" s="794">
        <v>3.5806850358627809E-2</v>
      </c>
      <c r="J3463" s="794">
        <v>52.225483799937344</v>
      </c>
      <c r="K3463" s="771"/>
    </row>
    <row r="3464" spans="1:11" ht="18.75" customHeight="1" outlineLevel="2">
      <c r="A3464" s="791" t="s">
        <v>776</v>
      </c>
      <c r="B3464" s="791" t="s">
        <v>1038</v>
      </c>
      <c r="C3464" s="791" t="s">
        <v>1035</v>
      </c>
      <c r="D3464" s="792" t="s">
        <v>779</v>
      </c>
      <c r="E3464" s="793" t="s">
        <v>662</v>
      </c>
      <c r="F3464" s="793" t="s">
        <v>876</v>
      </c>
      <c r="G3464" s="793" t="s">
        <v>813</v>
      </c>
      <c r="H3464" s="793" t="s">
        <v>814</v>
      </c>
      <c r="I3464" s="794">
        <v>2.6991839605456192E-2</v>
      </c>
      <c r="J3464" s="794">
        <v>40.763257084659777</v>
      </c>
      <c r="K3464" s="771"/>
    </row>
    <row r="3465" spans="1:11" ht="18.75" customHeight="1" outlineLevel="2">
      <c r="A3465" s="791" t="s">
        <v>776</v>
      </c>
      <c r="B3465" s="791" t="s">
        <v>1038</v>
      </c>
      <c r="C3465" s="791" t="s">
        <v>1035</v>
      </c>
      <c r="D3465" s="792" t="s">
        <v>779</v>
      </c>
      <c r="E3465" s="793" t="s">
        <v>662</v>
      </c>
      <c r="F3465" s="793" t="s">
        <v>877</v>
      </c>
      <c r="G3465" s="793" t="s">
        <v>813</v>
      </c>
      <c r="H3465" s="793" t="s">
        <v>814</v>
      </c>
      <c r="I3465" s="794">
        <v>3.5611573567763954E-2</v>
      </c>
      <c r="J3465" s="794">
        <v>46.139987752476387</v>
      </c>
      <c r="K3465" s="771"/>
    </row>
    <row r="3466" spans="1:11" ht="18.75" customHeight="1" outlineLevel="2">
      <c r="A3466" s="791" t="s">
        <v>776</v>
      </c>
      <c r="B3466" s="791" t="s">
        <v>1038</v>
      </c>
      <c r="C3466" s="791" t="s">
        <v>1035</v>
      </c>
      <c r="D3466" s="792" t="s">
        <v>779</v>
      </c>
      <c r="E3466" s="793" t="s">
        <v>662</v>
      </c>
      <c r="F3466" s="793" t="s">
        <v>878</v>
      </c>
      <c r="G3466" s="793" t="s">
        <v>813</v>
      </c>
      <c r="H3466" s="793" t="s">
        <v>814</v>
      </c>
      <c r="I3466" s="794">
        <v>1.817128379435376E-2</v>
      </c>
      <c r="J3466" s="794">
        <v>21.906993564126349</v>
      </c>
      <c r="K3466" s="771"/>
    </row>
    <row r="3467" spans="1:11" ht="18.75" customHeight="1" outlineLevel="2">
      <c r="A3467" s="791" t="s">
        <v>776</v>
      </c>
      <c r="B3467" s="791" t="s">
        <v>1038</v>
      </c>
      <c r="C3467" s="791" t="s">
        <v>1035</v>
      </c>
      <c r="D3467" s="792" t="s">
        <v>779</v>
      </c>
      <c r="E3467" s="793" t="s">
        <v>662</v>
      </c>
      <c r="F3467" s="793" t="s">
        <v>879</v>
      </c>
      <c r="G3467" s="793" t="s">
        <v>813</v>
      </c>
      <c r="H3467" s="793" t="s">
        <v>814</v>
      </c>
      <c r="I3467" s="794">
        <v>0.4788713017100048</v>
      </c>
      <c r="J3467" s="794">
        <v>700.04016650390679</v>
      </c>
      <c r="K3467" s="771"/>
    </row>
    <row r="3468" spans="1:11" ht="18.75" customHeight="1" outlineLevel="2">
      <c r="A3468" s="791" t="s">
        <v>776</v>
      </c>
      <c r="B3468" s="791" t="s">
        <v>1038</v>
      </c>
      <c r="C3468" s="791" t="s">
        <v>1035</v>
      </c>
      <c r="D3468" s="792" t="s">
        <v>779</v>
      </c>
      <c r="E3468" s="793" t="s">
        <v>662</v>
      </c>
      <c r="F3468" s="793" t="s">
        <v>880</v>
      </c>
      <c r="G3468" s="793" t="s">
        <v>813</v>
      </c>
      <c r="H3468" s="793" t="s">
        <v>814</v>
      </c>
      <c r="I3468" s="794">
        <v>0.36673746097189541</v>
      </c>
      <c r="J3468" s="794">
        <v>553.97428223059012</v>
      </c>
      <c r="K3468" s="771"/>
    </row>
    <row r="3469" spans="1:11" ht="18.75" customHeight="1" outlineLevel="2">
      <c r="A3469" s="791" t="s">
        <v>776</v>
      </c>
      <c r="B3469" s="791" t="s">
        <v>1038</v>
      </c>
      <c r="C3469" s="791" t="s">
        <v>1035</v>
      </c>
      <c r="D3469" s="792" t="s">
        <v>779</v>
      </c>
      <c r="E3469" s="793" t="s">
        <v>662</v>
      </c>
      <c r="F3469" s="793" t="s">
        <v>881</v>
      </c>
      <c r="G3469" s="793" t="s">
        <v>813</v>
      </c>
      <c r="H3469" s="793" t="s">
        <v>814</v>
      </c>
      <c r="I3469" s="794">
        <v>4.1037382459981432E-2</v>
      </c>
      <c r="J3469" s="794">
        <v>92.499233107584686</v>
      </c>
      <c r="K3469" s="771"/>
    </row>
    <row r="3470" spans="1:11" ht="18.75" customHeight="1" outlineLevel="2">
      <c r="A3470" s="791" t="s">
        <v>776</v>
      </c>
      <c r="B3470" s="791" t="s">
        <v>1038</v>
      </c>
      <c r="C3470" s="791" t="s">
        <v>1035</v>
      </c>
      <c r="D3470" s="792" t="s">
        <v>779</v>
      </c>
      <c r="E3470" s="793" t="s">
        <v>662</v>
      </c>
      <c r="F3470" s="793" t="s">
        <v>882</v>
      </c>
      <c r="G3470" s="793" t="s">
        <v>813</v>
      </c>
      <c r="H3470" s="793" t="s">
        <v>814</v>
      </c>
      <c r="I3470" s="794">
        <v>1.1295693975842209</v>
      </c>
      <c r="J3470" s="794">
        <v>1788.2648169724698</v>
      </c>
      <c r="K3470" s="771"/>
    </row>
    <row r="3471" spans="1:11" ht="18.75" customHeight="1" outlineLevel="2">
      <c r="A3471" s="791" t="s">
        <v>776</v>
      </c>
      <c r="B3471" s="791" t="s">
        <v>1038</v>
      </c>
      <c r="C3471" s="791" t="s">
        <v>1035</v>
      </c>
      <c r="D3471" s="792" t="s">
        <v>779</v>
      </c>
      <c r="E3471" s="793" t="s">
        <v>662</v>
      </c>
      <c r="F3471" s="793" t="s">
        <v>883</v>
      </c>
      <c r="G3471" s="793" t="s">
        <v>813</v>
      </c>
      <c r="H3471" s="793" t="s">
        <v>814</v>
      </c>
      <c r="I3471" s="794">
        <v>2.1800983576964684E-2</v>
      </c>
      <c r="J3471" s="794">
        <v>24.883919828894314</v>
      </c>
      <c r="K3471" s="771"/>
    </row>
    <row r="3472" spans="1:11" ht="18.75" customHeight="1" outlineLevel="2">
      <c r="A3472" s="791" t="s">
        <v>776</v>
      </c>
      <c r="B3472" s="791" t="s">
        <v>1038</v>
      </c>
      <c r="C3472" s="791" t="s">
        <v>1035</v>
      </c>
      <c r="D3472" s="792" t="s">
        <v>779</v>
      </c>
      <c r="E3472" s="793" t="s">
        <v>662</v>
      </c>
      <c r="F3472" s="793" t="s">
        <v>884</v>
      </c>
      <c r="G3472" s="793" t="s">
        <v>813</v>
      </c>
      <c r="H3472" s="793" t="s">
        <v>814</v>
      </c>
      <c r="I3472" s="794">
        <v>4.7401513556662535E-2</v>
      </c>
      <c r="J3472" s="794">
        <v>54.950398654669534</v>
      </c>
      <c r="K3472" s="771"/>
    </row>
    <row r="3473" spans="1:11" ht="18.75" customHeight="1" outlineLevel="2">
      <c r="A3473" s="791" t="s">
        <v>776</v>
      </c>
      <c r="B3473" s="791" t="s">
        <v>1038</v>
      </c>
      <c r="C3473" s="791" t="s">
        <v>1035</v>
      </c>
      <c r="D3473" s="792" t="s">
        <v>779</v>
      </c>
      <c r="E3473" s="793" t="s">
        <v>662</v>
      </c>
      <c r="F3473" s="793" t="s">
        <v>885</v>
      </c>
      <c r="G3473" s="793" t="s">
        <v>791</v>
      </c>
      <c r="H3473" s="793" t="s">
        <v>826</v>
      </c>
      <c r="I3473" s="794">
        <v>1.466104834854786E-3</v>
      </c>
      <c r="J3473" s="794">
        <v>2.1629726903807356</v>
      </c>
      <c r="K3473" s="771"/>
    </row>
    <row r="3474" spans="1:11" ht="18.75" customHeight="1" outlineLevel="2">
      <c r="A3474" s="791" t="s">
        <v>776</v>
      </c>
      <c r="B3474" s="791" t="s">
        <v>1038</v>
      </c>
      <c r="C3474" s="791" t="s">
        <v>1035</v>
      </c>
      <c r="D3474" s="792" t="s">
        <v>779</v>
      </c>
      <c r="E3474" s="793" t="s">
        <v>662</v>
      </c>
      <c r="F3474" s="793" t="s">
        <v>886</v>
      </c>
      <c r="G3474" s="793" t="s">
        <v>791</v>
      </c>
      <c r="H3474" s="793" t="s">
        <v>826</v>
      </c>
      <c r="I3474" s="794">
        <v>1.9186167226500704E-3</v>
      </c>
      <c r="J3474" s="794">
        <v>8.3699239454885053</v>
      </c>
      <c r="K3474" s="771"/>
    </row>
    <row r="3475" spans="1:11" ht="18.75" customHeight="1" outlineLevel="2">
      <c r="A3475" s="791" t="s">
        <v>776</v>
      </c>
      <c r="B3475" s="791" t="s">
        <v>1038</v>
      </c>
      <c r="C3475" s="791" t="s">
        <v>1035</v>
      </c>
      <c r="D3475" s="792" t="s">
        <v>779</v>
      </c>
      <c r="E3475" s="793" t="s">
        <v>662</v>
      </c>
      <c r="F3475" s="793" t="s">
        <v>887</v>
      </c>
      <c r="G3475" s="793" t="s">
        <v>791</v>
      </c>
      <c r="H3475" s="793" t="s">
        <v>826</v>
      </c>
      <c r="I3475" s="794">
        <v>7.1560896559407349E-5</v>
      </c>
      <c r="J3475" s="794">
        <v>6.7141313998828292E-2</v>
      </c>
      <c r="K3475" s="771"/>
    </row>
    <row r="3476" spans="1:11" ht="18.75" customHeight="1" outlineLevel="2">
      <c r="A3476" s="791" t="s">
        <v>776</v>
      </c>
      <c r="B3476" s="791" t="s">
        <v>1038</v>
      </c>
      <c r="C3476" s="791" t="s">
        <v>1035</v>
      </c>
      <c r="D3476" s="792" t="s">
        <v>779</v>
      </c>
      <c r="E3476" s="793" t="s">
        <v>662</v>
      </c>
      <c r="F3476" s="793" t="s">
        <v>888</v>
      </c>
      <c r="G3476" s="793" t="s">
        <v>791</v>
      </c>
      <c r="H3476" s="793" t="s">
        <v>826</v>
      </c>
      <c r="I3476" s="794">
        <v>6.4188972255812054E-3</v>
      </c>
      <c r="J3476" s="794">
        <v>6.0104714939308339</v>
      </c>
      <c r="K3476" s="771"/>
    </row>
    <row r="3477" spans="1:11" ht="18.75" customHeight="1" outlineLevel="2">
      <c r="A3477" s="791" t="s">
        <v>776</v>
      </c>
      <c r="B3477" s="791" t="s">
        <v>1038</v>
      </c>
      <c r="C3477" s="791" t="s">
        <v>1035</v>
      </c>
      <c r="D3477" s="792" t="s">
        <v>779</v>
      </c>
      <c r="E3477" s="793" t="s">
        <v>662</v>
      </c>
      <c r="F3477" s="793" t="s">
        <v>889</v>
      </c>
      <c r="G3477" s="793" t="s">
        <v>791</v>
      </c>
      <c r="H3477" s="793" t="s">
        <v>826</v>
      </c>
      <c r="I3477" s="794">
        <v>1.2334912352091E-3</v>
      </c>
      <c r="J3477" s="794">
        <v>1.778291529296927</v>
      </c>
      <c r="K3477" s="771"/>
    </row>
    <row r="3478" spans="1:11" ht="18.75" customHeight="1" outlineLevel="2">
      <c r="A3478" s="791" t="s">
        <v>776</v>
      </c>
      <c r="B3478" s="791" t="s">
        <v>1038</v>
      </c>
      <c r="C3478" s="791" t="s">
        <v>1035</v>
      </c>
      <c r="D3478" s="792" t="s">
        <v>779</v>
      </c>
      <c r="E3478" s="793" t="s">
        <v>662</v>
      </c>
      <c r="F3478" s="793" t="s">
        <v>890</v>
      </c>
      <c r="G3478" s="793" t="s">
        <v>791</v>
      </c>
      <c r="H3478" s="793" t="s">
        <v>826</v>
      </c>
      <c r="I3478" s="794">
        <v>1.762814003271021E-2</v>
      </c>
      <c r="J3478" s="794">
        <v>19.703375135257183</v>
      </c>
      <c r="K3478" s="771"/>
    </row>
    <row r="3479" spans="1:11" ht="18.75" customHeight="1" outlineLevel="2">
      <c r="A3479" s="791" t="s">
        <v>776</v>
      </c>
      <c r="B3479" s="791" t="s">
        <v>1038</v>
      </c>
      <c r="C3479" s="791" t="s">
        <v>1035</v>
      </c>
      <c r="D3479" s="792" t="s">
        <v>779</v>
      </c>
      <c r="E3479" s="793" t="s">
        <v>662</v>
      </c>
      <c r="F3479" s="793" t="s">
        <v>891</v>
      </c>
      <c r="G3479" s="793" t="s">
        <v>791</v>
      </c>
      <c r="H3479" s="793" t="s">
        <v>826</v>
      </c>
      <c r="I3479" s="794">
        <v>9.0252730875050494E-2</v>
      </c>
      <c r="J3479" s="794">
        <v>44.172939610844054</v>
      </c>
      <c r="K3479" s="771"/>
    </row>
    <row r="3480" spans="1:11" ht="18.75" customHeight="1" outlineLevel="2">
      <c r="A3480" s="791" t="s">
        <v>776</v>
      </c>
      <c r="B3480" s="791" t="s">
        <v>1038</v>
      </c>
      <c r="C3480" s="791" t="s">
        <v>1035</v>
      </c>
      <c r="D3480" s="792" t="s">
        <v>779</v>
      </c>
      <c r="E3480" s="793" t="s">
        <v>662</v>
      </c>
      <c r="F3480" s="793" t="s">
        <v>892</v>
      </c>
      <c r="G3480" s="793" t="s">
        <v>791</v>
      </c>
      <c r="H3480" s="793" t="s">
        <v>826</v>
      </c>
      <c r="I3480" s="794">
        <v>1.0165558395398745E-2</v>
      </c>
      <c r="J3480" s="794">
        <v>9.5187387194593764</v>
      </c>
      <c r="K3480" s="771"/>
    </row>
    <row r="3481" spans="1:11" ht="18.75" customHeight="1" outlineLevel="2">
      <c r="A3481" s="791" t="s">
        <v>776</v>
      </c>
      <c r="B3481" s="791" t="s">
        <v>1038</v>
      </c>
      <c r="C3481" s="791" t="s">
        <v>1035</v>
      </c>
      <c r="D3481" s="792" t="s">
        <v>779</v>
      </c>
      <c r="E3481" s="793" t="s">
        <v>662</v>
      </c>
      <c r="F3481" s="793" t="s">
        <v>893</v>
      </c>
      <c r="G3481" s="793" t="s">
        <v>791</v>
      </c>
      <c r="H3481" s="793" t="s">
        <v>826</v>
      </c>
      <c r="I3481" s="794">
        <v>1.3345281710157416E-2</v>
      </c>
      <c r="J3481" s="794">
        <v>13.583584871292565</v>
      </c>
      <c r="K3481" s="771"/>
    </row>
    <row r="3482" spans="1:11" ht="18.75" customHeight="1" outlineLevel="2">
      <c r="A3482" s="791" t="s">
        <v>776</v>
      </c>
      <c r="B3482" s="791" t="s">
        <v>1038</v>
      </c>
      <c r="C3482" s="791" t="s">
        <v>1035</v>
      </c>
      <c r="D3482" s="792" t="s">
        <v>779</v>
      </c>
      <c r="E3482" s="793" t="s">
        <v>662</v>
      </c>
      <c r="F3482" s="793" t="s">
        <v>894</v>
      </c>
      <c r="G3482" s="793" t="s">
        <v>791</v>
      </c>
      <c r="H3482" s="793" t="s">
        <v>826</v>
      </c>
      <c r="I3482" s="794">
        <v>1.5986642633205085E-3</v>
      </c>
      <c r="J3482" s="794">
        <v>14.516860772051814</v>
      </c>
      <c r="K3482" s="771"/>
    </row>
    <row r="3483" spans="1:11" ht="18.75" customHeight="1" outlineLevel="2">
      <c r="A3483" s="791" t="s">
        <v>776</v>
      </c>
      <c r="B3483" s="791" t="s">
        <v>1038</v>
      </c>
      <c r="C3483" s="791" t="s">
        <v>1035</v>
      </c>
      <c r="D3483" s="792" t="s">
        <v>779</v>
      </c>
      <c r="E3483" s="793" t="s">
        <v>662</v>
      </c>
      <c r="F3483" s="793" t="s">
        <v>895</v>
      </c>
      <c r="G3483" s="793" t="s">
        <v>794</v>
      </c>
      <c r="H3483" s="793" t="s">
        <v>828</v>
      </c>
      <c r="I3483" s="794">
        <v>0.51204415632579048</v>
      </c>
      <c r="J3483" s="794">
        <v>710.57436485339076</v>
      </c>
      <c r="K3483" s="771"/>
    </row>
    <row r="3484" spans="1:11" ht="18.75" customHeight="1" outlineLevel="2">
      <c r="A3484" s="791" t="s">
        <v>776</v>
      </c>
      <c r="B3484" s="791" t="s">
        <v>1038</v>
      </c>
      <c r="C3484" s="791" t="s">
        <v>1035</v>
      </c>
      <c r="D3484" s="792" t="s">
        <v>779</v>
      </c>
      <c r="E3484" s="793" t="s">
        <v>662</v>
      </c>
      <c r="F3484" s="793" t="s">
        <v>896</v>
      </c>
      <c r="G3484" s="793" t="s">
        <v>794</v>
      </c>
      <c r="H3484" s="793" t="s">
        <v>828</v>
      </c>
      <c r="I3484" s="794">
        <v>0.12027333970220298</v>
      </c>
      <c r="J3484" s="794">
        <v>177.77932231853916</v>
      </c>
      <c r="K3484" s="771"/>
    </row>
    <row r="3485" spans="1:11" ht="18.75" customHeight="1" outlineLevel="2">
      <c r="A3485" s="791" t="s">
        <v>776</v>
      </c>
      <c r="B3485" s="791" t="s">
        <v>1038</v>
      </c>
      <c r="C3485" s="791" t="s">
        <v>1035</v>
      </c>
      <c r="D3485" s="792" t="s">
        <v>779</v>
      </c>
      <c r="E3485" s="793" t="s">
        <v>662</v>
      </c>
      <c r="F3485" s="793" t="s">
        <v>897</v>
      </c>
      <c r="G3485" s="793" t="s">
        <v>794</v>
      </c>
      <c r="H3485" s="793" t="s">
        <v>828</v>
      </c>
      <c r="I3485" s="794">
        <v>5.5484667298186921E-2</v>
      </c>
      <c r="J3485" s="794">
        <v>94.00381248499707</v>
      </c>
      <c r="K3485" s="771"/>
    </row>
    <row r="3486" spans="1:11" ht="18.75" customHeight="1" outlineLevel="2">
      <c r="A3486" s="791" t="s">
        <v>776</v>
      </c>
      <c r="B3486" s="791" t="s">
        <v>1038</v>
      </c>
      <c r="C3486" s="791" t="s">
        <v>1035</v>
      </c>
      <c r="D3486" s="792" t="s">
        <v>779</v>
      </c>
      <c r="E3486" s="793" t="s">
        <v>662</v>
      </c>
      <c r="F3486" s="793" t="s">
        <v>898</v>
      </c>
      <c r="G3486" s="793" t="s">
        <v>794</v>
      </c>
      <c r="H3486" s="793" t="s">
        <v>828</v>
      </c>
      <c r="I3486" s="794">
        <v>0.12784884602852292</v>
      </c>
      <c r="J3486" s="794">
        <v>202.08283205725249</v>
      </c>
      <c r="K3486" s="771"/>
    </row>
    <row r="3487" spans="1:11" ht="18.75" customHeight="1" outlineLevel="2">
      <c r="A3487" s="791" t="s">
        <v>776</v>
      </c>
      <c r="B3487" s="791" t="s">
        <v>1038</v>
      </c>
      <c r="C3487" s="791" t="s">
        <v>1035</v>
      </c>
      <c r="D3487" s="792" t="s">
        <v>779</v>
      </c>
      <c r="E3487" s="793" t="s">
        <v>662</v>
      </c>
      <c r="F3487" s="793" t="s">
        <v>899</v>
      </c>
      <c r="G3487" s="793" t="s">
        <v>794</v>
      </c>
      <c r="H3487" s="793" t="s">
        <v>828</v>
      </c>
      <c r="I3487" s="794">
        <v>0.22522324096998911</v>
      </c>
      <c r="J3487" s="794">
        <v>319.28548623533766</v>
      </c>
      <c r="K3487" s="771"/>
    </row>
    <row r="3488" spans="1:11" ht="18.75" customHeight="1" outlineLevel="2">
      <c r="A3488" s="791" t="s">
        <v>776</v>
      </c>
      <c r="B3488" s="791" t="s">
        <v>1038</v>
      </c>
      <c r="C3488" s="791" t="s">
        <v>1035</v>
      </c>
      <c r="D3488" s="792" t="s">
        <v>779</v>
      </c>
      <c r="E3488" s="793" t="s">
        <v>662</v>
      </c>
      <c r="F3488" s="793" t="s">
        <v>900</v>
      </c>
      <c r="G3488" s="793" t="s">
        <v>794</v>
      </c>
      <c r="H3488" s="793" t="s">
        <v>828</v>
      </c>
      <c r="I3488" s="794">
        <v>1.0434000516815967E-2</v>
      </c>
      <c r="J3488" s="794">
        <v>14.980350272738686</v>
      </c>
      <c r="K3488" s="771"/>
    </row>
    <row r="3489" spans="1:11" ht="18.75" customHeight="1" outlineLevel="2">
      <c r="A3489" s="791" t="s">
        <v>776</v>
      </c>
      <c r="B3489" s="791" t="s">
        <v>1038</v>
      </c>
      <c r="C3489" s="791" t="s">
        <v>1035</v>
      </c>
      <c r="D3489" s="792" t="s">
        <v>779</v>
      </c>
      <c r="E3489" s="793" t="s">
        <v>662</v>
      </c>
      <c r="F3489" s="793" t="s">
        <v>901</v>
      </c>
      <c r="G3489" s="793" t="s">
        <v>833</v>
      </c>
      <c r="H3489" s="793" t="s">
        <v>834</v>
      </c>
      <c r="I3489" s="794">
        <v>1.0130964108440294E-2</v>
      </c>
      <c r="J3489" s="794">
        <v>10.582452988325464</v>
      </c>
      <c r="K3489" s="771"/>
    </row>
    <row r="3490" spans="1:11" ht="18.75" customHeight="1" outlineLevel="2">
      <c r="A3490" s="791" t="s">
        <v>776</v>
      </c>
      <c r="B3490" s="791" t="s">
        <v>1038</v>
      </c>
      <c r="C3490" s="791" t="s">
        <v>1035</v>
      </c>
      <c r="D3490" s="792" t="s">
        <v>779</v>
      </c>
      <c r="E3490" s="793" t="s">
        <v>662</v>
      </c>
      <c r="F3490" s="793" t="s">
        <v>902</v>
      </c>
      <c r="G3490" s="793" t="s">
        <v>833</v>
      </c>
      <c r="H3490" s="793" t="s">
        <v>834</v>
      </c>
      <c r="I3490" s="794">
        <v>8.8184500631441381E-5</v>
      </c>
      <c r="J3490" s="794">
        <v>0.11278409600124176</v>
      </c>
      <c r="K3490" s="771"/>
    </row>
    <row r="3491" spans="1:11" ht="18.75" customHeight="1" outlineLevel="2">
      <c r="A3491" s="791" t="s">
        <v>776</v>
      </c>
      <c r="B3491" s="791" t="s">
        <v>1038</v>
      </c>
      <c r="C3491" s="791" t="s">
        <v>1035</v>
      </c>
      <c r="D3491" s="792" t="s">
        <v>779</v>
      </c>
      <c r="E3491" s="793" t="s">
        <v>662</v>
      </c>
      <c r="F3491" s="793" t="s">
        <v>903</v>
      </c>
      <c r="G3491" s="793" t="s">
        <v>904</v>
      </c>
      <c r="H3491" s="793" t="s">
        <v>905</v>
      </c>
      <c r="I3491" s="794">
        <v>5.1711729207868373</v>
      </c>
      <c r="J3491" s="794">
        <v>4399.7296097988019</v>
      </c>
      <c r="K3491" s="771"/>
    </row>
    <row r="3492" spans="1:11" ht="18.75" customHeight="1" outlineLevel="2">
      <c r="A3492" s="791" t="s">
        <v>776</v>
      </c>
      <c r="B3492" s="791" t="s">
        <v>1038</v>
      </c>
      <c r="C3492" s="791" t="s">
        <v>1035</v>
      </c>
      <c r="D3492" s="792" t="s">
        <v>779</v>
      </c>
      <c r="E3492" s="793" t="s">
        <v>662</v>
      </c>
      <c r="F3492" s="793" t="s">
        <v>906</v>
      </c>
      <c r="G3492" s="793" t="s">
        <v>904</v>
      </c>
      <c r="H3492" s="793" t="s">
        <v>905</v>
      </c>
      <c r="I3492" s="794">
        <v>2.1766119820442209</v>
      </c>
      <c r="J3492" s="794">
        <v>1856.8901622288713</v>
      </c>
      <c r="K3492" s="771"/>
    </row>
    <row r="3493" spans="1:11" ht="18.75" customHeight="1" outlineLevel="2">
      <c r="A3493" s="791" t="s">
        <v>776</v>
      </c>
      <c r="B3493" s="791" t="s">
        <v>1038</v>
      </c>
      <c r="C3493" s="791" t="s">
        <v>1035</v>
      </c>
      <c r="D3493" s="792" t="s">
        <v>779</v>
      </c>
      <c r="E3493" s="793" t="s">
        <v>662</v>
      </c>
      <c r="F3493" s="793" t="s">
        <v>907</v>
      </c>
      <c r="G3493" s="793" t="s">
        <v>908</v>
      </c>
      <c r="H3493" s="793" t="s">
        <v>905</v>
      </c>
      <c r="I3493" s="794">
        <v>2.1786219636005608</v>
      </c>
      <c r="J3493" s="794">
        <v>3662.6003882810951</v>
      </c>
      <c r="K3493" s="771"/>
    </row>
    <row r="3494" spans="1:11" ht="18.75" customHeight="1" outlineLevel="2">
      <c r="A3494" s="791" t="s">
        <v>776</v>
      </c>
      <c r="B3494" s="791" t="s">
        <v>1038</v>
      </c>
      <c r="C3494" s="791" t="s">
        <v>1035</v>
      </c>
      <c r="D3494" s="792" t="s">
        <v>779</v>
      </c>
      <c r="E3494" s="793" t="s">
        <v>763</v>
      </c>
      <c r="F3494" s="793" t="s">
        <v>912</v>
      </c>
      <c r="G3494" s="793" t="s">
        <v>799</v>
      </c>
      <c r="H3494" s="793" t="s">
        <v>913</v>
      </c>
      <c r="I3494" s="794">
        <v>2.5635391213453726E-3</v>
      </c>
      <c r="J3494" s="794">
        <v>4.9093023139256751</v>
      </c>
      <c r="K3494" s="771"/>
    </row>
    <row r="3495" spans="1:11" ht="18.75" customHeight="1" outlineLevel="2">
      <c r="A3495" s="791" t="s">
        <v>776</v>
      </c>
      <c r="B3495" s="791" t="s">
        <v>1038</v>
      </c>
      <c r="C3495" s="791" t="s">
        <v>1035</v>
      </c>
      <c r="D3495" s="792" t="s">
        <v>779</v>
      </c>
      <c r="E3495" s="793" t="s">
        <v>763</v>
      </c>
      <c r="F3495" s="793" t="s">
        <v>914</v>
      </c>
      <c r="G3495" s="793" t="s">
        <v>782</v>
      </c>
      <c r="H3495" s="793" t="s">
        <v>913</v>
      </c>
      <c r="I3495" s="794">
        <v>1.2661503688886941E-4</v>
      </c>
      <c r="J3495" s="794">
        <v>0.58939245966865716</v>
      </c>
      <c r="K3495" s="771"/>
    </row>
    <row r="3496" spans="1:11" ht="18.75" customHeight="1" outlineLevel="2">
      <c r="A3496" s="791" t="s">
        <v>776</v>
      </c>
      <c r="B3496" s="791" t="s">
        <v>1038</v>
      </c>
      <c r="C3496" s="791" t="s">
        <v>1035</v>
      </c>
      <c r="D3496" s="792" t="s">
        <v>779</v>
      </c>
      <c r="E3496" s="793" t="s">
        <v>763</v>
      </c>
      <c r="F3496" s="793" t="s">
        <v>915</v>
      </c>
      <c r="G3496" s="793" t="s">
        <v>782</v>
      </c>
      <c r="H3496" s="793" t="s">
        <v>913</v>
      </c>
      <c r="I3496" s="794">
        <v>6.790770839111008E-5</v>
      </c>
      <c r="J3496" s="794">
        <v>0.98567097778288415</v>
      </c>
      <c r="K3496" s="771"/>
    </row>
    <row r="3497" spans="1:11" ht="18.75" customHeight="1" outlineLevel="2">
      <c r="A3497" s="791" t="s">
        <v>776</v>
      </c>
      <c r="B3497" s="791" t="s">
        <v>1038</v>
      </c>
      <c r="C3497" s="791" t="s">
        <v>1035</v>
      </c>
      <c r="D3497" s="792" t="s">
        <v>779</v>
      </c>
      <c r="E3497" s="793" t="s">
        <v>763</v>
      </c>
      <c r="F3497" s="793" t="s">
        <v>916</v>
      </c>
      <c r="G3497" s="793" t="s">
        <v>782</v>
      </c>
      <c r="H3497" s="793" t="s">
        <v>913</v>
      </c>
      <c r="I3497" s="794">
        <v>1.0068379433074998E-4</v>
      </c>
      <c r="J3497" s="794">
        <v>0.17406857160740308</v>
      </c>
      <c r="K3497" s="771"/>
    </row>
    <row r="3498" spans="1:11" ht="18.75" customHeight="1" outlineLevel="2">
      <c r="A3498" s="791" t="s">
        <v>776</v>
      </c>
      <c r="B3498" s="791" t="s">
        <v>1038</v>
      </c>
      <c r="C3498" s="791" t="s">
        <v>1035</v>
      </c>
      <c r="D3498" s="792" t="s">
        <v>779</v>
      </c>
      <c r="E3498" s="793" t="s">
        <v>763</v>
      </c>
      <c r="F3498" s="793" t="s">
        <v>917</v>
      </c>
      <c r="G3498" s="793" t="s">
        <v>782</v>
      </c>
      <c r="H3498" s="793" t="s">
        <v>913</v>
      </c>
      <c r="I3498" s="794">
        <v>1.8433100826478295E-5</v>
      </c>
      <c r="J3498" s="794">
        <v>0.10091550376193788</v>
      </c>
      <c r="K3498" s="771"/>
    </row>
    <row r="3499" spans="1:11" ht="18.75" customHeight="1" outlineLevel="2">
      <c r="A3499" s="791" t="s">
        <v>776</v>
      </c>
      <c r="B3499" s="791" t="s">
        <v>1038</v>
      </c>
      <c r="C3499" s="791" t="s">
        <v>1035</v>
      </c>
      <c r="D3499" s="792" t="s">
        <v>779</v>
      </c>
      <c r="E3499" s="793" t="s">
        <v>763</v>
      </c>
      <c r="F3499" s="793" t="s">
        <v>918</v>
      </c>
      <c r="G3499" s="793" t="s">
        <v>782</v>
      </c>
      <c r="H3499" s="793" t="s">
        <v>913</v>
      </c>
      <c r="I3499" s="794">
        <v>4.0798830155670444E-4</v>
      </c>
      <c r="J3499" s="794">
        <v>1.8227632865511949</v>
      </c>
      <c r="K3499" s="771"/>
    </row>
    <row r="3500" spans="1:11" ht="18.75" customHeight="1" outlineLevel="2">
      <c r="A3500" s="791" t="s">
        <v>776</v>
      </c>
      <c r="B3500" s="791" t="s">
        <v>1038</v>
      </c>
      <c r="C3500" s="791" t="s">
        <v>1035</v>
      </c>
      <c r="D3500" s="792" t="s">
        <v>779</v>
      </c>
      <c r="E3500" s="793" t="s">
        <v>763</v>
      </c>
      <c r="F3500" s="793" t="s">
        <v>919</v>
      </c>
      <c r="G3500" s="793" t="s">
        <v>782</v>
      </c>
      <c r="H3500" s="793" t="s">
        <v>913</v>
      </c>
      <c r="I3500" s="794">
        <v>7.8040864512088262E-4</v>
      </c>
      <c r="J3500" s="794">
        <v>0.91553538163063708</v>
      </c>
      <c r="K3500" s="771"/>
    </row>
    <row r="3501" spans="1:11" ht="18.75" customHeight="1" outlineLevel="2">
      <c r="A3501" s="791" t="s">
        <v>776</v>
      </c>
      <c r="B3501" s="791" t="s">
        <v>1038</v>
      </c>
      <c r="C3501" s="791" t="s">
        <v>1035</v>
      </c>
      <c r="D3501" s="792" t="s">
        <v>779</v>
      </c>
      <c r="E3501" s="793" t="s">
        <v>763</v>
      </c>
      <c r="F3501" s="793" t="s">
        <v>920</v>
      </c>
      <c r="G3501" s="793" t="s">
        <v>782</v>
      </c>
      <c r="H3501" s="793" t="s">
        <v>913</v>
      </c>
      <c r="I3501" s="794">
        <v>8.4762628181763225E-5</v>
      </c>
      <c r="J3501" s="794">
        <v>1.6863920864548934</v>
      </c>
      <c r="K3501" s="771"/>
    </row>
    <row r="3502" spans="1:11" ht="18.75" customHeight="1" outlineLevel="2">
      <c r="A3502" s="791" t="s">
        <v>776</v>
      </c>
      <c r="B3502" s="791" t="s">
        <v>1038</v>
      </c>
      <c r="C3502" s="791" t="s">
        <v>1035</v>
      </c>
      <c r="D3502" s="792" t="s">
        <v>779</v>
      </c>
      <c r="E3502" s="793" t="s">
        <v>763</v>
      </c>
      <c r="F3502" s="793" t="s">
        <v>921</v>
      </c>
      <c r="G3502" s="793" t="s">
        <v>782</v>
      </c>
      <c r="H3502" s="793" t="s">
        <v>913</v>
      </c>
      <c r="I3502" s="794">
        <v>3.9340506203686874E-4</v>
      </c>
      <c r="J3502" s="794">
        <v>0.68714956008085548</v>
      </c>
      <c r="K3502" s="771"/>
    </row>
    <row r="3503" spans="1:11" ht="18.75" customHeight="1" outlineLevel="2">
      <c r="A3503" s="791" t="s">
        <v>776</v>
      </c>
      <c r="B3503" s="791" t="s">
        <v>1038</v>
      </c>
      <c r="C3503" s="791" t="s">
        <v>1035</v>
      </c>
      <c r="D3503" s="792" t="s">
        <v>779</v>
      </c>
      <c r="E3503" s="793" t="s">
        <v>763</v>
      </c>
      <c r="F3503" s="793" t="s">
        <v>922</v>
      </c>
      <c r="G3503" s="793" t="s">
        <v>782</v>
      </c>
      <c r="H3503" s="793" t="s">
        <v>913</v>
      </c>
      <c r="I3503" s="794">
        <v>5.8809514976281886E-5</v>
      </c>
      <c r="J3503" s="794">
        <v>0.112623819335418</v>
      </c>
      <c r="K3503" s="771"/>
    </row>
    <row r="3504" spans="1:11" ht="18.75" customHeight="1" outlineLevel="2">
      <c r="A3504" s="791" t="s">
        <v>776</v>
      </c>
      <c r="B3504" s="791" t="s">
        <v>1038</v>
      </c>
      <c r="C3504" s="791" t="s">
        <v>1035</v>
      </c>
      <c r="D3504" s="792" t="s">
        <v>779</v>
      </c>
      <c r="E3504" s="793" t="s">
        <v>763</v>
      </c>
      <c r="F3504" s="793" t="s">
        <v>923</v>
      </c>
      <c r="G3504" s="793" t="s">
        <v>782</v>
      </c>
      <c r="H3504" s="793" t="s">
        <v>913</v>
      </c>
      <c r="I3504" s="794">
        <v>3.2230609328830667E-4</v>
      </c>
      <c r="J3504" s="794">
        <v>1.171091692190837</v>
      </c>
      <c r="K3504" s="771"/>
    </row>
    <row r="3505" spans="1:11" ht="18.75" customHeight="1" outlineLevel="2">
      <c r="A3505" s="791" t="s">
        <v>776</v>
      </c>
      <c r="B3505" s="791" t="s">
        <v>1038</v>
      </c>
      <c r="C3505" s="791" t="s">
        <v>1035</v>
      </c>
      <c r="D3505" s="792" t="s">
        <v>779</v>
      </c>
      <c r="E3505" s="793" t="s">
        <v>763</v>
      </c>
      <c r="F3505" s="793" t="s">
        <v>924</v>
      </c>
      <c r="G3505" s="793" t="s">
        <v>782</v>
      </c>
      <c r="H3505" s="793" t="s">
        <v>913</v>
      </c>
      <c r="I3505" s="794">
        <v>2.6552781872575136E-4</v>
      </c>
      <c r="J3505" s="794">
        <v>2.8279289771147504</v>
      </c>
      <c r="K3505" s="771"/>
    </row>
    <row r="3506" spans="1:11" ht="18.75" customHeight="1" outlineLevel="2">
      <c r="A3506" s="791" t="s">
        <v>776</v>
      </c>
      <c r="B3506" s="791" t="s">
        <v>1038</v>
      </c>
      <c r="C3506" s="791" t="s">
        <v>1035</v>
      </c>
      <c r="D3506" s="792" t="s">
        <v>779</v>
      </c>
      <c r="E3506" s="793" t="s">
        <v>763</v>
      </c>
      <c r="F3506" s="793" t="s">
        <v>925</v>
      </c>
      <c r="G3506" s="793" t="s">
        <v>782</v>
      </c>
      <c r="H3506" s="793" t="s">
        <v>913</v>
      </c>
      <c r="I3506" s="794">
        <v>1.8683738305424424E-5</v>
      </c>
      <c r="J3506" s="794">
        <v>0.29753514472799547</v>
      </c>
      <c r="K3506" s="771"/>
    </row>
    <row r="3507" spans="1:11" ht="18.75" customHeight="1" outlineLevel="2">
      <c r="A3507" s="791" t="s">
        <v>776</v>
      </c>
      <c r="B3507" s="791" t="s">
        <v>1038</v>
      </c>
      <c r="C3507" s="791" t="s">
        <v>1035</v>
      </c>
      <c r="D3507" s="792" t="s">
        <v>779</v>
      </c>
      <c r="E3507" s="793" t="s">
        <v>763</v>
      </c>
      <c r="F3507" s="793" t="s">
        <v>926</v>
      </c>
      <c r="G3507" s="793" t="s">
        <v>782</v>
      </c>
      <c r="H3507" s="793" t="s">
        <v>913</v>
      </c>
      <c r="I3507" s="794">
        <v>1.3855802271229118E-3</v>
      </c>
      <c r="J3507" s="794">
        <v>2.547255360719745</v>
      </c>
      <c r="K3507" s="771"/>
    </row>
    <row r="3508" spans="1:11" ht="18.75" customHeight="1" outlineLevel="2">
      <c r="A3508" s="791" t="s">
        <v>776</v>
      </c>
      <c r="B3508" s="791" t="s">
        <v>1038</v>
      </c>
      <c r="C3508" s="791" t="s">
        <v>1035</v>
      </c>
      <c r="D3508" s="792" t="s">
        <v>779</v>
      </c>
      <c r="E3508" s="793" t="s">
        <v>763</v>
      </c>
      <c r="F3508" s="793" t="s">
        <v>927</v>
      </c>
      <c r="G3508" s="793" t="s">
        <v>782</v>
      </c>
      <c r="H3508" s="793" t="s">
        <v>913</v>
      </c>
      <c r="I3508" s="794">
        <v>7.7232067914873666E-4</v>
      </c>
      <c r="J3508" s="794">
        <v>1.0690124032130504</v>
      </c>
      <c r="K3508" s="771"/>
    </row>
    <row r="3509" spans="1:11" ht="18.75" customHeight="1" outlineLevel="2">
      <c r="A3509" s="791" t="s">
        <v>776</v>
      </c>
      <c r="B3509" s="791" t="s">
        <v>1038</v>
      </c>
      <c r="C3509" s="791" t="s">
        <v>1035</v>
      </c>
      <c r="D3509" s="792" t="s">
        <v>779</v>
      </c>
      <c r="E3509" s="793" t="s">
        <v>763</v>
      </c>
      <c r="F3509" s="793" t="s">
        <v>928</v>
      </c>
      <c r="G3509" s="793" t="s">
        <v>785</v>
      </c>
      <c r="H3509" s="793" t="s">
        <v>913</v>
      </c>
      <c r="I3509" s="794">
        <v>3.2614052090043743E-3</v>
      </c>
      <c r="J3509" s="794">
        <v>10.039875319503343</v>
      </c>
      <c r="K3509" s="771"/>
    </row>
    <row r="3510" spans="1:11" ht="18.75" customHeight="1" outlineLevel="2">
      <c r="A3510" s="791" t="s">
        <v>776</v>
      </c>
      <c r="B3510" s="791" t="s">
        <v>1038</v>
      </c>
      <c r="C3510" s="791" t="s">
        <v>1035</v>
      </c>
      <c r="D3510" s="792" t="s">
        <v>779</v>
      </c>
      <c r="E3510" s="793" t="s">
        <v>763</v>
      </c>
      <c r="F3510" s="793" t="s">
        <v>929</v>
      </c>
      <c r="G3510" s="793" t="s">
        <v>785</v>
      </c>
      <c r="H3510" s="793" t="s">
        <v>913</v>
      </c>
      <c r="I3510" s="794">
        <v>6.4838902603198134E-2</v>
      </c>
      <c r="J3510" s="794">
        <v>913.23664063710999</v>
      </c>
      <c r="K3510" s="771"/>
    </row>
    <row r="3511" spans="1:11" ht="18.75" customHeight="1" outlineLevel="2">
      <c r="A3511" s="791" t="s">
        <v>776</v>
      </c>
      <c r="B3511" s="791" t="s">
        <v>1038</v>
      </c>
      <c r="C3511" s="791" t="s">
        <v>1035</v>
      </c>
      <c r="D3511" s="792" t="s">
        <v>779</v>
      </c>
      <c r="E3511" s="793" t="s">
        <v>763</v>
      </c>
      <c r="F3511" s="793" t="s">
        <v>930</v>
      </c>
      <c r="G3511" s="793" t="s">
        <v>785</v>
      </c>
      <c r="H3511" s="793" t="s">
        <v>913</v>
      </c>
      <c r="I3511" s="794">
        <v>3.8601877081079113E-4</v>
      </c>
      <c r="J3511" s="794">
        <v>6.8032606327207112</v>
      </c>
      <c r="K3511" s="771"/>
    </row>
    <row r="3512" spans="1:11" ht="18.75" customHeight="1" outlineLevel="2">
      <c r="A3512" s="791" t="s">
        <v>776</v>
      </c>
      <c r="B3512" s="791" t="s">
        <v>1038</v>
      </c>
      <c r="C3512" s="791" t="s">
        <v>1035</v>
      </c>
      <c r="D3512" s="792" t="s">
        <v>779</v>
      </c>
      <c r="E3512" s="793" t="s">
        <v>763</v>
      </c>
      <c r="F3512" s="793" t="s">
        <v>931</v>
      </c>
      <c r="G3512" s="793" t="s">
        <v>785</v>
      </c>
      <c r="H3512" s="793" t="s">
        <v>913</v>
      </c>
      <c r="I3512" s="794">
        <v>1.2913088897730681E-4</v>
      </c>
      <c r="J3512" s="794">
        <v>2.145991484320533</v>
      </c>
      <c r="K3512" s="771"/>
    </row>
    <row r="3513" spans="1:11" ht="18.75" customHeight="1" outlineLevel="2">
      <c r="A3513" s="791" t="s">
        <v>776</v>
      </c>
      <c r="B3513" s="791" t="s">
        <v>1038</v>
      </c>
      <c r="C3513" s="791" t="s">
        <v>1035</v>
      </c>
      <c r="D3513" s="792" t="s">
        <v>779</v>
      </c>
      <c r="E3513" s="793" t="s">
        <v>763</v>
      </c>
      <c r="F3513" s="793" t="s">
        <v>932</v>
      </c>
      <c r="G3513" s="793" t="s">
        <v>785</v>
      </c>
      <c r="H3513" s="793" t="s">
        <v>913</v>
      </c>
      <c r="I3513" s="794">
        <v>1.3787965373256758E-4</v>
      </c>
      <c r="J3513" s="794">
        <v>0.52999578081907917</v>
      </c>
      <c r="K3513" s="771"/>
    </row>
    <row r="3514" spans="1:11" ht="18.75" customHeight="1" outlineLevel="2">
      <c r="A3514" s="791" t="s">
        <v>776</v>
      </c>
      <c r="B3514" s="791" t="s">
        <v>1038</v>
      </c>
      <c r="C3514" s="791" t="s">
        <v>1035</v>
      </c>
      <c r="D3514" s="792" t="s">
        <v>779</v>
      </c>
      <c r="E3514" s="793" t="s">
        <v>763</v>
      </c>
      <c r="F3514" s="793" t="s">
        <v>933</v>
      </c>
      <c r="G3514" s="793" t="s">
        <v>785</v>
      </c>
      <c r="H3514" s="793" t="s">
        <v>913</v>
      </c>
      <c r="I3514" s="794">
        <v>1.9353120492972384E-4</v>
      </c>
      <c r="J3514" s="794">
        <v>4.2149313709641421</v>
      </c>
      <c r="K3514" s="771"/>
    </row>
    <row r="3515" spans="1:11" ht="18.75" customHeight="1" outlineLevel="2">
      <c r="A3515" s="791" t="s">
        <v>776</v>
      </c>
      <c r="B3515" s="791" t="s">
        <v>1038</v>
      </c>
      <c r="C3515" s="791" t="s">
        <v>1035</v>
      </c>
      <c r="D3515" s="792" t="s">
        <v>779</v>
      </c>
      <c r="E3515" s="793" t="s">
        <v>763</v>
      </c>
      <c r="F3515" s="793" t="s">
        <v>934</v>
      </c>
      <c r="G3515" s="793" t="s">
        <v>813</v>
      </c>
      <c r="H3515" s="793" t="s">
        <v>913</v>
      </c>
      <c r="I3515" s="794">
        <v>2.0118381285111437E-3</v>
      </c>
      <c r="J3515" s="794">
        <v>30.487996785839563</v>
      </c>
      <c r="K3515" s="771"/>
    </row>
    <row r="3516" spans="1:11" ht="18.75" customHeight="1" outlineLevel="2">
      <c r="A3516" s="791" t="s">
        <v>776</v>
      </c>
      <c r="B3516" s="791" t="s">
        <v>1038</v>
      </c>
      <c r="C3516" s="791" t="s">
        <v>1035</v>
      </c>
      <c r="D3516" s="792" t="s">
        <v>779</v>
      </c>
      <c r="E3516" s="793" t="s">
        <v>763</v>
      </c>
      <c r="F3516" s="793" t="s">
        <v>935</v>
      </c>
      <c r="G3516" s="793" t="s">
        <v>791</v>
      </c>
      <c r="H3516" s="793" t="s">
        <v>913</v>
      </c>
      <c r="I3516" s="794">
        <v>6.8100905221631704E-5</v>
      </c>
      <c r="J3516" s="794">
        <v>8.5812725485189437E-2</v>
      </c>
      <c r="K3516" s="771"/>
    </row>
    <row r="3517" spans="1:11" ht="18.75" customHeight="1" outlineLevel="2">
      <c r="A3517" s="791" t="s">
        <v>776</v>
      </c>
      <c r="B3517" s="791" t="s">
        <v>1038</v>
      </c>
      <c r="C3517" s="791" t="s">
        <v>1035</v>
      </c>
      <c r="D3517" s="792" t="s">
        <v>779</v>
      </c>
      <c r="E3517" s="793" t="s">
        <v>763</v>
      </c>
      <c r="F3517" s="793" t="s">
        <v>936</v>
      </c>
      <c r="G3517" s="793" t="s">
        <v>791</v>
      </c>
      <c r="H3517" s="793" t="s">
        <v>913</v>
      </c>
      <c r="I3517" s="794">
        <v>9.8671962398753329E-6</v>
      </c>
      <c r="J3517" s="794">
        <v>0.16713906466020925</v>
      </c>
      <c r="K3517" s="771"/>
    </row>
    <row r="3518" spans="1:11" ht="18.75" customHeight="1" outlineLevel="2">
      <c r="A3518" s="791" t="s">
        <v>776</v>
      </c>
      <c r="B3518" s="791" t="s">
        <v>1038</v>
      </c>
      <c r="C3518" s="791" t="s">
        <v>1035</v>
      </c>
      <c r="D3518" s="792" t="s">
        <v>779</v>
      </c>
      <c r="E3518" s="793" t="s">
        <v>763</v>
      </c>
      <c r="F3518" s="793" t="s">
        <v>937</v>
      </c>
      <c r="G3518" s="793" t="s">
        <v>794</v>
      </c>
      <c r="H3518" s="793" t="s">
        <v>913</v>
      </c>
      <c r="I3518" s="794">
        <v>2.7811656520039998E-2</v>
      </c>
      <c r="J3518" s="794">
        <v>68.286565618990281</v>
      </c>
      <c r="K3518" s="771"/>
    </row>
    <row r="3519" spans="1:11" ht="18.75" customHeight="1" outlineLevel="2">
      <c r="A3519" s="791" t="s">
        <v>776</v>
      </c>
      <c r="B3519" s="791" t="s">
        <v>1038</v>
      </c>
      <c r="C3519" s="791" t="s">
        <v>1035</v>
      </c>
      <c r="D3519" s="792" t="s">
        <v>779</v>
      </c>
      <c r="E3519" s="793" t="s">
        <v>763</v>
      </c>
      <c r="F3519" s="793" t="s">
        <v>938</v>
      </c>
      <c r="G3519" s="793" t="s">
        <v>794</v>
      </c>
      <c r="H3519" s="793" t="s">
        <v>913</v>
      </c>
      <c r="I3519" s="794">
        <v>3.2724939417316172E-3</v>
      </c>
      <c r="J3519" s="794">
        <v>14.947068107681709</v>
      </c>
      <c r="K3519" s="771"/>
    </row>
    <row r="3520" spans="1:11" ht="18.75" customHeight="1" outlineLevel="2">
      <c r="A3520" s="791" t="s">
        <v>776</v>
      </c>
      <c r="B3520" s="791" t="s">
        <v>1038</v>
      </c>
      <c r="C3520" s="791" t="s">
        <v>1035</v>
      </c>
      <c r="D3520" s="792" t="s">
        <v>779</v>
      </c>
      <c r="E3520" s="793" t="s">
        <v>763</v>
      </c>
      <c r="F3520" s="793" t="s">
        <v>939</v>
      </c>
      <c r="G3520" s="793" t="s">
        <v>794</v>
      </c>
      <c r="H3520" s="793" t="s">
        <v>913</v>
      </c>
      <c r="I3520" s="794">
        <v>1.7063070003778633E-3</v>
      </c>
      <c r="J3520" s="794">
        <v>17.453303592826103</v>
      </c>
      <c r="K3520" s="771"/>
    </row>
    <row r="3521" spans="1:11" ht="18.75" customHeight="1" outlineLevel="2">
      <c r="A3521" s="791" t="s">
        <v>776</v>
      </c>
      <c r="B3521" s="791" t="s">
        <v>1038</v>
      </c>
      <c r="C3521" s="791" t="s">
        <v>1035</v>
      </c>
      <c r="D3521" s="792" t="s">
        <v>779</v>
      </c>
      <c r="E3521" s="793" t="s">
        <v>763</v>
      </c>
      <c r="F3521" s="793" t="s">
        <v>940</v>
      </c>
      <c r="G3521" s="793" t="s">
        <v>794</v>
      </c>
      <c r="H3521" s="793" t="s">
        <v>913</v>
      </c>
      <c r="I3521" s="794">
        <v>2.8247812830135876E-3</v>
      </c>
      <c r="J3521" s="794">
        <v>21.691904362807076</v>
      </c>
      <c r="K3521" s="771"/>
    </row>
    <row r="3522" spans="1:11" ht="18.75" customHeight="1" outlineLevel="2">
      <c r="A3522" s="791" t="s">
        <v>776</v>
      </c>
      <c r="B3522" s="791" t="s">
        <v>1038</v>
      </c>
      <c r="C3522" s="791" t="s">
        <v>1035</v>
      </c>
      <c r="D3522" s="792" t="s">
        <v>779</v>
      </c>
      <c r="E3522" s="793" t="s">
        <v>763</v>
      </c>
      <c r="F3522" s="793" t="s">
        <v>941</v>
      </c>
      <c r="G3522" s="793" t="s">
        <v>794</v>
      </c>
      <c r="H3522" s="793" t="s">
        <v>913</v>
      </c>
      <c r="I3522" s="794">
        <v>9.7783056834870302E-5</v>
      </c>
      <c r="J3522" s="794">
        <v>0.29502194268954268</v>
      </c>
      <c r="K3522" s="771"/>
    </row>
    <row r="3523" spans="1:11" ht="18.75" customHeight="1" outlineLevel="2">
      <c r="A3523" s="791" t="s">
        <v>776</v>
      </c>
      <c r="B3523" s="791" t="s">
        <v>1038</v>
      </c>
      <c r="C3523" s="791" t="s">
        <v>1035</v>
      </c>
      <c r="D3523" s="792" t="s">
        <v>779</v>
      </c>
      <c r="E3523" s="793" t="s">
        <v>763</v>
      </c>
      <c r="F3523" s="793" t="s">
        <v>942</v>
      </c>
      <c r="G3523" s="793" t="s">
        <v>794</v>
      </c>
      <c r="H3523" s="793" t="s">
        <v>913</v>
      </c>
      <c r="I3523" s="794">
        <v>2.3179284307248574E-5</v>
      </c>
      <c r="J3523" s="794">
        <v>0.26785446661033913</v>
      </c>
      <c r="K3523" s="771"/>
    </row>
    <row r="3524" spans="1:11" ht="18.75" customHeight="1" outlineLevel="2">
      <c r="A3524" s="791" t="s">
        <v>776</v>
      </c>
      <c r="B3524" s="791" t="s">
        <v>1038</v>
      </c>
      <c r="C3524" s="791" t="s">
        <v>1035</v>
      </c>
      <c r="D3524" s="792" t="s">
        <v>779</v>
      </c>
      <c r="E3524" s="793" t="s">
        <v>764</v>
      </c>
      <c r="F3524" s="793" t="s">
        <v>945</v>
      </c>
      <c r="G3524" s="793" t="s">
        <v>244</v>
      </c>
      <c r="H3524" s="793" t="s">
        <v>905</v>
      </c>
      <c r="I3524" s="794">
        <v>7.7326611018448649E-2</v>
      </c>
      <c r="J3524" s="794">
        <v>2783.0453017959585</v>
      </c>
      <c r="K3524" s="771"/>
    </row>
    <row r="3525" spans="1:11" ht="18.75" customHeight="1" outlineLevel="2">
      <c r="A3525" s="791" t="s">
        <v>776</v>
      </c>
      <c r="B3525" s="791" t="s">
        <v>1038</v>
      </c>
      <c r="C3525" s="791" t="s">
        <v>1035</v>
      </c>
      <c r="D3525" s="792" t="s">
        <v>779</v>
      </c>
      <c r="E3525" s="793" t="s">
        <v>764</v>
      </c>
      <c r="F3525" s="793" t="s">
        <v>946</v>
      </c>
      <c r="G3525" s="793" t="s">
        <v>244</v>
      </c>
      <c r="H3525" s="793" t="s">
        <v>905</v>
      </c>
      <c r="I3525" s="794">
        <v>4.5894401694362432E-4</v>
      </c>
      <c r="J3525" s="794">
        <v>8.7059074298208774</v>
      </c>
      <c r="K3525" s="771"/>
    </row>
    <row r="3526" spans="1:11" ht="18.75" customHeight="1" outlineLevel="2">
      <c r="A3526" s="791" t="s">
        <v>776</v>
      </c>
      <c r="B3526" s="791" t="s">
        <v>1038</v>
      </c>
      <c r="C3526" s="791" t="s">
        <v>1035</v>
      </c>
      <c r="D3526" s="792" t="s">
        <v>779</v>
      </c>
      <c r="E3526" s="793" t="s">
        <v>947</v>
      </c>
      <c r="F3526" s="793" t="s">
        <v>948</v>
      </c>
      <c r="G3526" s="793" t="s">
        <v>799</v>
      </c>
      <c r="H3526" s="793" t="s">
        <v>800</v>
      </c>
      <c r="I3526" s="794">
        <v>3.1078180471169987E-3</v>
      </c>
      <c r="J3526" s="794">
        <v>76.829652485673108</v>
      </c>
      <c r="K3526" s="771"/>
    </row>
    <row r="3527" spans="1:11" ht="18.75" customHeight="1" outlineLevel="2">
      <c r="A3527" s="791" t="s">
        <v>776</v>
      </c>
      <c r="B3527" s="791" t="s">
        <v>1038</v>
      </c>
      <c r="C3527" s="791" t="s">
        <v>1035</v>
      </c>
      <c r="D3527" s="792" t="s">
        <v>779</v>
      </c>
      <c r="E3527" s="793" t="s">
        <v>947</v>
      </c>
      <c r="F3527" s="793" t="s">
        <v>949</v>
      </c>
      <c r="G3527" s="793" t="s">
        <v>782</v>
      </c>
      <c r="H3527" s="793" t="s">
        <v>804</v>
      </c>
      <c r="I3527" s="794">
        <v>1.2086847288888388E-3</v>
      </c>
      <c r="J3527" s="794">
        <v>70.491016534338485</v>
      </c>
      <c r="K3527" s="771"/>
    </row>
    <row r="3528" spans="1:11" ht="18.75" customHeight="1" outlineLevel="2">
      <c r="A3528" s="791" t="s">
        <v>776</v>
      </c>
      <c r="B3528" s="791" t="s">
        <v>1038</v>
      </c>
      <c r="C3528" s="791" t="s">
        <v>1035</v>
      </c>
      <c r="D3528" s="792" t="s">
        <v>779</v>
      </c>
      <c r="E3528" s="793" t="s">
        <v>947</v>
      </c>
      <c r="F3528" s="793" t="s">
        <v>950</v>
      </c>
      <c r="G3528" s="793" t="s">
        <v>782</v>
      </c>
      <c r="H3528" s="793" t="s">
        <v>804</v>
      </c>
      <c r="I3528" s="794">
        <v>1.0392631455870548E-5</v>
      </c>
      <c r="J3528" s="794">
        <v>0.11479308875046855</v>
      </c>
      <c r="K3528" s="771"/>
    </row>
    <row r="3529" spans="1:11" ht="18.75" customHeight="1" outlineLevel="2">
      <c r="A3529" s="791" t="s">
        <v>776</v>
      </c>
      <c r="B3529" s="791" t="s">
        <v>1038</v>
      </c>
      <c r="C3529" s="791" t="s">
        <v>1035</v>
      </c>
      <c r="D3529" s="792" t="s">
        <v>779</v>
      </c>
      <c r="E3529" s="793" t="s">
        <v>947</v>
      </c>
      <c r="F3529" s="793" t="s">
        <v>951</v>
      </c>
      <c r="G3529" s="793" t="s">
        <v>782</v>
      </c>
      <c r="H3529" s="793" t="s">
        <v>804</v>
      </c>
      <c r="I3529" s="794">
        <v>1.5071987657051179E-4</v>
      </c>
      <c r="J3529" s="794">
        <v>1.8909553578838016</v>
      </c>
      <c r="K3529" s="771"/>
    </row>
    <row r="3530" spans="1:11" ht="18.75" customHeight="1" outlineLevel="2">
      <c r="A3530" s="791" t="s">
        <v>776</v>
      </c>
      <c r="B3530" s="791" t="s">
        <v>1038</v>
      </c>
      <c r="C3530" s="791" t="s">
        <v>1035</v>
      </c>
      <c r="D3530" s="792" t="s">
        <v>779</v>
      </c>
      <c r="E3530" s="793" t="s">
        <v>947</v>
      </c>
      <c r="F3530" s="793" t="s">
        <v>952</v>
      </c>
      <c r="G3530" s="793" t="s">
        <v>782</v>
      </c>
      <c r="H3530" s="793" t="s">
        <v>804</v>
      </c>
      <c r="I3530" s="794">
        <v>3.4418451509183124E-3</v>
      </c>
      <c r="J3530" s="794">
        <v>176.44965355481881</v>
      </c>
      <c r="K3530" s="771"/>
    </row>
    <row r="3531" spans="1:11" ht="18.75" customHeight="1" outlineLevel="2">
      <c r="A3531" s="791" t="s">
        <v>776</v>
      </c>
      <c r="B3531" s="791" t="s">
        <v>1038</v>
      </c>
      <c r="C3531" s="791" t="s">
        <v>1035</v>
      </c>
      <c r="D3531" s="792" t="s">
        <v>779</v>
      </c>
      <c r="E3531" s="793" t="s">
        <v>947</v>
      </c>
      <c r="F3531" s="793" t="s">
        <v>953</v>
      </c>
      <c r="G3531" s="793" t="s">
        <v>782</v>
      </c>
      <c r="H3531" s="793" t="s">
        <v>804</v>
      </c>
      <c r="I3531" s="794">
        <v>2.6127985535233907E-3</v>
      </c>
      <c r="J3531" s="794">
        <v>191.9892088378034</v>
      </c>
      <c r="K3531" s="771"/>
    </row>
    <row r="3532" spans="1:11" ht="18.75" customHeight="1" outlineLevel="2">
      <c r="A3532" s="791" t="s">
        <v>776</v>
      </c>
      <c r="B3532" s="791" t="s">
        <v>1038</v>
      </c>
      <c r="C3532" s="791" t="s">
        <v>1035</v>
      </c>
      <c r="D3532" s="792" t="s">
        <v>779</v>
      </c>
      <c r="E3532" s="793" t="s">
        <v>947</v>
      </c>
      <c r="F3532" s="793" t="s">
        <v>954</v>
      </c>
      <c r="G3532" s="793" t="s">
        <v>782</v>
      </c>
      <c r="H3532" s="793" t="s">
        <v>804</v>
      </c>
      <c r="I3532" s="794">
        <v>2.9519152473722002E-4</v>
      </c>
      <c r="J3532" s="794">
        <v>10.60128338106289</v>
      </c>
      <c r="K3532" s="771"/>
    </row>
    <row r="3533" spans="1:11" ht="18.75" customHeight="1" outlineLevel="2">
      <c r="A3533" s="791" t="s">
        <v>776</v>
      </c>
      <c r="B3533" s="791" t="s">
        <v>1038</v>
      </c>
      <c r="C3533" s="791" t="s">
        <v>1035</v>
      </c>
      <c r="D3533" s="792" t="s">
        <v>779</v>
      </c>
      <c r="E3533" s="793" t="s">
        <v>947</v>
      </c>
      <c r="F3533" s="793" t="s">
        <v>955</v>
      </c>
      <c r="G3533" s="793" t="s">
        <v>782</v>
      </c>
      <c r="H3533" s="793" t="s">
        <v>804</v>
      </c>
      <c r="I3533" s="794">
        <v>1.5700970027718788E-4</v>
      </c>
      <c r="J3533" s="794">
        <v>7.2190164545586262</v>
      </c>
      <c r="K3533" s="771"/>
    </row>
    <row r="3534" spans="1:11" ht="18.75" customHeight="1" outlineLevel="2">
      <c r="A3534" s="791" t="s">
        <v>776</v>
      </c>
      <c r="B3534" s="791" t="s">
        <v>1038</v>
      </c>
      <c r="C3534" s="791" t="s">
        <v>1035</v>
      </c>
      <c r="D3534" s="792" t="s">
        <v>779</v>
      </c>
      <c r="E3534" s="793" t="s">
        <v>947</v>
      </c>
      <c r="F3534" s="793" t="s">
        <v>956</v>
      </c>
      <c r="G3534" s="793" t="s">
        <v>782</v>
      </c>
      <c r="H3534" s="793" t="s">
        <v>804</v>
      </c>
      <c r="I3534" s="794">
        <v>8.345003253363327E-4</v>
      </c>
      <c r="J3534" s="794">
        <v>19.82411712970536</v>
      </c>
      <c r="K3534" s="771"/>
    </row>
    <row r="3535" spans="1:11" ht="18.75" customHeight="1" outlineLevel="2">
      <c r="A3535" s="791" t="s">
        <v>776</v>
      </c>
      <c r="B3535" s="791" t="s">
        <v>1038</v>
      </c>
      <c r="C3535" s="791" t="s">
        <v>1035</v>
      </c>
      <c r="D3535" s="792" t="s">
        <v>779</v>
      </c>
      <c r="E3535" s="793" t="s">
        <v>947</v>
      </c>
      <c r="F3535" s="793" t="s">
        <v>957</v>
      </c>
      <c r="G3535" s="793" t="s">
        <v>782</v>
      </c>
      <c r="H3535" s="793" t="s">
        <v>804</v>
      </c>
      <c r="I3535" s="794">
        <v>2.3922741234392668E-3</v>
      </c>
      <c r="J3535" s="794">
        <v>84.832651542958089</v>
      </c>
      <c r="K3535" s="771"/>
    </row>
    <row r="3536" spans="1:11" ht="18.75" customHeight="1" outlineLevel="2">
      <c r="A3536" s="791" t="s">
        <v>776</v>
      </c>
      <c r="B3536" s="791" t="s">
        <v>1038</v>
      </c>
      <c r="C3536" s="791" t="s">
        <v>1035</v>
      </c>
      <c r="D3536" s="792" t="s">
        <v>779</v>
      </c>
      <c r="E3536" s="793" t="s">
        <v>947</v>
      </c>
      <c r="F3536" s="793" t="s">
        <v>958</v>
      </c>
      <c r="G3536" s="793" t="s">
        <v>782</v>
      </c>
      <c r="H3536" s="793" t="s">
        <v>804</v>
      </c>
      <c r="I3536" s="794">
        <v>1.691259476376006E-3</v>
      </c>
      <c r="J3536" s="794">
        <v>93.140989677436536</v>
      </c>
      <c r="K3536" s="771"/>
    </row>
    <row r="3537" spans="1:11" ht="18.75" customHeight="1" outlineLevel="2">
      <c r="A3537" s="791" t="s">
        <v>776</v>
      </c>
      <c r="B3537" s="791" t="s">
        <v>1038</v>
      </c>
      <c r="C3537" s="791" t="s">
        <v>1035</v>
      </c>
      <c r="D3537" s="792" t="s">
        <v>779</v>
      </c>
      <c r="E3537" s="793" t="s">
        <v>947</v>
      </c>
      <c r="F3537" s="793" t="s">
        <v>959</v>
      </c>
      <c r="G3537" s="793" t="s">
        <v>782</v>
      </c>
      <c r="H3537" s="793" t="s">
        <v>804</v>
      </c>
      <c r="I3537" s="794">
        <v>9.2722686779600199E-3</v>
      </c>
      <c r="J3537" s="794">
        <v>715.18087995559995</v>
      </c>
      <c r="K3537" s="771"/>
    </row>
    <row r="3538" spans="1:11" ht="18.75" customHeight="1" outlineLevel="2">
      <c r="A3538" s="791" t="s">
        <v>776</v>
      </c>
      <c r="B3538" s="791" t="s">
        <v>1038</v>
      </c>
      <c r="C3538" s="791" t="s">
        <v>1035</v>
      </c>
      <c r="D3538" s="792" t="s">
        <v>779</v>
      </c>
      <c r="E3538" s="793" t="s">
        <v>947</v>
      </c>
      <c r="F3538" s="793" t="s">
        <v>960</v>
      </c>
      <c r="G3538" s="793" t="s">
        <v>782</v>
      </c>
      <c r="H3538" s="793" t="s">
        <v>804</v>
      </c>
      <c r="I3538" s="794">
        <v>1.9611544537866075E-4</v>
      </c>
      <c r="J3538" s="794">
        <v>5.9468139626776253</v>
      </c>
      <c r="K3538" s="771"/>
    </row>
    <row r="3539" spans="1:11" ht="18.75" customHeight="1" outlineLevel="2">
      <c r="A3539" s="791" t="s">
        <v>776</v>
      </c>
      <c r="B3539" s="791" t="s">
        <v>1038</v>
      </c>
      <c r="C3539" s="791" t="s">
        <v>1035</v>
      </c>
      <c r="D3539" s="792" t="s">
        <v>779</v>
      </c>
      <c r="E3539" s="793" t="s">
        <v>947</v>
      </c>
      <c r="F3539" s="793" t="s">
        <v>961</v>
      </c>
      <c r="G3539" s="793" t="s">
        <v>782</v>
      </c>
      <c r="H3539" s="793" t="s">
        <v>804</v>
      </c>
      <c r="I3539" s="794">
        <v>7.7232416505862238E-5</v>
      </c>
      <c r="J3539" s="794">
        <v>3.6412468928729429</v>
      </c>
      <c r="K3539" s="771"/>
    </row>
    <row r="3540" spans="1:11" ht="18.75" customHeight="1" outlineLevel="2">
      <c r="A3540" s="791" t="s">
        <v>776</v>
      </c>
      <c r="B3540" s="791" t="s">
        <v>1038</v>
      </c>
      <c r="C3540" s="791" t="s">
        <v>1035</v>
      </c>
      <c r="D3540" s="792" t="s">
        <v>779</v>
      </c>
      <c r="E3540" s="793" t="s">
        <v>947</v>
      </c>
      <c r="F3540" s="793" t="s">
        <v>962</v>
      </c>
      <c r="G3540" s="793" t="s">
        <v>782</v>
      </c>
      <c r="H3540" s="793" t="s">
        <v>804</v>
      </c>
      <c r="I3540" s="794">
        <v>2.7361021819882654E-3</v>
      </c>
      <c r="J3540" s="794">
        <v>163.4720025328368</v>
      </c>
      <c r="K3540" s="771"/>
    </row>
    <row r="3541" spans="1:11" ht="18.75" customHeight="1" outlineLevel="2">
      <c r="A3541" s="791" t="s">
        <v>776</v>
      </c>
      <c r="B3541" s="791" t="s">
        <v>1038</v>
      </c>
      <c r="C3541" s="791" t="s">
        <v>1035</v>
      </c>
      <c r="D3541" s="792" t="s">
        <v>779</v>
      </c>
      <c r="E3541" s="793" t="s">
        <v>947</v>
      </c>
      <c r="F3541" s="793" t="s">
        <v>963</v>
      </c>
      <c r="G3541" s="793" t="s">
        <v>782</v>
      </c>
      <c r="H3541" s="793" t="s">
        <v>804</v>
      </c>
      <c r="I3541" s="794">
        <v>2.3522653075141071E-3</v>
      </c>
      <c r="J3541" s="794">
        <v>177.94139422271346</v>
      </c>
      <c r="K3541" s="771"/>
    </row>
    <row r="3542" spans="1:11" ht="18.75" customHeight="1" outlineLevel="2">
      <c r="A3542" s="791" t="s">
        <v>776</v>
      </c>
      <c r="B3542" s="791" t="s">
        <v>1038</v>
      </c>
      <c r="C3542" s="791" t="s">
        <v>1035</v>
      </c>
      <c r="D3542" s="792" t="s">
        <v>779</v>
      </c>
      <c r="E3542" s="793" t="s">
        <v>947</v>
      </c>
      <c r="F3542" s="793" t="s">
        <v>964</v>
      </c>
      <c r="G3542" s="793" t="s">
        <v>782</v>
      </c>
      <c r="H3542" s="793" t="s">
        <v>804</v>
      </c>
      <c r="I3542" s="794">
        <v>8.5883441184718412E-3</v>
      </c>
      <c r="J3542" s="794">
        <v>612.09318273016129</v>
      </c>
      <c r="K3542" s="771"/>
    </row>
    <row r="3543" spans="1:11" ht="18.75" customHeight="1" outlineLevel="2">
      <c r="A3543" s="791" t="s">
        <v>776</v>
      </c>
      <c r="B3543" s="791" t="s">
        <v>1038</v>
      </c>
      <c r="C3543" s="791" t="s">
        <v>1035</v>
      </c>
      <c r="D3543" s="792" t="s">
        <v>779</v>
      </c>
      <c r="E3543" s="793" t="s">
        <v>947</v>
      </c>
      <c r="F3543" s="793" t="s">
        <v>965</v>
      </c>
      <c r="G3543" s="793" t="s">
        <v>782</v>
      </c>
      <c r="H3543" s="793" t="s">
        <v>804</v>
      </c>
      <c r="I3543" s="794">
        <v>5.9117951164058119E-4</v>
      </c>
      <c r="J3543" s="794">
        <v>28.781694113475957</v>
      </c>
      <c r="K3543" s="771"/>
    </row>
    <row r="3544" spans="1:11" ht="18.75" customHeight="1" outlineLevel="2">
      <c r="A3544" s="791" t="s">
        <v>776</v>
      </c>
      <c r="B3544" s="791" t="s">
        <v>1038</v>
      </c>
      <c r="C3544" s="791" t="s">
        <v>1035</v>
      </c>
      <c r="D3544" s="792" t="s">
        <v>779</v>
      </c>
      <c r="E3544" s="793" t="s">
        <v>947</v>
      </c>
      <c r="F3544" s="793" t="s">
        <v>966</v>
      </c>
      <c r="G3544" s="793" t="s">
        <v>782</v>
      </c>
      <c r="H3544" s="793" t="s">
        <v>804</v>
      </c>
      <c r="I3544" s="794">
        <v>4.9710606195964265E-3</v>
      </c>
      <c r="J3544" s="794">
        <v>228.94285945225894</v>
      </c>
      <c r="K3544" s="771"/>
    </row>
    <row r="3545" spans="1:11" ht="18.75" customHeight="1" outlineLevel="2">
      <c r="A3545" s="791" t="s">
        <v>776</v>
      </c>
      <c r="B3545" s="791" t="s">
        <v>1038</v>
      </c>
      <c r="C3545" s="791" t="s">
        <v>1035</v>
      </c>
      <c r="D3545" s="792" t="s">
        <v>779</v>
      </c>
      <c r="E3545" s="793" t="s">
        <v>947</v>
      </c>
      <c r="F3545" s="793" t="s">
        <v>967</v>
      </c>
      <c r="G3545" s="793" t="s">
        <v>782</v>
      </c>
      <c r="H3545" s="793" t="s">
        <v>804</v>
      </c>
      <c r="I3545" s="794">
        <v>1.2145827159292058E-2</v>
      </c>
      <c r="J3545" s="794">
        <v>778.36208812087591</v>
      </c>
      <c r="K3545" s="771"/>
    </row>
    <row r="3546" spans="1:11" ht="18.75" customHeight="1" outlineLevel="2">
      <c r="A3546" s="791" t="s">
        <v>776</v>
      </c>
      <c r="B3546" s="791" t="s">
        <v>1038</v>
      </c>
      <c r="C3546" s="791" t="s">
        <v>1035</v>
      </c>
      <c r="D3546" s="792" t="s">
        <v>779</v>
      </c>
      <c r="E3546" s="793" t="s">
        <v>947</v>
      </c>
      <c r="F3546" s="793" t="s">
        <v>968</v>
      </c>
      <c r="G3546" s="793" t="s">
        <v>782</v>
      </c>
      <c r="H3546" s="793" t="s">
        <v>804</v>
      </c>
      <c r="I3546" s="794">
        <v>2.6602351724217072E-2</v>
      </c>
      <c r="J3546" s="794">
        <v>522.1745618950124</v>
      </c>
      <c r="K3546" s="771"/>
    </row>
    <row r="3547" spans="1:11" ht="18.75" customHeight="1" outlineLevel="2">
      <c r="A3547" s="791" t="s">
        <v>776</v>
      </c>
      <c r="B3547" s="791" t="s">
        <v>1038</v>
      </c>
      <c r="C3547" s="791" t="s">
        <v>1035</v>
      </c>
      <c r="D3547" s="792" t="s">
        <v>779</v>
      </c>
      <c r="E3547" s="793" t="s">
        <v>947</v>
      </c>
      <c r="F3547" s="793" t="s">
        <v>969</v>
      </c>
      <c r="G3547" s="793" t="s">
        <v>782</v>
      </c>
      <c r="H3547" s="793" t="s">
        <v>804</v>
      </c>
      <c r="I3547" s="794">
        <v>9.7810527102160406E-3</v>
      </c>
      <c r="J3547" s="794">
        <v>712.03666581013852</v>
      </c>
      <c r="K3547" s="771"/>
    </row>
    <row r="3548" spans="1:11" ht="18.75" customHeight="1" outlineLevel="2">
      <c r="A3548" s="791" t="s">
        <v>776</v>
      </c>
      <c r="B3548" s="791" t="s">
        <v>1038</v>
      </c>
      <c r="C3548" s="791" t="s">
        <v>1035</v>
      </c>
      <c r="D3548" s="792" t="s">
        <v>779</v>
      </c>
      <c r="E3548" s="793" t="s">
        <v>947</v>
      </c>
      <c r="F3548" s="793" t="s">
        <v>970</v>
      </c>
      <c r="G3548" s="793" t="s">
        <v>782</v>
      </c>
      <c r="H3548" s="793" t="s">
        <v>804</v>
      </c>
      <c r="I3548" s="794">
        <v>1.7809393640367821E-2</v>
      </c>
      <c r="J3548" s="794">
        <v>409.88035513054518</v>
      </c>
      <c r="K3548" s="771"/>
    </row>
    <row r="3549" spans="1:11" ht="18.75" customHeight="1" outlineLevel="2">
      <c r="A3549" s="791" t="s">
        <v>776</v>
      </c>
      <c r="B3549" s="791" t="s">
        <v>1038</v>
      </c>
      <c r="C3549" s="791" t="s">
        <v>1035</v>
      </c>
      <c r="D3549" s="792" t="s">
        <v>779</v>
      </c>
      <c r="E3549" s="793" t="s">
        <v>947</v>
      </c>
      <c r="F3549" s="793" t="s">
        <v>971</v>
      </c>
      <c r="G3549" s="793" t="s">
        <v>782</v>
      </c>
      <c r="H3549" s="793" t="s">
        <v>804</v>
      </c>
      <c r="I3549" s="794">
        <v>1.0454460683939086E-3</v>
      </c>
      <c r="J3549" s="794">
        <v>76.4024214094825</v>
      </c>
      <c r="K3549" s="771"/>
    </row>
    <row r="3550" spans="1:11" ht="18.75" customHeight="1" outlineLevel="2">
      <c r="A3550" s="791" t="s">
        <v>776</v>
      </c>
      <c r="B3550" s="791" t="s">
        <v>1038</v>
      </c>
      <c r="C3550" s="791" t="s">
        <v>1035</v>
      </c>
      <c r="D3550" s="792" t="s">
        <v>779</v>
      </c>
      <c r="E3550" s="793" t="s">
        <v>947</v>
      </c>
      <c r="F3550" s="793" t="s">
        <v>972</v>
      </c>
      <c r="G3550" s="793" t="s">
        <v>782</v>
      </c>
      <c r="H3550" s="793" t="s">
        <v>804</v>
      </c>
      <c r="I3550" s="794">
        <v>5.4299593841491758E-5</v>
      </c>
      <c r="J3550" s="794">
        <v>1.2534827622491176</v>
      </c>
      <c r="K3550" s="771"/>
    </row>
    <row r="3551" spans="1:11" ht="18.75" customHeight="1" outlineLevel="2">
      <c r="A3551" s="791" t="s">
        <v>776</v>
      </c>
      <c r="B3551" s="791" t="s">
        <v>1038</v>
      </c>
      <c r="C3551" s="791" t="s">
        <v>1035</v>
      </c>
      <c r="D3551" s="792" t="s">
        <v>779</v>
      </c>
      <c r="E3551" s="793" t="s">
        <v>947</v>
      </c>
      <c r="F3551" s="793" t="s">
        <v>973</v>
      </c>
      <c r="G3551" s="793" t="s">
        <v>782</v>
      </c>
      <c r="H3551" s="793" t="s">
        <v>804</v>
      </c>
      <c r="I3551" s="794">
        <v>1.4824286669829906E-3</v>
      </c>
      <c r="J3551" s="794">
        <v>79.695223332345847</v>
      </c>
      <c r="K3551" s="771"/>
    </row>
    <row r="3552" spans="1:11" ht="18.75" customHeight="1" outlineLevel="2">
      <c r="A3552" s="791" t="s">
        <v>776</v>
      </c>
      <c r="B3552" s="791" t="s">
        <v>1038</v>
      </c>
      <c r="C3552" s="791" t="s">
        <v>1035</v>
      </c>
      <c r="D3552" s="792" t="s">
        <v>779</v>
      </c>
      <c r="E3552" s="793" t="s">
        <v>947</v>
      </c>
      <c r="F3552" s="793" t="s">
        <v>974</v>
      </c>
      <c r="G3552" s="793" t="s">
        <v>785</v>
      </c>
      <c r="H3552" s="793" t="s">
        <v>727</v>
      </c>
      <c r="I3552" s="794">
        <v>6.7858812391581559E-4</v>
      </c>
      <c r="J3552" s="794">
        <v>16.416858350969868</v>
      </c>
      <c r="K3552" s="771"/>
    </row>
    <row r="3553" spans="1:11" ht="18.75" customHeight="1" outlineLevel="2">
      <c r="A3553" s="791" t="s">
        <v>776</v>
      </c>
      <c r="B3553" s="791" t="s">
        <v>1038</v>
      </c>
      <c r="C3553" s="791" t="s">
        <v>1035</v>
      </c>
      <c r="D3553" s="792" t="s">
        <v>779</v>
      </c>
      <c r="E3553" s="793" t="s">
        <v>947</v>
      </c>
      <c r="F3553" s="793" t="s">
        <v>975</v>
      </c>
      <c r="G3553" s="793" t="s">
        <v>785</v>
      </c>
      <c r="H3553" s="793" t="s">
        <v>727</v>
      </c>
      <c r="I3553" s="794">
        <v>3.3770850392117954E-3</v>
      </c>
      <c r="J3553" s="794">
        <v>238.16920499610066</v>
      </c>
      <c r="K3553" s="771"/>
    </row>
    <row r="3554" spans="1:11" ht="18.75" customHeight="1" outlineLevel="2">
      <c r="A3554" s="791" t="s">
        <v>776</v>
      </c>
      <c r="B3554" s="791" t="s">
        <v>1038</v>
      </c>
      <c r="C3554" s="791" t="s">
        <v>1035</v>
      </c>
      <c r="D3554" s="792" t="s">
        <v>779</v>
      </c>
      <c r="E3554" s="793" t="s">
        <v>947</v>
      </c>
      <c r="F3554" s="793" t="s">
        <v>976</v>
      </c>
      <c r="G3554" s="793" t="s">
        <v>785</v>
      </c>
      <c r="H3554" s="793" t="s">
        <v>727</v>
      </c>
      <c r="I3554" s="794">
        <v>1.9838591787865335E-3</v>
      </c>
      <c r="J3554" s="794">
        <v>104.02740308594265</v>
      </c>
      <c r="K3554" s="771"/>
    </row>
    <row r="3555" spans="1:11" ht="18.75" customHeight="1" outlineLevel="2">
      <c r="A3555" s="791" t="s">
        <v>776</v>
      </c>
      <c r="B3555" s="791" t="s">
        <v>1038</v>
      </c>
      <c r="C3555" s="791" t="s">
        <v>1035</v>
      </c>
      <c r="D3555" s="792" t="s">
        <v>779</v>
      </c>
      <c r="E3555" s="793" t="s">
        <v>947</v>
      </c>
      <c r="F3555" s="793" t="s">
        <v>977</v>
      </c>
      <c r="G3555" s="793" t="s">
        <v>785</v>
      </c>
      <c r="H3555" s="793" t="s">
        <v>727</v>
      </c>
      <c r="I3555" s="794">
        <v>2.3482466789775582E-3</v>
      </c>
      <c r="J3555" s="794">
        <v>105.48783944479719</v>
      </c>
      <c r="K3555" s="771"/>
    </row>
    <row r="3556" spans="1:11" ht="18.75" customHeight="1" outlineLevel="2">
      <c r="A3556" s="791" t="s">
        <v>776</v>
      </c>
      <c r="B3556" s="791" t="s">
        <v>1038</v>
      </c>
      <c r="C3556" s="791" t="s">
        <v>1035</v>
      </c>
      <c r="D3556" s="792" t="s">
        <v>779</v>
      </c>
      <c r="E3556" s="793" t="s">
        <v>947</v>
      </c>
      <c r="F3556" s="793" t="s">
        <v>978</v>
      </c>
      <c r="G3556" s="793" t="s">
        <v>785</v>
      </c>
      <c r="H3556" s="793" t="s">
        <v>727</v>
      </c>
      <c r="I3556" s="794">
        <v>1.4872724689734979E-4</v>
      </c>
      <c r="J3556" s="794">
        <v>4.0682616401757556</v>
      </c>
      <c r="K3556" s="771"/>
    </row>
    <row r="3557" spans="1:11" ht="18.75" customHeight="1" outlineLevel="2">
      <c r="A3557" s="791" t="s">
        <v>776</v>
      </c>
      <c r="B3557" s="791" t="s">
        <v>1038</v>
      </c>
      <c r="C3557" s="791" t="s">
        <v>1035</v>
      </c>
      <c r="D3557" s="792" t="s">
        <v>779</v>
      </c>
      <c r="E3557" s="793" t="s">
        <v>947</v>
      </c>
      <c r="F3557" s="793" t="s">
        <v>979</v>
      </c>
      <c r="G3557" s="793" t="s">
        <v>785</v>
      </c>
      <c r="H3557" s="793" t="s">
        <v>727</v>
      </c>
      <c r="I3557" s="794">
        <v>2.2968238494033771E-2</v>
      </c>
      <c r="J3557" s="794">
        <v>754.88286552568798</v>
      </c>
      <c r="K3557" s="771"/>
    </row>
    <row r="3558" spans="1:11" ht="18.75" customHeight="1" outlineLevel="2">
      <c r="A3558" s="791" t="s">
        <v>776</v>
      </c>
      <c r="B3558" s="791" t="s">
        <v>1038</v>
      </c>
      <c r="C3558" s="791" t="s">
        <v>1035</v>
      </c>
      <c r="D3558" s="792" t="s">
        <v>779</v>
      </c>
      <c r="E3558" s="793" t="s">
        <v>947</v>
      </c>
      <c r="F3558" s="793" t="s">
        <v>980</v>
      </c>
      <c r="G3558" s="793" t="s">
        <v>785</v>
      </c>
      <c r="H3558" s="793" t="s">
        <v>727</v>
      </c>
      <c r="I3558" s="794">
        <v>1.8516694445436972E-3</v>
      </c>
      <c r="J3558" s="794">
        <v>150.10944504992764</v>
      </c>
      <c r="K3558" s="771"/>
    </row>
    <row r="3559" spans="1:11" ht="18.75" customHeight="1" outlineLevel="2">
      <c r="A3559" s="791" t="s">
        <v>776</v>
      </c>
      <c r="B3559" s="791" t="s">
        <v>1038</v>
      </c>
      <c r="C3559" s="791" t="s">
        <v>1035</v>
      </c>
      <c r="D3559" s="792" t="s">
        <v>779</v>
      </c>
      <c r="E3559" s="793" t="s">
        <v>947</v>
      </c>
      <c r="F3559" s="793" t="s">
        <v>981</v>
      </c>
      <c r="G3559" s="793" t="s">
        <v>813</v>
      </c>
      <c r="H3559" s="793" t="s">
        <v>814</v>
      </c>
      <c r="I3559" s="794">
        <v>1.4282475943470275E-6</v>
      </c>
      <c r="J3559" s="794">
        <v>3.5797431437713433E-2</v>
      </c>
      <c r="K3559" s="771"/>
    </row>
    <row r="3560" spans="1:11" ht="18.75" customHeight="1" outlineLevel="2">
      <c r="A3560" s="791" t="s">
        <v>776</v>
      </c>
      <c r="B3560" s="791" t="s">
        <v>1038</v>
      </c>
      <c r="C3560" s="791" t="s">
        <v>1035</v>
      </c>
      <c r="D3560" s="792" t="s">
        <v>779</v>
      </c>
      <c r="E3560" s="793" t="s">
        <v>947</v>
      </c>
      <c r="F3560" s="793" t="s">
        <v>983</v>
      </c>
      <c r="G3560" s="793" t="s">
        <v>813</v>
      </c>
      <c r="H3560" s="793" t="s">
        <v>814</v>
      </c>
      <c r="I3560" s="794">
        <v>1.1295502926292361E-2</v>
      </c>
      <c r="J3560" s="794">
        <v>250.93118709899517</v>
      </c>
      <c r="K3560" s="771"/>
    </row>
    <row r="3561" spans="1:11" ht="18.75" customHeight="1" outlineLevel="2">
      <c r="A3561" s="791" t="s">
        <v>776</v>
      </c>
      <c r="B3561" s="791" t="s">
        <v>1038</v>
      </c>
      <c r="C3561" s="791" t="s">
        <v>1035</v>
      </c>
      <c r="D3561" s="792" t="s">
        <v>779</v>
      </c>
      <c r="E3561" s="793" t="s">
        <v>947</v>
      </c>
      <c r="F3561" s="793" t="s">
        <v>984</v>
      </c>
      <c r="G3561" s="793" t="s">
        <v>813</v>
      </c>
      <c r="H3561" s="793" t="s">
        <v>814</v>
      </c>
      <c r="I3561" s="794">
        <v>2.9705165205286843E-3</v>
      </c>
      <c r="J3561" s="794">
        <v>51.80018872814918</v>
      </c>
      <c r="K3561" s="771"/>
    </row>
    <row r="3562" spans="1:11" ht="18.75" customHeight="1" outlineLevel="2">
      <c r="A3562" s="791" t="s">
        <v>776</v>
      </c>
      <c r="B3562" s="791" t="s">
        <v>1038</v>
      </c>
      <c r="C3562" s="791" t="s">
        <v>1035</v>
      </c>
      <c r="D3562" s="792" t="s">
        <v>779</v>
      </c>
      <c r="E3562" s="793" t="s">
        <v>947</v>
      </c>
      <c r="F3562" s="793" t="s">
        <v>985</v>
      </c>
      <c r="G3562" s="793" t="s">
        <v>813</v>
      </c>
      <c r="H3562" s="793" t="s">
        <v>814</v>
      </c>
      <c r="I3562" s="794">
        <v>7.0211358088931022E-3</v>
      </c>
      <c r="J3562" s="794">
        <v>342.06921785906349</v>
      </c>
      <c r="K3562" s="771"/>
    </row>
    <row r="3563" spans="1:11" ht="18.75" customHeight="1" outlineLevel="2">
      <c r="A3563" s="791" t="s">
        <v>776</v>
      </c>
      <c r="B3563" s="791" t="s">
        <v>1038</v>
      </c>
      <c r="C3563" s="791" t="s">
        <v>1035</v>
      </c>
      <c r="D3563" s="792" t="s">
        <v>779</v>
      </c>
      <c r="E3563" s="793" t="s">
        <v>947</v>
      </c>
      <c r="F3563" s="793" t="s">
        <v>986</v>
      </c>
      <c r="G3563" s="793" t="s">
        <v>813</v>
      </c>
      <c r="H3563" s="793" t="s">
        <v>814</v>
      </c>
      <c r="I3563" s="794">
        <v>1.2040947226674046E-3</v>
      </c>
      <c r="J3563" s="794">
        <v>40.304365898884299</v>
      </c>
      <c r="K3563" s="771"/>
    </row>
    <row r="3564" spans="1:11" ht="18.75" customHeight="1" outlineLevel="2">
      <c r="A3564" s="791" t="s">
        <v>776</v>
      </c>
      <c r="B3564" s="791" t="s">
        <v>1038</v>
      </c>
      <c r="C3564" s="791" t="s">
        <v>1035</v>
      </c>
      <c r="D3564" s="792" t="s">
        <v>779</v>
      </c>
      <c r="E3564" s="793" t="s">
        <v>947</v>
      </c>
      <c r="F3564" s="793" t="s">
        <v>987</v>
      </c>
      <c r="G3564" s="793" t="s">
        <v>813</v>
      </c>
      <c r="H3564" s="793" t="s">
        <v>814</v>
      </c>
      <c r="I3564" s="794">
        <v>3.3852959958499417E-5</v>
      </c>
      <c r="J3564" s="794">
        <v>1.0234163219410004</v>
      </c>
      <c r="K3564" s="771"/>
    </row>
    <row r="3565" spans="1:11" ht="18.75" customHeight="1" outlineLevel="2">
      <c r="A3565" s="791" t="s">
        <v>776</v>
      </c>
      <c r="B3565" s="791" t="s">
        <v>1038</v>
      </c>
      <c r="C3565" s="791" t="s">
        <v>1035</v>
      </c>
      <c r="D3565" s="792" t="s">
        <v>779</v>
      </c>
      <c r="E3565" s="793" t="s">
        <v>947</v>
      </c>
      <c r="F3565" s="793" t="s">
        <v>988</v>
      </c>
      <c r="G3565" s="793" t="s">
        <v>791</v>
      </c>
      <c r="H3565" s="793" t="s">
        <v>826</v>
      </c>
      <c r="I3565" s="794">
        <v>1.9594244561150359E-5</v>
      </c>
      <c r="J3565" s="794">
        <v>0.16747988975135586</v>
      </c>
      <c r="K3565" s="771"/>
    </row>
    <row r="3566" spans="1:11" ht="18.75" customHeight="1" outlineLevel="2">
      <c r="A3566" s="791" t="s">
        <v>776</v>
      </c>
      <c r="B3566" s="791" t="s">
        <v>1038</v>
      </c>
      <c r="C3566" s="791" t="s">
        <v>1035</v>
      </c>
      <c r="D3566" s="792" t="s">
        <v>779</v>
      </c>
      <c r="E3566" s="793" t="s">
        <v>947</v>
      </c>
      <c r="F3566" s="793" t="s">
        <v>989</v>
      </c>
      <c r="G3566" s="793" t="s">
        <v>791</v>
      </c>
      <c r="H3566" s="793" t="s">
        <v>826</v>
      </c>
      <c r="I3566" s="794">
        <v>0.11852607008931033</v>
      </c>
      <c r="J3566" s="794">
        <v>6954.1291414802654</v>
      </c>
      <c r="K3566" s="771"/>
    </row>
    <row r="3567" spans="1:11" ht="18.75" customHeight="1" outlineLevel="2">
      <c r="A3567" s="791" t="s">
        <v>776</v>
      </c>
      <c r="B3567" s="791" t="s">
        <v>1038</v>
      </c>
      <c r="C3567" s="791" t="s">
        <v>1035</v>
      </c>
      <c r="D3567" s="792" t="s">
        <v>779</v>
      </c>
      <c r="E3567" s="793" t="s">
        <v>947</v>
      </c>
      <c r="F3567" s="793" t="s">
        <v>990</v>
      </c>
      <c r="G3567" s="793" t="s">
        <v>791</v>
      </c>
      <c r="H3567" s="793" t="s">
        <v>826</v>
      </c>
      <c r="I3567" s="794">
        <v>5.6571306132116739E-3</v>
      </c>
      <c r="J3567" s="794">
        <v>623.49700378644388</v>
      </c>
      <c r="K3567" s="771"/>
    </row>
    <row r="3568" spans="1:11" ht="18.75" customHeight="1" outlineLevel="2">
      <c r="A3568" s="791" t="s">
        <v>776</v>
      </c>
      <c r="B3568" s="791" t="s">
        <v>1038</v>
      </c>
      <c r="C3568" s="791" t="s">
        <v>1035</v>
      </c>
      <c r="D3568" s="792" t="s">
        <v>779</v>
      </c>
      <c r="E3568" s="793" t="s">
        <v>947</v>
      </c>
      <c r="F3568" s="793" t="s">
        <v>991</v>
      </c>
      <c r="G3568" s="793" t="s">
        <v>791</v>
      </c>
      <c r="H3568" s="793" t="s">
        <v>826</v>
      </c>
      <c r="I3568" s="794">
        <v>4.4934997271648373E-5</v>
      </c>
      <c r="J3568" s="794">
        <v>3.4511005417912983</v>
      </c>
      <c r="K3568" s="771"/>
    </row>
    <row r="3569" spans="1:11" ht="18.75" customHeight="1" outlineLevel="2">
      <c r="A3569" s="791" t="s">
        <v>776</v>
      </c>
      <c r="B3569" s="791" t="s">
        <v>1038</v>
      </c>
      <c r="C3569" s="791" t="s">
        <v>1035</v>
      </c>
      <c r="D3569" s="792" t="s">
        <v>779</v>
      </c>
      <c r="E3569" s="793" t="s">
        <v>947</v>
      </c>
      <c r="F3569" s="793" t="s">
        <v>992</v>
      </c>
      <c r="G3569" s="793" t="s">
        <v>791</v>
      </c>
      <c r="H3569" s="793" t="s">
        <v>826</v>
      </c>
      <c r="I3569" s="794">
        <v>8.75943808120028E-6</v>
      </c>
      <c r="J3569" s="794">
        <v>0.72497091732413066</v>
      </c>
      <c r="K3569" s="771"/>
    </row>
    <row r="3570" spans="1:11" ht="18.75" customHeight="1" outlineLevel="2">
      <c r="A3570" s="791" t="s">
        <v>776</v>
      </c>
      <c r="B3570" s="791" t="s">
        <v>1038</v>
      </c>
      <c r="C3570" s="791" t="s">
        <v>1035</v>
      </c>
      <c r="D3570" s="792" t="s">
        <v>779</v>
      </c>
      <c r="E3570" s="793" t="s">
        <v>947</v>
      </c>
      <c r="F3570" s="793" t="s">
        <v>993</v>
      </c>
      <c r="G3570" s="793" t="s">
        <v>791</v>
      </c>
      <c r="H3570" s="793" t="s">
        <v>826</v>
      </c>
      <c r="I3570" s="794">
        <v>5.7505597167817574E-4</v>
      </c>
      <c r="J3570" s="794">
        <v>52.875274005611686</v>
      </c>
      <c r="K3570" s="771"/>
    </row>
    <row r="3571" spans="1:11" ht="18.75" customHeight="1" outlineLevel="2">
      <c r="A3571" s="791" t="s">
        <v>776</v>
      </c>
      <c r="B3571" s="791" t="s">
        <v>1038</v>
      </c>
      <c r="C3571" s="791" t="s">
        <v>1035</v>
      </c>
      <c r="D3571" s="792" t="s">
        <v>779</v>
      </c>
      <c r="E3571" s="793" t="s">
        <v>947</v>
      </c>
      <c r="F3571" s="793" t="s">
        <v>994</v>
      </c>
      <c r="G3571" s="793" t="s">
        <v>791</v>
      </c>
      <c r="H3571" s="793" t="s">
        <v>826</v>
      </c>
      <c r="I3571" s="794">
        <v>1.2158152706018618E-6</v>
      </c>
      <c r="J3571" s="794">
        <v>0.14628960276743561</v>
      </c>
      <c r="K3571" s="771"/>
    </row>
    <row r="3572" spans="1:11" ht="18.75" customHeight="1" outlineLevel="2">
      <c r="A3572" s="791" t="s">
        <v>776</v>
      </c>
      <c r="B3572" s="791" t="s">
        <v>1038</v>
      </c>
      <c r="C3572" s="791" t="s">
        <v>1035</v>
      </c>
      <c r="D3572" s="792" t="s">
        <v>779</v>
      </c>
      <c r="E3572" s="793" t="s">
        <v>947</v>
      </c>
      <c r="F3572" s="793" t="s">
        <v>995</v>
      </c>
      <c r="G3572" s="793" t="s">
        <v>791</v>
      </c>
      <c r="H3572" s="793" t="s">
        <v>826</v>
      </c>
      <c r="I3572" s="794">
        <v>5.1758648464041471E-4</v>
      </c>
      <c r="J3572" s="794">
        <v>48.890189212768526</v>
      </c>
      <c r="K3572" s="771"/>
    </row>
    <row r="3573" spans="1:11" ht="18.75" customHeight="1" outlineLevel="2">
      <c r="A3573" s="791" t="s">
        <v>776</v>
      </c>
      <c r="B3573" s="791" t="s">
        <v>1038</v>
      </c>
      <c r="C3573" s="791" t="s">
        <v>1035</v>
      </c>
      <c r="D3573" s="792" t="s">
        <v>779</v>
      </c>
      <c r="E3573" s="793" t="s">
        <v>947</v>
      </c>
      <c r="F3573" s="793" t="s">
        <v>996</v>
      </c>
      <c r="G3573" s="793" t="s">
        <v>791</v>
      </c>
      <c r="H3573" s="793" t="s">
        <v>826</v>
      </c>
      <c r="I3573" s="794">
        <v>1.5303360415834684E-3</v>
      </c>
      <c r="J3573" s="794">
        <v>136.0533362531929</v>
      </c>
      <c r="K3573" s="771"/>
    </row>
    <row r="3574" spans="1:11" ht="18.75" customHeight="1" outlineLevel="2">
      <c r="A3574" s="791" t="s">
        <v>776</v>
      </c>
      <c r="B3574" s="791" t="s">
        <v>1038</v>
      </c>
      <c r="C3574" s="791" t="s">
        <v>1035</v>
      </c>
      <c r="D3574" s="792" t="s">
        <v>779</v>
      </c>
      <c r="E3574" s="793" t="s">
        <v>947</v>
      </c>
      <c r="F3574" s="793" t="s">
        <v>997</v>
      </c>
      <c r="G3574" s="793" t="s">
        <v>791</v>
      </c>
      <c r="H3574" s="793" t="s">
        <v>826</v>
      </c>
      <c r="I3574" s="794">
        <v>2.3209360078278295E-3</v>
      </c>
      <c r="J3574" s="794">
        <v>100.32185487459796</v>
      </c>
      <c r="K3574" s="771"/>
    </row>
    <row r="3575" spans="1:11" ht="18.75" customHeight="1" outlineLevel="2">
      <c r="A3575" s="791" t="s">
        <v>776</v>
      </c>
      <c r="B3575" s="791" t="s">
        <v>1038</v>
      </c>
      <c r="C3575" s="791" t="s">
        <v>1035</v>
      </c>
      <c r="D3575" s="792" t="s">
        <v>779</v>
      </c>
      <c r="E3575" s="793" t="s">
        <v>947</v>
      </c>
      <c r="F3575" s="793" t="s">
        <v>998</v>
      </c>
      <c r="G3575" s="793" t="s">
        <v>794</v>
      </c>
      <c r="H3575" s="793" t="s">
        <v>828</v>
      </c>
      <c r="I3575" s="794">
        <v>1.4200447333387647E-2</v>
      </c>
      <c r="J3575" s="794">
        <v>519.26740714887228</v>
      </c>
      <c r="K3575" s="771"/>
    </row>
    <row r="3576" spans="1:11" ht="18.75" customHeight="1" outlineLevel="2">
      <c r="A3576" s="791" t="s">
        <v>776</v>
      </c>
      <c r="B3576" s="791" t="s">
        <v>1038</v>
      </c>
      <c r="C3576" s="791" t="s">
        <v>1035</v>
      </c>
      <c r="D3576" s="792" t="s">
        <v>779</v>
      </c>
      <c r="E3576" s="793" t="s">
        <v>947</v>
      </c>
      <c r="F3576" s="793" t="s">
        <v>999</v>
      </c>
      <c r="G3576" s="793" t="s">
        <v>794</v>
      </c>
      <c r="H3576" s="793" t="s">
        <v>828</v>
      </c>
      <c r="I3576" s="794">
        <v>3.3489019014408313E-3</v>
      </c>
      <c r="J3576" s="794">
        <v>122.55658401584975</v>
      </c>
      <c r="K3576" s="771"/>
    </row>
    <row r="3577" spans="1:11" ht="18.75" customHeight="1" outlineLevel="2">
      <c r="A3577" s="791" t="s">
        <v>776</v>
      </c>
      <c r="B3577" s="791" t="s">
        <v>1038</v>
      </c>
      <c r="C3577" s="791" t="s">
        <v>1035</v>
      </c>
      <c r="D3577" s="792" t="s">
        <v>779</v>
      </c>
      <c r="E3577" s="793" t="s">
        <v>947</v>
      </c>
      <c r="F3577" s="793" t="s">
        <v>1000</v>
      </c>
      <c r="G3577" s="793" t="s">
        <v>794</v>
      </c>
      <c r="H3577" s="793" t="s">
        <v>828</v>
      </c>
      <c r="I3577" s="794">
        <v>9.3989621157254243E-3</v>
      </c>
      <c r="J3577" s="794">
        <v>340.01835170568393</v>
      </c>
      <c r="K3577" s="771"/>
    </row>
    <row r="3578" spans="1:11" ht="18.75" customHeight="1" outlineLevel="2">
      <c r="A3578" s="791" t="s">
        <v>776</v>
      </c>
      <c r="B3578" s="791" t="s">
        <v>1038</v>
      </c>
      <c r="C3578" s="791" t="s">
        <v>1035</v>
      </c>
      <c r="D3578" s="792" t="s">
        <v>779</v>
      </c>
      <c r="E3578" s="793" t="s">
        <v>947</v>
      </c>
      <c r="F3578" s="793" t="s">
        <v>1001</v>
      </c>
      <c r="G3578" s="793" t="s">
        <v>794</v>
      </c>
      <c r="H3578" s="793" t="s">
        <v>828</v>
      </c>
      <c r="I3578" s="794">
        <v>7.9366401997223723E-3</v>
      </c>
      <c r="J3578" s="794">
        <v>172.63766934884009</v>
      </c>
      <c r="K3578" s="771"/>
    </row>
    <row r="3579" spans="1:11" ht="18.75" customHeight="1" outlineLevel="2">
      <c r="A3579" s="791" t="s">
        <v>776</v>
      </c>
      <c r="B3579" s="791" t="s">
        <v>1038</v>
      </c>
      <c r="C3579" s="791" t="s">
        <v>1035</v>
      </c>
      <c r="D3579" s="792" t="s">
        <v>779</v>
      </c>
      <c r="E3579" s="793" t="s">
        <v>947</v>
      </c>
      <c r="F3579" s="793" t="s">
        <v>1002</v>
      </c>
      <c r="G3579" s="793" t="s">
        <v>794</v>
      </c>
      <c r="H3579" s="793" t="s">
        <v>828</v>
      </c>
      <c r="I3579" s="794">
        <v>3.9480333273958929E-4</v>
      </c>
      <c r="J3579" s="794">
        <v>16.603412064724392</v>
      </c>
      <c r="K3579" s="771"/>
    </row>
    <row r="3580" spans="1:11" ht="18.75" customHeight="1" outlineLevel="2">
      <c r="A3580" s="791" t="s">
        <v>776</v>
      </c>
      <c r="B3580" s="791" t="s">
        <v>1038</v>
      </c>
      <c r="C3580" s="791" t="s">
        <v>1035</v>
      </c>
      <c r="D3580" s="792" t="s">
        <v>779</v>
      </c>
      <c r="E3580" s="793" t="s">
        <v>947</v>
      </c>
      <c r="F3580" s="793" t="s">
        <v>1003</v>
      </c>
      <c r="G3580" s="793" t="s">
        <v>794</v>
      </c>
      <c r="H3580" s="793" t="s">
        <v>828</v>
      </c>
      <c r="I3580" s="794">
        <v>4.5674242000886265E-4</v>
      </c>
      <c r="J3580" s="794">
        <v>14.695354088279142</v>
      </c>
      <c r="K3580" s="771"/>
    </row>
    <row r="3581" spans="1:11" ht="18.75" customHeight="1" outlineLevel="2">
      <c r="A3581" s="791" t="s">
        <v>776</v>
      </c>
      <c r="B3581" s="791" t="s">
        <v>1038</v>
      </c>
      <c r="C3581" s="791" t="s">
        <v>1035</v>
      </c>
      <c r="D3581" s="792" t="s">
        <v>779</v>
      </c>
      <c r="E3581" s="793" t="s">
        <v>947</v>
      </c>
      <c r="F3581" s="793" t="s">
        <v>1004</v>
      </c>
      <c r="G3581" s="793" t="s">
        <v>833</v>
      </c>
      <c r="H3581" s="793" t="s">
        <v>834</v>
      </c>
      <c r="I3581" s="794">
        <v>3.6869283321616614E-3</v>
      </c>
      <c r="J3581" s="794">
        <v>241.63355927953526</v>
      </c>
      <c r="K3581" s="771"/>
    </row>
    <row r="3582" spans="1:11" ht="18.75" customHeight="1" outlineLevel="2">
      <c r="A3582" s="791" t="s">
        <v>776</v>
      </c>
      <c r="B3582" s="791" t="s">
        <v>1038</v>
      </c>
      <c r="C3582" s="791" t="s">
        <v>1035</v>
      </c>
      <c r="D3582" s="792" t="s">
        <v>1010</v>
      </c>
      <c r="E3582" s="793" t="s">
        <v>662</v>
      </c>
      <c r="F3582" s="793" t="s">
        <v>1011</v>
      </c>
      <c r="G3582" s="793" t="s">
        <v>1012</v>
      </c>
      <c r="H3582" s="793" t="s">
        <v>1013</v>
      </c>
      <c r="I3582" s="794">
        <v>6.7168663537043005E-6</v>
      </c>
      <c r="J3582" s="794">
        <v>2.2739317589586434E-2</v>
      </c>
      <c r="K3582" s="771"/>
    </row>
    <row r="3583" spans="1:11" ht="18.75" customHeight="1" outlineLevel="2">
      <c r="A3583" s="791" t="s">
        <v>776</v>
      </c>
      <c r="B3583" s="791" t="s">
        <v>1038</v>
      </c>
      <c r="C3583" s="791" t="s">
        <v>1035</v>
      </c>
      <c r="D3583" s="792" t="s">
        <v>1010</v>
      </c>
      <c r="E3583" s="793" t="s">
        <v>763</v>
      </c>
      <c r="F3583" s="793" t="s">
        <v>1014</v>
      </c>
      <c r="G3583" s="793" t="s">
        <v>1012</v>
      </c>
      <c r="H3583" s="793" t="s">
        <v>913</v>
      </c>
      <c r="I3583" s="794">
        <v>7.5700773523400684E-7</v>
      </c>
      <c r="J3583" s="794">
        <v>1.2687774768287269E-2</v>
      </c>
      <c r="K3583" s="771"/>
    </row>
    <row r="3584" spans="1:11" ht="18.75" customHeight="1" outlineLevel="2">
      <c r="A3584" s="791" t="s">
        <v>776</v>
      </c>
      <c r="B3584" s="791" t="s">
        <v>1038</v>
      </c>
      <c r="C3584" s="791" t="s">
        <v>1035</v>
      </c>
      <c r="D3584" s="792" t="s">
        <v>1010</v>
      </c>
      <c r="E3584" s="793" t="s">
        <v>947</v>
      </c>
      <c r="F3584" s="793" t="s">
        <v>1015</v>
      </c>
      <c r="G3584" s="793" t="s">
        <v>1012</v>
      </c>
      <c r="H3584" s="793" t="s">
        <v>1013</v>
      </c>
      <c r="I3584" s="794">
        <v>1.3177630132675874E-5</v>
      </c>
      <c r="J3584" s="794">
        <v>0.70178737856133921</v>
      </c>
      <c r="K3584" s="771"/>
    </row>
    <row r="3585" spans="1:11" ht="18.75" customHeight="1" outlineLevel="2">
      <c r="A3585" s="791" t="s">
        <v>776</v>
      </c>
      <c r="B3585" s="791" t="s">
        <v>1039</v>
      </c>
      <c r="C3585" s="791" t="s">
        <v>778</v>
      </c>
      <c r="D3585" s="792" t="s">
        <v>779</v>
      </c>
      <c r="E3585" s="793" t="s">
        <v>780</v>
      </c>
      <c r="F3585" s="793" t="s">
        <v>781</v>
      </c>
      <c r="G3585" s="793" t="s">
        <v>782</v>
      </c>
      <c r="H3585" s="793" t="s">
        <v>783</v>
      </c>
      <c r="I3585" s="794">
        <v>5.900312691755079E-3</v>
      </c>
      <c r="J3585" s="794">
        <v>8.6794976448253083E-2</v>
      </c>
      <c r="K3585" s="771"/>
    </row>
    <row r="3586" spans="1:11" ht="18.75" customHeight="1" outlineLevel="2">
      <c r="A3586" s="791" t="s">
        <v>776</v>
      </c>
      <c r="B3586" s="791" t="s">
        <v>1039</v>
      </c>
      <c r="C3586" s="791" t="s">
        <v>778</v>
      </c>
      <c r="D3586" s="792" t="s">
        <v>779</v>
      </c>
      <c r="E3586" s="793" t="s">
        <v>780</v>
      </c>
      <c r="F3586" s="793" t="s">
        <v>784</v>
      </c>
      <c r="G3586" s="793" t="s">
        <v>785</v>
      </c>
      <c r="H3586" s="793" t="s">
        <v>783</v>
      </c>
      <c r="I3586" s="794">
        <v>0.20331477725019656</v>
      </c>
      <c r="J3586" s="794">
        <v>33.017114425486476</v>
      </c>
      <c r="K3586" s="771"/>
    </row>
    <row r="3587" spans="1:11" ht="18.75" customHeight="1" outlineLevel="2">
      <c r="A3587" s="791" t="s">
        <v>776</v>
      </c>
      <c r="B3587" s="791" t="s">
        <v>1039</v>
      </c>
      <c r="C3587" s="791" t="s">
        <v>778</v>
      </c>
      <c r="D3587" s="792" t="s">
        <v>779</v>
      </c>
      <c r="E3587" s="793" t="s">
        <v>780</v>
      </c>
      <c r="F3587" s="793" t="s">
        <v>786</v>
      </c>
      <c r="G3587" s="793" t="s">
        <v>785</v>
      </c>
      <c r="H3587" s="793" t="s">
        <v>783</v>
      </c>
      <c r="I3587" s="794">
        <v>1.6511179944742903E-4</v>
      </c>
      <c r="J3587" s="794">
        <v>2.7971333584954617E-2</v>
      </c>
      <c r="K3587" s="771"/>
    </row>
    <row r="3588" spans="1:11" ht="18.75" customHeight="1" outlineLevel="2">
      <c r="A3588" s="791" t="s">
        <v>776</v>
      </c>
      <c r="B3588" s="791" t="s">
        <v>1039</v>
      </c>
      <c r="C3588" s="791" t="s">
        <v>778</v>
      </c>
      <c r="D3588" s="792" t="s">
        <v>779</v>
      </c>
      <c r="E3588" s="793" t="s">
        <v>780</v>
      </c>
      <c r="F3588" s="793" t="s">
        <v>787</v>
      </c>
      <c r="G3588" s="793" t="s">
        <v>785</v>
      </c>
      <c r="H3588" s="793" t="s">
        <v>783</v>
      </c>
      <c r="I3588" s="794">
        <v>8.2973060518410629E-5</v>
      </c>
      <c r="J3588" s="794">
        <v>1.5242477545801606E-2</v>
      </c>
      <c r="K3588" s="771"/>
    </row>
    <row r="3589" spans="1:11" ht="18.75" customHeight="1" outlineLevel="2">
      <c r="A3589" s="791" t="s">
        <v>776</v>
      </c>
      <c r="B3589" s="791" t="s">
        <v>1039</v>
      </c>
      <c r="C3589" s="791" t="s">
        <v>778</v>
      </c>
      <c r="D3589" s="792" t="s">
        <v>779</v>
      </c>
      <c r="E3589" s="793" t="s">
        <v>780</v>
      </c>
      <c r="F3589" s="793" t="s">
        <v>788</v>
      </c>
      <c r="G3589" s="793" t="s">
        <v>785</v>
      </c>
      <c r="H3589" s="793" t="s">
        <v>783</v>
      </c>
      <c r="I3589" s="794">
        <v>3.8089185349484312E-3</v>
      </c>
      <c r="J3589" s="794">
        <v>0.60672620369778674</v>
      </c>
      <c r="K3589" s="771"/>
    </row>
    <row r="3590" spans="1:11" ht="18.75" customHeight="1" outlineLevel="2">
      <c r="A3590" s="791" t="s">
        <v>776</v>
      </c>
      <c r="B3590" s="791" t="s">
        <v>1039</v>
      </c>
      <c r="C3590" s="791" t="s">
        <v>778</v>
      </c>
      <c r="D3590" s="792" t="s">
        <v>779</v>
      </c>
      <c r="E3590" s="793" t="s">
        <v>780</v>
      </c>
      <c r="F3590" s="793" t="s">
        <v>789</v>
      </c>
      <c r="G3590" s="793" t="s">
        <v>785</v>
      </c>
      <c r="H3590" s="793" t="s">
        <v>783</v>
      </c>
      <c r="I3590" s="794">
        <v>7.5947173620246483E-4</v>
      </c>
      <c r="J3590" s="794">
        <v>0.18682367968787031</v>
      </c>
      <c r="K3590" s="771"/>
    </row>
    <row r="3591" spans="1:11" ht="18.75" customHeight="1" outlineLevel="2">
      <c r="A3591" s="791" t="s">
        <v>776</v>
      </c>
      <c r="B3591" s="791" t="s">
        <v>1039</v>
      </c>
      <c r="C3591" s="791" t="s">
        <v>778</v>
      </c>
      <c r="D3591" s="792" t="s">
        <v>779</v>
      </c>
      <c r="E3591" s="793" t="s">
        <v>780</v>
      </c>
      <c r="F3591" s="793" t="s">
        <v>790</v>
      </c>
      <c r="G3591" s="793" t="s">
        <v>791</v>
      </c>
      <c r="H3591" s="793" t="s">
        <v>783</v>
      </c>
      <c r="I3591" s="794">
        <v>3.2289229275446712E-3</v>
      </c>
      <c r="J3591" s="794">
        <v>4.2889487391146869E-2</v>
      </c>
      <c r="K3591" s="771"/>
    </row>
    <row r="3592" spans="1:11" ht="18.75" customHeight="1" outlineLevel="2">
      <c r="A3592" s="791" t="s">
        <v>776</v>
      </c>
      <c r="B3592" s="791" t="s">
        <v>1039</v>
      </c>
      <c r="C3592" s="791" t="s">
        <v>778</v>
      </c>
      <c r="D3592" s="792" t="s">
        <v>779</v>
      </c>
      <c r="E3592" s="793" t="s">
        <v>780</v>
      </c>
      <c r="F3592" s="793" t="s">
        <v>792</v>
      </c>
      <c r="G3592" s="793" t="s">
        <v>791</v>
      </c>
      <c r="H3592" s="793" t="s">
        <v>783</v>
      </c>
      <c r="I3592" s="794">
        <v>2.3967767127854922E-2</v>
      </c>
      <c r="J3592" s="794">
        <v>4.6547731300225763</v>
      </c>
      <c r="K3592" s="771"/>
    </row>
    <row r="3593" spans="1:11" ht="18.75" customHeight="1" outlineLevel="2">
      <c r="A3593" s="791" t="s">
        <v>776</v>
      </c>
      <c r="B3593" s="791" t="s">
        <v>1039</v>
      </c>
      <c r="C3593" s="791" t="s">
        <v>778</v>
      </c>
      <c r="D3593" s="792" t="s">
        <v>779</v>
      </c>
      <c r="E3593" s="793" t="s">
        <v>780</v>
      </c>
      <c r="F3593" s="793" t="s">
        <v>793</v>
      </c>
      <c r="G3593" s="793" t="s">
        <v>794</v>
      </c>
      <c r="H3593" s="793" t="s">
        <v>783</v>
      </c>
      <c r="I3593" s="794">
        <v>0.36066741003244063</v>
      </c>
      <c r="J3593" s="794">
        <v>9.3602778430873084</v>
      </c>
      <c r="K3593" s="771"/>
    </row>
    <row r="3594" spans="1:11" ht="18.75" customHeight="1" outlineLevel="2">
      <c r="A3594" s="791" t="s">
        <v>776</v>
      </c>
      <c r="B3594" s="791" t="s">
        <v>1039</v>
      </c>
      <c r="C3594" s="791" t="s">
        <v>778</v>
      </c>
      <c r="D3594" s="792" t="s">
        <v>779</v>
      </c>
      <c r="E3594" s="793" t="s">
        <v>780</v>
      </c>
      <c r="F3594" s="793" t="s">
        <v>795</v>
      </c>
      <c r="G3594" s="793" t="s">
        <v>794</v>
      </c>
      <c r="H3594" s="793" t="s">
        <v>783</v>
      </c>
      <c r="I3594" s="794">
        <v>1.0906531863519114E-2</v>
      </c>
      <c r="J3594" s="794">
        <v>0.44687560855493991</v>
      </c>
      <c r="K3594" s="771"/>
    </row>
    <row r="3595" spans="1:11" ht="18.75" customHeight="1" outlineLevel="2">
      <c r="A3595" s="791" t="s">
        <v>776</v>
      </c>
      <c r="B3595" s="791" t="s">
        <v>1039</v>
      </c>
      <c r="C3595" s="791" t="s">
        <v>778</v>
      </c>
      <c r="D3595" s="792" t="s">
        <v>779</v>
      </c>
      <c r="E3595" s="793" t="s">
        <v>780</v>
      </c>
      <c r="F3595" s="793" t="s">
        <v>796</v>
      </c>
      <c r="G3595" s="793" t="s">
        <v>794</v>
      </c>
      <c r="H3595" s="793" t="s">
        <v>783</v>
      </c>
      <c r="I3595" s="794">
        <v>5.6689482742253907E-3</v>
      </c>
      <c r="J3595" s="794">
        <v>0.6532817234719609</v>
      </c>
      <c r="K3595" s="771"/>
    </row>
    <row r="3596" spans="1:11" ht="18.75" customHeight="1" outlineLevel="2">
      <c r="A3596" s="791" t="s">
        <v>776</v>
      </c>
      <c r="B3596" s="791" t="s">
        <v>1039</v>
      </c>
      <c r="C3596" s="791" t="s">
        <v>778</v>
      </c>
      <c r="D3596" s="792" t="s">
        <v>779</v>
      </c>
      <c r="E3596" s="793" t="s">
        <v>780</v>
      </c>
      <c r="F3596" s="793" t="s">
        <v>797</v>
      </c>
      <c r="G3596" s="793" t="s">
        <v>794</v>
      </c>
      <c r="H3596" s="793" t="s">
        <v>783</v>
      </c>
      <c r="I3596" s="794">
        <v>0.11085917314687235</v>
      </c>
      <c r="J3596" s="794">
        <v>23.198992526769079</v>
      </c>
      <c r="K3596" s="771"/>
    </row>
    <row r="3597" spans="1:11" ht="18.75" customHeight="1" outlineLevel="2">
      <c r="A3597" s="791" t="s">
        <v>776</v>
      </c>
      <c r="B3597" s="791" t="s">
        <v>1039</v>
      </c>
      <c r="C3597" s="791" t="s">
        <v>778</v>
      </c>
      <c r="D3597" s="792" t="s">
        <v>779</v>
      </c>
      <c r="E3597" s="793" t="s">
        <v>662</v>
      </c>
      <c r="F3597" s="793" t="s">
        <v>798</v>
      </c>
      <c r="G3597" s="793" t="s">
        <v>799</v>
      </c>
      <c r="H3597" s="793" t="s">
        <v>800</v>
      </c>
      <c r="I3597" s="794">
        <v>0.41806155183946436</v>
      </c>
      <c r="J3597" s="794">
        <v>120.12258423272181</v>
      </c>
      <c r="K3597" s="771"/>
    </row>
    <row r="3598" spans="1:11" ht="18.75" customHeight="1" outlineLevel="2">
      <c r="A3598" s="791" t="s">
        <v>776</v>
      </c>
      <c r="B3598" s="791" t="s">
        <v>1039</v>
      </c>
      <c r="C3598" s="791" t="s">
        <v>778</v>
      </c>
      <c r="D3598" s="792" t="s">
        <v>779</v>
      </c>
      <c r="E3598" s="793" t="s">
        <v>662</v>
      </c>
      <c r="F3598" s="793" t="s">
        <v>801</v>
      </c>
      <c r="G3598" s="793" t="s">
        <v>799</v>
      </c>
      <c r="H3598" s="793" t="s">
        <v>800</v>
      </c>
      <c r="I3598" s="794">
        <v>0.12770134327772839</v>
      </c>
      <c r="J3598" s="794">
        <v>51.587854917176536</v>
      </c>
      <c r="K3598" s="771"/>
    </row>
    <row r="3599" spans="1:11" ht="18.75" customHeight="1" outlineLevel="2">
      <c r="A3599" s="791" t="s">
        <v>776</v>
      </c>
      <c r="B3599" s="791" t="s">
        <v>1039</v>
      </c>
      <c r="C3599" s="791" t="s">
        <v>778</v>
      </c>
      <c r="D3599" s="792" t="s">
        <v>779</v>
      </c>
      <c r="E3599" s="793" t="s">
        <v>662</v>
      </c>
      <c r="F3599" s="793" t="s">
        <v>802</v>
      </c>
      <c r="G3599" s="793" t="s">
        <v>799</v>
      </c>
      <c r="H3599" s="793" t="s">
        <v>800</v>
      </c>
      <c r="I3599" s="794">
        <v>5.8123756045513696E-2</v>
      </c>
      <c r="J3599" s="794">
        <v>74.751498975467854</v>
      </c>
      <c r="K3599" s="771"/>
    </row>
    <row r="3600" spans="1:11" ht="18.75" customHeight="1" outlineLevel="2">
      <c r="A3600" s="791" t="s">
        <v>776</v>
      </c>
      <c r="B3600" s="791" t="s">
        <v>1039</v>
      </c>
      <c r="C3600" s="791" t="s">
        <v>778</v>
      </c>
      <c r="D3600" s="792" t="s">
        <v>779</v>
      </c>
      <c r="E3600" s="793" t="s">
        <v>662</v>
      </c>
      <c r="F3600" s="793" t="s">
        <v>803</v>
      </c>
      <c r="G3600" s="793" t="s">
        <v>782</v>
      </c>
      <c r="H3600" s="793" t="s">
        <v>804</v>
      </c>
      <c r="I3600" s="794">
        <v>1.8238184537885525E-2</v>
      </c>
      <c r="J3600" s="794">
        <v>11.316427909423329</v>
      </c>
      <c r="K3600" s="771"/>
    </row>
    <row r="3601" spans="1:11" ht="18.75" customHeight="1" outlineLevel="2">
      <c r="A3601" s="791" t="s">
        <v>776</v>
      </c>
      <c r="B3601" s="791" t="s">
        <v>1039</v>
      </c>
      <c r="C3601" s="791" t="s">
        <v>778</v>
      </c>
      <c r="D3601" s="792" t="s">
        <v>779</v>
      </c>
      <c r="E3601" s="793" t="s">
        <v>662</v>
      </c>
      <c r="F3601" s="793" t="s">
        <v>805</v>
      </c>
      <c r="G3601" s="793" t="s">
        <v>782</v>
      </c>
      <c r="H3601" s="793" t="s">
        <v>804</v>
      </c>
      <c r="I3601" s="794">
        <v>1.5135778845208792E-3</v>
      </c>
      <c r="J3601" s="794">
        <v>0.73303498772354825</v>
      </c>
      <c r="K3601" s="771"/>
    </row>
    <row r="3602" spans="1:11" ht="18.75" customHeight="1" outlineLevel="2">
      <c r="A3602" s="791" t="s">
        <v>776</v>
      </c>
      <c r="B3602" s="791" t="s">
        <v>1039</v>
      </c>
      <c r="C3602" s="791" t="s">
        <v>778</v>
      </c>
      <c r="D3602" s="792" t="s">
        <v>779</v>
      </c>
      <c r="E3602" s="793" t="s">
        <v>662</v>
      </c>
      <c r="F3602" s="793" t="s">
        <v>806</v>
      </c>
      <c r="G3602" s="793" t="s">
        <v>782</v>
      </c>
      <c r="H3602" s="793" t="s">
        <v>804</v>
      </c>
      <c r="I3602" s="794">
        <v>1.8342567640108004E-3</v>
      </c>
      <c r="J3602" s="794">
        <v>0.87618519080111079</v>
      </c>
      <c r="K3602" s="771"/>
    </row>
    <row r="3603" spans="1:11" ht="18.75" customHeight="1" outlineLevel="2">
      <c r="A3603" s="791" t="s">
        <v>776</v>
      </c>
      <c r="B3603" s="791" t="s">
        <v>1039</v>
      </c>
      <c r="C3603" s="791" t="s">
        <v>778</v>
      </c>
      <c r="D3603" s="792" t="s">
        <v>779</v>
      </c>
      <c r="E3603" s="793" t="s">
        <v>662</v>
      </c>
      <c r="F3603" s="793" t="s">
        <v>807</v>
      </c>
      <c r="G3603" s="793" t="s">
        <v>782</v>
      </c>
      <c r="H3603" s="793" t="s">
        <v>804</v>
      </c>
      <c r="I3603" s="794">
        <v>1.3565124990354678E-5</v>
      </c>
      <c r="J3603" s="794">
        <v>6.0710208747937651E-3</v>
      </c>
      <c r="K3603" s="771"/>
    </row>
    <row r="3604" spans="1:11" ht="18.75" customHeight="1" outlineLevel="2">
      <c r="A3604" s="791" t="s">
        <v>776</v>
      </c>
      <c r="B3604" s="791" t="s">
        <v>1039</v>
      </c>
      <c r="C3604" s="791" t="s">
        <v>778</v>
      </c>
      <c r="D3604" s="792" t="s">
        <v>779</v>
      </c>
      <c r="E3604" s="793" t="s">
        <v>662</v>
      </c>
      <c r="F3604" s="793" t="s">
        <v>808</v>
      </c>
      <c r="G3604" s="793" t="s">
        <v>782</v>
      </c>
      <c r="H3604" s="793" t="s">
        <v>804</v>
      </c>
      <c r="I3604" s="794">
        <v>5.2286945043196774E-2</v>
      </c>
      <c r="J3604" s="794">
        <v>29.196204308722283</v>
      </c>
      <c r="K3604" s="771"/>
    </row>
    <row r="3605" spans="1:11" ht="18.75" customHeight="1" outlineLevel="2">
      <c r="A3605" s="791" t="s">
        <v>776</v>
      </c>
      <c r="B3605" s="791" t="s">
        <v>1039</v>
      </c>
      <c r="C3605" s="791" t="s">
        <v>778</v>
      </c>
      <c r="D3605" s="792" t="s">
        <v>779</v>
      </c>
      <c r="E3605" s="793" t="s">
        <v>662</v>
      </c>
      <c r="F3605" s="793" t="s">
        <v>809</v>
      </c>
      <c r="G3605" s="793" t="s">
        <v>782</v>
      </c>
      <c r="H3605" s="793" t="s">
        <v>804</v>
      </c>
      <c r="I3605" s="794">
        <v>3.8230522215415607E-4</v>
      </c>
      <c r="J3605" s="794">
        <v>0.17109934601278037</v>
      </c>
      <c r="K3605" s="771"/>
    </row>
    <row r="3606" spans="1:11" ht="18.75" customHeight="1" outlineLevel="2">
      <c r="A3606" s="791" t="s">
        <v>776</v>
      </c>
      <c r="B3606" s="791" t="s">
        <v>1039</v>
      </c>
      <c r="C3606" s="791" t="s">
        <v>778</v>
      </c>
      <c r="D3606" s="792" t="s">
        <v>779</v>
      </c>
      <c r="E3606" s="793" t="s">
        <v>662</v>
      </c>
      <c r="F3606" s="793" t="s">
        <v>810</v>
      </c>
      <c r="G3606" s="793" t="s">
        <v>785</v>
      </c>
      <c r="H3606" s="793" t="s">
        <v>727</v>
      </c>
      <c r="I3606" s="794">
        <v>2.0136276087889487E-4</v>
      </c>
      <c r="J3606" s="794">
        <v>9.0119269386180048E-2</v>
      </c>
      <c r="K3606" s="771"/>
    </row>
    <row r="3607" spans="1:11" ht="18.75" customHeight="1" outlineLevel="2">
      <c r="A3607" s="791" t="s">
        <v>776</v>
      </c>
      <c r="B3607" s="791" t="s">
        <v>1039</v>
      </c>
      <c r="C3607" s="791" t="s">
        <v>778</v>
      </c>
      <c r="D3607" s="792" t="s">
        <v>779</v>
      </c>
      <c r="E3607" s="793" t="s">
        <v>662</v>
      </c>
      <c r="F3607" s="793" t="s">
        <v>811</v>
      </c>
      <c r="G3607" s="793" t="s">
        <v>785</v>
      </c>
      <c r="H3607" s="793" t="s">
        <v>727</v>
      </c>
      <c r="I3607" s="794">
        <v>1.5408558518171815E-5</v>
      </c>
      <c r="J3607" s="794">
        <v>6.8960552421884411E-3</v>
      </c>
      <c r="K3607" s="771"/>
    </row>
    <row r="3608" spans="1:11" ht="18.75" customHeight="1" outlineLevel="2">
      <c r="A3608" s="791" t="s">
        <v>776</v>
      </c>
      <c r="B3608" s="791" t="s">
        <v>1039</v>
      </c>
      <c r="C3608" s="791" t="s">
        <v>778</v>
      </c>
      <c r="D3608" s="792" t="s">
        <v>779</v>
      </c>
      <c r="E3608" s="793" t="s">
        <v>662</v>
      </c>
      <c r="F3608" s="793" t="s">
        <v>812</v>
      </c>
      <c r="G3608" s="793" t="s">
        <v>813</v>
      </c>
      <c r="H3608" s="793" t="s">
        <v>814</v>
      </c>
      <c r="I3608" s="794">
        <v>5.6867834227829692E-3</v>
      </c>
      <c r="J3608" s="794">
        <v>3.1144578605332374</v>
      </c>
      <c r="K3608" s="771"/>
    </row>
    <row r="3609" spans="1:11" ht="18.75" customHeight="1" outlineLevel="2">
      <c r="A3609" s="791" t="s">
        <v>776</v>
      </c>
      <c r="B3609" s="791" t="s">
        <v>1039</v>
      </c>
      <c r="C3609" s="791" t="s">
        <v>778</v>
      </c>
      <c r="D3609" s="792" t="s">
        <v>779</v>
      </c>
      <c r="E3609" s="793" t="s">
        <v>662</v>
      </c>
      <c r="F3609" s="793" t="s">
        <v>815</v>
      </c>
      <c r="G3609" s="793" t="s">
        <v>813</v>
      </c>
      <c r="H3609" s="793" t="s">
        <v>814</v>
      </c>
      <c r="I3609" s="794">
        <v>1.8647050942954126E-2</v>
      </c>
      <c r="J3609" s="794">
        <v>10.021769400179744</v>
      </c>
      <c r="K3609" s="771"/>
    </row>
    <row r="3610" spans="1:11" ht="18.75" customHeight="1" outlineLevel="2">
      <c r="A3610" s="791" t="s">
        <v>776</v>
      </c>
      <c r="B3610" s="791" t="s">
        <v>1039</v>
      </c>
      <c r="C3610" s="791" t="s">
        <v>778</v>
      </c>
      <c r="D3610" s="792" t="s">
        <v>779</v>
      </c>
      <c r="E3610" s="793" t="s">
        <v>662</v>
      </c>
      <c r="F3610" s="793" t="s">
        <v>816</v>
      </c>
      <c r="G3610" s="793" t="s">
        <v>813</v>
      </c>
      <c r="H3610" s="793" t="s">
        <v>814</v>
      </c>
      <c r="I3610" s="794">
        <v>8.0038718841311751E-2</v>
      </c>
      <c r="J3610" s="794">
        <v>41.583876626912868</v>
      </c>
      <c r="K3610" s="771"/>
    </row>
    <row r="3611" spans="1:11" ht="18.75" customHeight="1" outlineLevel="2">
      <c r="A3611" s="791" t="s">
        <v>776</v>
      </c>
      <c r="B3611" s="791" t="s">
        <v>1039</v>
      </c>
      <c r="C3611" s="791" t="s">
        <v>778</v>
      </c>
      <c r="D3611" s="792" t="s">
        <v>779</v>
      </c>
      <c r="E3611" s="793" t="s">
        <v>662</v>
      </c>
      <c r="F3611" s="793" t="s">
        <v>817</v>
      </c>
      <c r="G3611" s="793" t="s">
        <v>813</v>
      </c>
      <c r="H3611" s="793" t="s">
        <v>814</v>
      </c>
      <c r="I3611" s="794">
        <v>0.17631860830820845</v>
      </c>
      <c r="J3611" s="794">
        <v>96.517414314892363</v>
      </c>
      <c r="K3611" s="771"/>
    </row>
    <row r="3612" spans="1:11" ht="18.75" customHeight="1" outlineLevel="2">
      <c r="A3612" s="791" t="s">
        <v>776</v>
      </c>
      <c r="B3612" s="791" t="s">
        <v>1039</v>
      </c>
      <c r="C3612" s="791" t="s">
        <v>778</v>
      </c>
      <c r="D3612" s="792" t="s">
        <v>779</v>
      </c>
      <c r="E3612" s="793" t="s">
        <v>662</v>
      </c>
      <c r="F3612" s="793" t="s">
        <v>818</v>
      </c>
      <c r="G3612" s="793" t="s">
        <v>813</v>
      </c>
      <c r="H3612" s="793" t="s">
        <v>814</v>
      </c>
      <c r="I3612" s="794">
        <v>9.8323035660544914E-2</v>
      </c>
      <c r="J3612" s="794">
        <v>57.751010186774408</v>
      </c>
      <c r="K3612" s="771"/>
    </row>
    <row r="3613" spans="1:11" ht="18.75" customHeight="1" outlineLevel="2">
      <c r="A3613" s="791" t="s">
        <v>776</v>
      </c>
      <c r="B3613" s="791" t="s">
        <v>1039</v>
      </c>
      <c r="C3613" s="791" t="s">
        <v>778</v>
      </c>
      <c r="D3613" s="792" t="s">
        <v>779</v>
      </c>
      <c r="E3613" s="793" t="s">
        <v>662</v>
      </c>
      <c r="F3613" s="793" t="s">
        <v>819</v>
      </c>
      <c r="G3613" s="793" t="s">
        <v>813</v>
      </c>
      <c r="H3613" s="793" t="s">
        <v>814</v>
      </c>
      <c r="I3613" s="794">
        <v>0.16683887319974705</v>
      </c>
      <c r="J3613" s="794">
        <v>84.343236476768126</v>
      </c>
      <c r="K3613" s="771"/>
    </row>
    <row r="3614" spans="1:11" ht="18.75" customHeight="1" outlineLevel="2">
      <c r="A3614" s="791" t="s">
        <v>776</v>
      </c>
      <c r="B3614" s="791" t="s">
        <v>1039</v>
      </c>
      <c r="C3614" s="791" t="s">
        <v>778</v>
      </c>
      <c r="D3614" s="792" t="s">
        <v>779</v>
      </c>
      <c r="E3614" s="793" t="s">
        <v>662</v>
      </c>
      <c r="F3614" s="793" t="s">
        <v>820</v>
      </c>
      <c r="G3614" s="793" t="s">
        <v>813</v>
      </c>
      <c r="H3614" s="793" t="s">
        <v>814</v>
      </c>
      <c r="I3614" s="794">
        <v>6.9302622154015781E-2</v>
      </c>
      <c r="J3614" s="794">
        <v>37.168409673806174</v>
      </c>
      <c r="K3614" s="771"/>
    </row>
    <row r="3615" spans="1:11" ht="18.75" customHeight="1" outlineLevel="2">
      <c r="A3615" s="791" t="s">
        <v>776</v>
      </c>
      <c r="B3615" s="791" t="s">
        <v>1039</v>
      </c>
      <c r="C3615" s="791" t="s">
        <v>778</v>
      </c>
      <c r="D3615" s="792" t="s">
        <v>779</v>
      </c>
      <c r="E3615" s="793" t="s">
        <v>662</v>
      </c>
      <c r="F3615" s="793" t="s">
        <v>821</v>
      </c>
      <c r="G3615" s="793" t="s">
        <v>813</v>
      </c>
      <c r="H3615" s="793" t="s">
        <v>814</v>
      </c>
      <c r="I3615" s="794">
        <v>0.14725082269008838</v>
      </c>
      <c r="J3615" s="794">
        <v>78.756427429257656</v>
      </c>
      <c r="K3615" s="771"/>
    </row>
    <row r="3616" spans="1:11" ht="18.75" customHeight="1" outlineLevel="2">
      <c r="A3616" s="791" t="s">
        <v>776</v>
      </c>
      <c r="B3616" s="791" t="s">
        <v>1039</v>
      </c>
      <c r="C3616" s="791" t="s">
        <v>778</v>
      </c>
      <c r="D3616" s="792" t="s">
        <v>779</v>
      </c>
      <c r="E3616" s="793" t="s">
        <v>662</v>
      </c>
      <c r="F3616" s="793" t="s">
        <v>822</v>
      </c>
      <c r="G3616" s="793" t="s">
        <v>813</v>
      </c>
      <c r="H3616" s="793" t="s">
        <v>814</v>
      </c>
      <c r="I3616" s="794">
        <v>0.12560374357042481</v>
      </c>
      <c r="J3616" s="794">
        <v>18.390038363633359</v>
      </c>
      <c r="K3616" s="771"/>
    </row>
    <row r="3617" spans="1:11" ht="18.75" customHeight="1" outlineLevel="2">
      <c r="A3617" s="791" t="s">
        <v>776</v>
      </c>
      <c r="B3617" s="791" t="s">
        <v>1039</v>
      </c>
      <c r="C3617" s="791" t="s">
        <v>778</v>
      </c>
      <c r="D3617" s="792" t="s">
        <v>779</v>
      </c>
      <c r="E3617" s="793" t="s">
        <v>662</v>
      </c>
      <c r="F3617" s="793" t="s">
        <v>823</v>
      </c>
      <c r="G3617" s="793" t="s">
        <v>813</v>
      </c>
      <c r="H3617" s="793" t="s">
        <v>814</v>
      </c>
      <c r="I3617" s="794">
        <v>0.19586216740287085</v>
      </c>
      <c r="J3617" s="794">
        <v>28.675995455595142</v>
      </c>
      <c r="K3617" s="771"/>
    </row>
    <row r="3618" spans="1:11" ht="18.75" customHeight="1" outlineLevel="2">
      <c r="A3618" s="791" t="s">
        <v>776</v>
      </c>
      <c r="B3618" s="791" t="s">
        <v>1039</v>
      </c>
      <c r="C3618" s="791" t="s">
        <v>778</v>
      </c>
      <c r="D3618" s="792" t="s">
        <v>779</v>
      </c>
      <c r="E3618" s="793" t="s">
        <v>662</v>
      </c>
      <c r="F3618" s="793" t="s">
        <v>824</v>
      </c>
      <c r="G3618" s="793" t="s">
        <v>813</v>
      </c>
      <c r="H3618" s="793" t="s">
        <v>814</v>
      </c>
      <c r="I3618" s="794">
        <v>8.4221735823345186E-5</v>
      </c>
      <c r="J3618" s="794">
        <v>4.2025022370379007E-2</v>
      </c>
      <c r="K3618" s="771"/>
    </row>
    <row r="3619" spans="1:11" ht="18.75" customHeight="1" outlineLevel="2">
      <c r="A3619" s="791" t="s">
        <v>776</v>
      </c>
      <c r="B3619" s="791" t="s">
        <v>1039</v>
      </c>
      <c r="C3619" s="791" t="s">
        <v>778</v>
      </c>
      <c r="D3619" s="792" t="s">
        <v>779</v>
      </c>
      <c r="E3619" s="793" t="s">
        <v>662</v>
      </c>
      <c r="F3619" s="793" t="s">
        <v>825</v>
      </c>
      <c r="G3619" s="793" t="s">
        <v>791</v>
      </c>
      <c r="H3619" s="793" t="s">
        <v>826</v>
      </c>
      <c r="I3619" s="794">
        <v>4.0098899490475506E-4</v>
      </c>
      <c r="J3619" s="794">
        <v>0.24385049166510264</v>
      </c>
      <c r="K3619" s="771"/>
    </row>
    <row r="3620" spans="1:11" ht="18.75" customHeight="1" outlineLevel="2">
      <c r="A3620" s="791" t="s">
        <v>776</v>
      </c>
      <c r="B3620" s="791" t="s">
        <v>1039</v>
      </c>
      <c r="C3620" s="791" t="s">
        <v>778</v>
      </c>
      <c r="D3620" s="792" t="s">
        <v>779</v>
      </c>
      <c r="E3620" s="793" t="s">
        <v>662</v>
      </c>
      <c r="F3620" s="793" t="s">
        <v>827</v>
      </c>
      <c r="G3620" s="793" t="s">
        <v>794</v>
      </c>
      <c r="H3620" s="793" t="s">
        <v>828</v>
      </c>
      <c r="I3620" s="794">
        <v>3.1784701153295628E-3</v>
      </c>
      <c r="J3620" s="794">
        <v>1.573690015580494</v>
      </c>
      <c r="K3620" s="771"/>
    </row>
    <row r="3621" spans="1:11" ht="18.75" customHeight="1" outlineLevel="2">
      <c r="A3621" s="791" t="s">
        <v>776</v>
      </c>
      <c r="B3621" s="791" t="s">
        <v>1039</v>
      </c>
      <c r="C3621" s="791" t="s">
        <v>778</v>
      </c>
      <c r="D3621" s="792" t="s">
        <v>779</v>
      </c>
      <c r="E3621" s="793" t="s">
        <v>662</v>
      </c>
      <c r="F3621" s="793" t="s">
        <v>829</v>
      </c>
      <c r="G3621" s="793" t="s">
        <v>794</v>
      </c>
      <c r="H3621" s="793" t="s">
        <v>828</v>
      </c>
      <c r="I3621" s="794">
        <v>2.0283677807999913E-2</v>
      </c>
      <c r="J3621" s="794">
        <v>10.498284189001629</v>
      </c>
      <c r="K3621" s="771"/>
    </row>
    <row r="3622" spans="1:11" ht="18.75" customHeight="1" outlineLevel="2">
      <c r="A3622" s="791" t="s">
        <v>776</v>
      </c>
      <c r="B3622" s="791" t="s">
        <v>1039</v>
      </c>
      <c r="C3622" s="791" t="s">
        <v>778</v>
      </c>
      <c r="D3622" s="792" t="s">
        <v>779</v>
      </c>
      <c r="E3622" s="793" t="s">
        <v>662</v>
      </c>
      <c r="F3622" s="793" t="s">
        <v>830</v>
      </c>
      <c r="G3622" s="793" t="s">
        <v>794</v>
      </c>
      <c r="H3622" s="793" t="s">
        <v>828</v>
      </c>
      <c r="I3622" s="794">
        <v>8.1357432721847507E-6</v>
      </c>
      <c r="J3622" s="794">
        <v>3.6411305988410126E-3</v>
      </c>
      <c r="K3622" s="771"/>
    </row>
    <row r="3623" spans="1:11" ht="18.75" customHeight="1" outlineLevel="2">
      <c r="A3623" s="791" t="s">
        <v>776</v>
      </c>
      <c r="B3623" s="791" t="s">
        <v>1039</v>
      </c>
      <c r="C3623" s="791" t="s">
        <v>778</v>
      </c>
      <c r="D3623" s="792" t="s">
        <v>779</v>
      </c>
      <c r="E3623" s="793" t="s">
        <v>662</v>
      </c>
      <c r="F3623" s="793" t="s">
        <v>831</v>
      </c>
      <c r="G3623" s="793" t="s">
        <v>794</v>
      </c>
      <c r="H3623" s="793" t="s">
        <v>828</v>
      </c>
      <c r="I3623" s="794">
        <v>1.419133142138497E-4</v>
      </c>
      <c r="J3623" s="794">
        <v>6.3512716759233631E-2</v>
      </c>
      <c r="K3623" s="771"/>
    </row>
    <row r="3624" spans="1:11" ht="18.75" customHeight="1" outlineLevel="2">
      <c r="A3624" s="791" t="s">
        <v>776</v>
      </c>
      <c r="B3624" s="791" t="s">
        <v>1039</v>
      </c>
      <c r="C3624" s="791" t="s">
        <v>778</v>
      </c>
      <c r="D3624" s="792" t="s">
        <v>779</v>
      </c>
      <c r="E3624" s="793" t="s">
        <v>662</v>
      </c>
      <c r="F3624" s="793" t="s">
        <v>832</v>
      </c>
      <c r="G3624" s="793" t="s">
        <v>833</v>
      </c>
      <c r="H3624" s="793" t="s">
        <v>834</v>
      </c>
      <c r="I3624" s="794">
        <v>1.5644137161293006E-2</v>
      </c>
      <c r="J3624" s="794">
        <v>9.0318037414872983</v>
      </c>
      <c r="K3624" s="771"/>
    </row>
    <row r="3625" spans="1:11" ht="18.75" customHeight="1" outlineLevel="2">
      <c r="A3625" s="791" t="s">
        <v>776</v>
      </c>
      <c r="B3625" s="791" t="s">
        <v>1039</v>
      </c>
      <c r="C3625" s="791" t="s">
        <v>778</v>
      </c>
      <c r="D3625" s="792" t="s">
        <v>779</v>
      </c>
      <c r="E3625" s="793" t="s">
        <v>662</v>
      </c>
      <c r="F3625" s="793" t="s">
        <v>835</v>
      </c>
      <c r="G3625" s="793" t="s">
        <v>799</v>
      </c>
      <c r="H3625" s="793" t="s">
        <v>800</v>
      </c>
      <c r="I3625" s="794">
        <v>7.9004158015742287E-2</v>
      </c>
      <c r="J3625" s="794">
        <v>56.022741164136811</v>
      </c>
      <c r="K3625" s="771"/>
    </row>
    <row r="3626" spans="1:11" ht="18.75" customHeight="1" outlineLevel="2">
      <c r="A3626" s="791" t="s">
        <v>776</v>
      </c>
      <c r="B3626" s="791" t="s">
        <v>1039</v>
      </c>
      <c r="C3626" s="791" t="s">
        <v>778</v>
      </c>
      <c r="D3626" s="792" t="s">
        <v>779</v>
      </c>
      <c r="E3626" s="793" t="s">
        <v>662</v>
      </c>
      <c r="F3626" s="793" t="s">
        <v>836</v>
      </c>
      <c r="G3626" s="793" t="s">
        <v>799</v>
      </c>
      <c r="H3626" s="793" t="s">
        <v>800</v>
      </c>
      <c r="I3626" s="794">
        <v>0.58220036221644145</v>
      </c>
      <c r="J3626" s="794">
        <v>532.59606065752519</v>
      </c>
      <c r="K3626" s="771"/>
    </row>
    <row r="3627" spans="1:11" ht="18.75" customHeight="1" outlineLevel="2">
      <c r="A3627" s="791" t="s">
        <v>776</v>
      </c>
      <c r="B3627" s="791" t="s">
        <v>1039</v>
      </c>
      <c r="C3627" s="791" t="s">
        <v>778</v>
      </c>
      <c r="D3627" s="792" t="s">
        <v>779</v>
      </c>
      <c r="E3627" s="793" t="s">
        <v>662</v>
      </c>
      <c r="F3627" s="793" t="s">
        <v>837</v>
      </c>
      <c r="G3627" s="793" t="s">
        <v>799</v>
      </c>
      <c r="H3627" s="793" t="s">
        <v>800</v>
      </c>
      <c r="I3627" s="794">
        <v>6.8353226346834023E-2</v>
      </c>
      <c r="J3627" s="794">
        <v>91.092781009707593</v>
      </c>
      <c r="K3627" s="771"/>
    </row>
    <row r="3628" spans="1:11" ht="18.75" customHeight="1" outlineLevel="2">
      <c r="A3628" s="791" t="s">
        <v>776</v>
      </c>
      <c r="B3628" s="791" t="s">
        <v>1039</v>
      </c>
      <c r="C3628" s="791" t="s">
        <v>778</v>
      </c>
      <c r="D3628" s="792" t="s">
        <v>779</v>
      </c>
      <c r="E3628" s="793" t="s">
        <v>662</v>
      </c>
      <c r="F3628" s="793" t="s">
        <v>838</v>
      </c>
      <c r="G3628" s="793" t="s">
        <v>799</v>
      </c>
      <c r="H3628" s="793" t="s">
        <v>800</v>
      </c>
      <c r="I3628" s="794">
        <v>7.8242163156080444E-2</v>
      </c>
      <c r="J3628" s="794">
        <v>71.434688271111</v>
      </c>
      <c r="K3628" s="771"/>
    </row>
    <row r="3629" spans="1:11" ht="18.75" customHeight="1" outlineLevel="2">
      <c r="A3629" s="791" t="s">
        <v>776</v>
      </c>
      <c r="B3629" s="791" t="s">
        <v>1039</v>
      </c>
      <c r="C3629" s="791" t="s">
        <v>778</v>
      </c>
      <c r="D3629" s="792" t="s">
        <v>779</v>
      </c>
      <c r="E3629" s="793" t="s">
        <v>662</v>
      </c>
      <c r="F3629" s="793" t="s">
        <v>839</v>
      </c>
      <c r="G3629" s="793" t="s">
        <v>782</v>
      </c>
      <c r="H3629" s="793" t="s">
        <v>804</v>
      </c>
      <c r="I3629" s="794">
        <v>6.1348212957718605E-3</v>
      </c>
      <c r="J3629" s="794">
        <v>10.031503092880012</v>
      </c>
      <c r="K3629" s="771"/>
    </row>
    <row r="3630" spans="1:11" ht="18.75" customHeight="1" outlineLevel="2">
      <c r="A3630" s="791" t="s">
        <v>776</v>
      </c>
      <c r="B3630" s="791" t="s">
        <v>1039</v>
      </c>
      <c r="C3630" s="791" t="s">
        <v>778</v>
      </c>
      <c r="D3630" s="792" t="s">
        <v>779</v>
      </c>
      <c r="E3630" s="793" t="s">
        <v>662</v>
      </c>
      <c r="F3630" s="793" t="s">
        <v>840</v>
      </c>
      <c r="G3630" s="793" t="s">
        <v>782</v>
      </c>
      <c r="H3630" s="793" t="s">
        <v>804</v>
      </c>
      <c r="I3630" s="794">
        <v>4.9019768276612365E-5</v>
      </c>
      <c r="J3630" s="794">
        <v>7.4876436493066453E-2</v>
      </c>
      <c r="K3630" s="771"/>
    </row>
    <row r="3631" spans="1:11" ht="18.75" customHeight="1" outlineLevel="2">
      <c r="A3631" s="791" t="s">
        <v>776</v>
      </c>
      <c r="B3631" s="791" t="s">
        <v>1039</v>
      </c>
      <c r="C3631" s="791" t="s">
        <v>778</v>
      </c>
      <c r="D3631" s="792" t="s">
        <v>779</v>
      </c>
      <c r="E3631" s="793" t="s">
        <v>662</v>
      </c>
      <c r="F3631" s="793" t="s">
        <v>841</v>
      </c>
      <c r="G3631" s="793" t="s">
        <v>782</v>
      </c>
      <c r="H3631" s="793" t="s">
        <v>804</v>
      </c>
      <c r="I3631" s="794">
        <v>1.3254187285625938E-2</v>
      </c>
      <c r="J3631" s="794">
        <v>18.845398020019076</v>
      </c>
      <c r="K3631" s="771"/>
    </row>
    <row r="3632" spans="1:11" ht="18.75" customHeight="1" outlineLevel="2">
      <c r="A3632" s="791" t="s">
        <v>776</v>
      </c>
      <c r="B3632" s="791" t="s">
        <v>1039</v>
      </c>
      <c r="C3632" s="791" t="s">
        <v>778</v>
      </c>
      <c r="D3632" s="792" t="s">
        <v>779</v>
      </c>
      <c r="E3632" s="793" t="s">
        <v>662</v>
      </c>
      <c r="F3632" s="793" t="s">
        <v>842</v>
      </c>
      <c r="G3632" s="793" t="s">
        <v>782</v>
      </c>
      <c r="H3632" s="793" t="s">
        <v>804</v>
      </c>
      <c r="I3632" s="794">
        <v>1.0815904609195584E-2</v>
      </c>
      <c r="J3632" s="794">
        <v>17.742625246643527</v>
      </c>
      <c r="K3632" s="771"/>
    </row>
    <row r="3633" spans="1:11" ht="18.75" customHeight="1" outlineLevel="2">
      <c r="A3633" s="791" t="s">
        <v>776</v>
      </c>
      <c r="B3633" s="791" t="s">
        <v>1039</v>
      </c>
      <c r="C3633" s="791" t="s">
        <v>778</v>
      </c>
      <c r="D3633" s="792" t="s">
        <v>779</v>
      </c>
      <c r="E3633" s="793" t="s">
        <v>662</v>
      </c>
      <c r="F3633" s="793" t="s">
        <v>843</v>
      </c>
      <c r="G3633" s="793" t="s">
        <v>782</v>
      </c>
      <c r="H3633" s="793" t="s">
        <v>804</v>
      </c>
      <c r="I3633" s="794">
        <v>2.4188179159985189E-2</v>
      </c>
      <c r="J3633" s="794">
        <v>35.408823135886799</v>
      </c>
      <c r="K3633" s="771"/>
    </row>
    <row r="3634" spans="1:11" ht="18.75" customHeight="1" outlineLevel="2">
      <c r="A3634" s="791" t="s">
        <v>776</v>
      </c>
      <c r="B3634" s="791" t="s">
        <v>1039</v>
      </c>
      <c r="C3634" s="791" t="s">
        <v>778</v>
      </c>
      <c r="D3634" s="792" t="s">
        <v>779</v>
      </c>
      <c r="E3634" s="793" t="s">
        <v>662</v>
      </c>
      <c r="F3634" s="793" t="s">
        <v>844</v>
      </c>
      <c r="G3634" s="793" t="s">
        <v>782</v>
      </c>
      <c r="H3634" s="793" t="s">
        <v>804</v>
      </c>
      <c r="I3634" s="794">
        <v>1.049328213843434E-2</v>
      </c>
      <c r="J3634" s="794">
        <v>14.909737461244953</v>
      </c>
      <c r="K3634" s="771"/>
    </row>
    <row r="3635" spans="1:11" ht="18.75" customHeight="1" outlineLevel="2">
      <c r="A3635" s="791" t="s">
        <v>776</v>
      </c>
      <c r="B3635" s="791" t="s">
        <v>1039</v>
      </c>
      <c r="C3635" s="791" t="s">
        <v>778</v>
      </c>
      <c r="D3635" s="792" t="s">
        <v>779</v>
      </c>
      <c r="E3635" s="793" t="s">
        <v>662</v>
      </c>
      <c r="F3635" s="793" t="s">
        <v>845</v>
      </c>
      <c r="G3635" s="793" t="s">
        <v>782</v>
      </c>
      <c r="H3635" s="793" t="s">
        <v>804</v>
      </c>
      <c r="I3635" s="794">
        <v>5.7147968047264661E-4</v>
      </c>
      <c r="J3635" s="794">
        <v>0.77706794800760159</v>
      </c>
      <c r="K3635" s="771"/>
    </row>
    <row r="3636" spans="1:11" ht="18.75" customHeight="1" outlineLevel="2">
      <c r="A3636" s="791" t="s">
        <v>776</v>
      </c>
      <c r="B3636" s="791" t="s">
        <v>1039</v>
      </c>
      <c r="C3636" s="791" t="s">
        <v>778</v>
      </c>
      <c r="D3636" s="792" t="s">
        <v>779</v>
      </c>
      <c r="E3636" s="793" t="s">
        <v>662</v>
      </c>
      <c r="F3636" s="793" t="s">
        <v>846</v>
      </c>
      <c r="G3636" s="793" t="s">
        <v>782</v>
      </c>
      <c r="H3636" s="793" t="s">
        <v>804</v>
      </c>
      <c r="I3636" s="794">
        <v>1.9888398478654905E-2</v>
      </c>
      <c r="J3636" s="794">
        <v>31.20149371614254</v>
      </c>
      <c r="K3636" s="771"/>
    </row>
    <row r="3637" spans="1:11" ht="18.75" customHeight="1" outlineLevel="2">
      <c r="A3637" s="791" t="s">
        <v>776</v>
      </c>
      <c r="B3637" s="791" t="s">
        <v>1039</v>
      </c>
      <c r="C3637" s="791" t="s">
        <v>778</v>
      </c>
      <c r="D3637" s="792" t="s">
        <v>779</v>
      </c>
      <c r="E3637" s="793" t="s">
        <v>662</v>
      </c>
      <c r="F3637" s="793" t="s">
        <v>847</v>
      </c>
      <c r="G3637" s="793" t="s">
        <v>782</v>
      </c>
      <c r="H3637" s="793" t="s">
        <v>804</v>
      </c>
      <c r="I3637" s="794">
        <v>9.482386853793252E-3</v>
      </c>
      <c r="J3637" s="794">
        <v>11.572073042418239</v>
      </c>
      <c r="K3637" s="771"/>
    </row>
    <row r="3638" spans="1:11" ht="18.75" customHeight="1" outlineLevel="2">
      <c r="A3638" s="791" t="s">
        <v>776</v>
      </c>
      <c r="B3638" s="791" t="s">
        <v>1039</v>
      </c>
      <c r="C3638" s="791" t="s">
        <v>778</v>
      </c>
      <c r="D3638" s="792" t="s">
        <v>779</v>
      </c>
      <c r="E3638" s="793" t="s">
        <v>662</v>
      </c>
      <c r="F3638" s="793" t="s">
        <v>848</v>
      </c>
      <c r="G3638" s="793" t="s">
        <v>782</v>
      </c>
      <c r="H3638" s="793" t="s">
        <v>804</v>
      </c>
      <c r="I3638" s="794">
        <v>4.480252212552048E-2</v>
      </c>
      <c r="J3638" s="794">
        <v>65.017102156673531</v>
      </c>
      <c r="K3638" s="771"/>
    </row>
    <row r="3639" spans="1:11" ht="18.75" customHeight="1" outlineLevel="2">
      <c r="A3639" s="791" t="s">
        <v>776</v>
      </c>
      <c r="B3639" s="791" t="s">
        <v>1039</v>
      </c>
      <c r="C3639" s="791" t="s">
        <v>778</v>
      </c>
      <c r="D3639" s="792" t="s">
        <v>779</v>
      </c>
      <c r="E3639" s="793" t="s">
        <v>662</v>
      </c>
      <c r="F3639" s="793" t="s">
        <v>849</v>
      </c>
      <c r="G3639" s="793" t="s">
        <v>782</v>
      </c>
      <c r="H3639" s="793" t="s">
        <v>804</v>
      </c>
      <c r="I3639" s="794">
        <v>2.2711599007956267E-2</v>
      </c>
      <c r="J3639" s="794">
        <v>31.222996973723678</v>
      </c>
      <c r="K3639" s="771"/>
    </row>
    <row r="3640" spans="1:11" ht="18.75" customHeight="1" outlineLevel="2">
      <c r="A3640" s="791" t="s">
        <v>776</v>
      </c>
      <c r="B3640" s="791" t="s">
        <v>1039</v>
      </c>
      <c r="C3640" s="791" t="s">
        <v>778</v>
      </c>
      <c r="D3640" s="792" t="s">
        <v>779</v>
      </c>
      <c r="E3640" s="793" t="s">
        <v>662</v>
      </c>
      <c r="F3640" s="793" t="s">
        <v>850</v>
      </c>
      <c r="G3640" s="793" t="s">
        <v>782</v>
      </c>
      <c r="H3640" s="793" t="s">
        <v>804</v>
      </c>
      <c r="I3640" s="794">
        <v>1.7965445714324458E-3</v>
      </c>
      <c r="J3640" s="794">
        <v>2.5149721448550268</v>
      </c>
      <c r="K3640" s="771"/>
    </row>
    <row r="3641" spans="1:11" ht="18.75" customHeight="1" outlineLevel="2">
      <c r="A3641" s="791" t="s">
        <v>776</v>
      </c>
      <c r="B3641" s="791" t="s">
        <v>1039</v>
      </c>
      <c r="C3641" s="791" t="s">
        <v>778</v>
      </c>
      <c r="D3641" s="792" t="s">
        <v>779</v>
      </c>
      <c r="E3641" s="793" t="s">
        <v>662</v>
      </c>
      <c r="F3641" s="793" t="s">
        <v>851</v>
      </c>
      <c r="G3641" s="793" t="s">
        <v>782</v>
      </c>
      <c r="H3641" s="793" t="s">
        <v>804</v>
      </c>
      <c r="I3641" s="794">
        <v>2.9479804150187657E-3</v>
      </c>
      <c r="J3641" s="794">
        <v>4.2232676200841155</v>
      </c>
      <c r="K3641" s="771"/>
    </row>
    <row r="3642" spans="1:11" ht="18.75" customHeight="1" outlineLevel="2">
      <c r="A3642" s="791" t="s">
        <v>776</v>
      </c>
      <c r="B3642" s="791" t="s">
        <v>1039</v>
      </c>
      <c r="C3642" s="791" t="s">
        <v>778</v>
      </c>
      <c r="D3642" s="792" t="s">
        <v>779</v>
      </c>
      <c r="E3642" s="793" t="s">
        <v>662</v>
      </c>
      <c r="F3642" s="793" t="s">
        <v>852</v>
      </c>
      <c r="G3642" s="793" t="s">
        <v>782</v>
      </c>
      <c r="H3642" s="793" t="s">
        <v>804</v>
      </c>
      <c r="I3642" s="794">
        <v>1.2914232601620515E-3</v>
      </c>
      <c r="J3642" s="794">
        <v>3.7738367807537743</v>
      </c>
      <c r="K3642" s="771"/>
    </row>
    <row r="3643" spans="1:11" ht="18.75" customHeight="1" outlineLevel="2">
      <c r="A3643" s="791" t="s">
        <v>776</v>
      </c>
      <c r="B3643" s="791" t="s">
        <v>1039</v>
      </c>
      <c r="C3643" s="791" t="s">
        <v>778</v>
      </c>
      <c r="D3643" s="792" t="s">
        <v>779</v>
      </c>
      <c r="E3643" s="793" t="s">
        <v>662</v>
      </c>
      <c r="F3643" s="793" t="s">
        <v>853</v>
      </c>
      <c r="G3643" s="793" t="s">
        <v>782</v>
      </c>
      <c r="H3643" s="793" t="s">
        <v>804</v>
      </c>
      <c r="I3643" s="794">
        <v>1.0390690878267115E-3</v>
      </c>
      <c r="J3643" s="794">
        <v>8.9508863594009309</v>
      </c>
      <c r="K3643" s="771"/>
    </row>
    <row r="3644" spans="1:11" ht="18.75" customHeight="1" outlineLevel="2">
      <c r="A3644" s="791" t="s">
        <v>776</v>
      </c>
      <c r="B3644" s="791" t="s">
        <v>1039</v>
      </c>
      <c r="C3644" s="791" t="s">
        <v>778</v>
      </c>
      <c r="D3644" s="792" t="s">
        <v>779</v>
      </c>
      <c r="E3644" s="793" t="s">
        <v>662</v>
      </c>
      <c r="F3644" s="793" t="s">
        <v>854</v>
      </c>
      <c r="G3644" s="793" t="s">
        <v>782</v>
      </c>
      <c r="H3644" s="793" t="s">
        <v>804</v>
      </c>
      <c r="I3644" s="794">
        <v>1.4135364374398786E-2</v>
      </c>
      <c r="J3644" s="794">
        <v>21.34275163010744</v>
      </c>
      <c r="K3644" s="771"/>
    </row>
    <row r="3645" spans="1:11" ht="18.75" customHeight="1" outlineLevel="2">
      <c r="A3645" s="791" t="s">
        <v>776</v>
      </c>
      <c r="B3645" s="791" t="s">
        <v>1039</v>
      </c>
      <c r="C3645" s="791" t="s">
        <v>778</v>
      </c>
      <c r="D3645" s="792" t="s">
        <v>779</v>
      </c>
      <c r="E3645" s="793" t="s">
        <v>662</v>
      </c>
      <c r="F3645" s="793" t="s">
        <v>855</v>
      </c>
      <c r="G3645" s="793" t="s">
        <v>782</v>
      </c>
      <c r="H3645" s="793" t="s">
        <v>804</v>
      </c>
      <c r="I3645" s="794">
        <v>1.0095389969157459E-2</v>
      </c>
      <c r="J3645" s="794">
        <v>14.875046119028468</v>
      </c>
      <c r="K3645" s="771"/>
    </row>
    <row r="3646" spans="1:11" ht="18.75" customHeight="1" outlineLevel="2">
      <c r="A3646" s="791" t="s">
        <v>776</v>
      </c>
      <c r="B3646" s="791" t="s">
        <v>1039</v>
      </c>
      <c r="C3646" s="791" t="s">
        <v>778</v>
      </c>
      <c r="D3646" s="792" t="s">
        <v>779</v>
      </c>
      <c r="E3646" s="793" t="s">
        <v>662</v>
      </c>
      <c r="F3646" s="793" t="s">
        <v>856</v>
      </c>
      <c r="G3646" s="793" t="s">
        <v>782</v>
      </c>
      <c r="H3646" s="793" t="s">
        <v>804</v>
      </c>
      <c r="I3646" s="794">
        <v>3.9640214871990032E-3</v>
      </c>
      <c r="J3646" s="794">
        <v>4.8740220622768344</v>
      </c>
      <c r="K3646" s="771"/>
    </row>
    <row r="3647" spans="1:11" ht="18.75" customHeight="1" outlineLevel="2">
      <c r="A3647" s="791" t="s">
        <v>776</v>
      </c>
      <c r="B3647" s="791" t="s">
        <v>1039</v>
      </c>
      <c r="C3647" s="791" t="s">
        <v>778</v>
      </c>
      <c r="D3647" s="792" t="s">
        <v>779</v>
      </c>
      <c r="E3647" s="793" t="s">
        <v>662</v>
      </c>
      <c r="F3647" s="793" t="s">
        <v>857</v>
      </c>
      <c r="G3647" s="793" t="s">
        <v>782</v>
      </c>
      <c r="H3647" s="793" t="s">
        <v>804</v>
      </c>
      <c r="I3647" s="794">
        <v>3.3012936154884287E-3</v>
      </c>
      <c r="J3647" s="794">
        <v>3.5614569721611042</v>
      </c>
      <c r="K3647" s="771"/>
    </row>
    <row r="3648" spans="1:11" ht="18.75" customHeight="1" outlineLevel="2">
      <c r="A3648" s="791" t="s">
        <v>776</v>
      </c>
      <c r="B3648" s="791" t="s">
        <v>1039</v>
      </c>
      <c r="C3648" s="791" t="s">
        <v>778</v>
      </c>
      <c r="D3648" s="792" t="s">
        <v>779</v>
      </c>
      <c r="E3648" s="793" t="s">
        <v>662</v>
      </c>
      <c r="F3648" s="793" t="s">
        <v>858</v>
      </c>
      <c r="G3648" s="793" t="s">
        <v>785</v>
      </c>
      <c r="H3648" s="793" t="s">
        <v>727</v>
      </c>
      <c r="I3648" s="794">
        <v>4.9713766082139753E-3</v>
      </c>
      <c r="J3648" s="794">
        <v>9.9892639173656335</v>
      </c>
      <c r="K3648" s="771"/>
    </row>
    <row r="3649" spans="1:11" ht="18.75" customHeight="1" outlineLevel="2">
      <c r="A3649" s="791" t="s">
        <v>776</v>
      </c>
      <c r="B3649" s="791" t="s">
        <v>1039</v>
      </c>
      <c r="C3649" s="791" t="s">
        <v>778</v>
      </c>
      <c r="D3649" s="792" t="s">
        <v>779</v>
      </c>
      <c r="E3649" s="793" t="s">
        <v>662</v>
      </c>
      <c r="F3649" s="793" t="s">
        <v>859</v>
      </c>
      <c r="G3649" s="793" t="s">
        <v>785</v>
      </c>
      <c r="H3649" s="793" t="s">
        <v>727</v>
      </c>
      <c r="I3649" s="794">
        <v>3.5709815719409989E-3</v>
      </c>
      <c r="J3649" s="794">
        <v>37.804374739201698</v>
      </c>
      <c r="K3649" s="771"/>
    </row>
    <row r="3650" spans="1:11" ht="18.75" customHeight="1" outlineLevel="2">
      <c r="A3650" s="791" t="s">
        <v>776</v>
      </c>
      <c r="B3650" s="791" t="s">
        <v>1039</v>
      </c>
      <c r="C3650" s="791" t="s">
        <v>778</v>
      </c>
      <c r="D3650" s="792" t="s">
        <v>779</v>
      </c>
      <c r="E3650" s="793" t="s">
        <v>662</v>
      </c>
      <c r="F3650" s="793" t="s">
        <v>860</v>
      </c>
      <c r="G3650" s="793" t="s">
        <v>785</v>
      </c>
      <c r="H3650" s="793" t="s">
        <v>727</v>
      </c>
      <c r="I3650" s="794">
        <v>2.9626920223378545E-3</v>
      </c>
      <c r="J3650" s="794">
        <v>8.1234768977563068</v>
      </c>
      <c r="K3650" s="771"/>
    </row>
    <row r="3651" spans="1:11" ht="18.75" customHeight="1" outlineLevel="2">
      <c r="A3651" s="791" t="s">
        <v>776</v>
      </c>
      <c r="B3651" s="791" t="s">
        <v>1039</v>
      </c>
      <c r="C3651" s="791" t="s">
        <v>778</v>
      </c>
      <c r="D3651" s="792" t="s">
        <v>779</v>
      </c>
      <c r="E3651" s="793" t="s">
        <v>662</v>
      </c>
      <c r="F3651" s="793" t="s">
        <v>861</v>
      </c>
      <c r="G3651" s="793" t="s">
        <v>785</v>
      </c>
      <c r="H3651" s="793" t="s">
        <v>727</v>
      </c>
      <c r="I3651" s="794">
        <v>1.1396113443149235E-2</v>
      </c>
      <c r="J3651" s="794">
        <v>15.258114250538398</v>
      </c>
      <c r="K3651" s="771"/>
    </row>
    <row r="3652" spans="1:11" ht="18.75" customHeight="1" outlineLevel="2">
      <c r="A3652" s="791" t="s">
        <v>776</v>
      </c>
      <c r="B3652" s="791" t="s">
        <v>1039</v>
      </c>
      <c r="C3652" s="791" t="s">
        <v>778</v>
      </c>
      <c r="D3652" s="792" t="s">
        <v>779</v>
      </c>
      <c r="E3652" s="793" t="s">
        <v>662</v>
      </c>
      <c r="F3652" s="793" t="s">
        <v>862</v>
      </c>
      <c r="G3652" s="793" t="s">
        <v>785</v>
      </c>
      <c r="H3652" s="793" t="s">
        <v>727</v>
      </c>
      <c r="I3652" s="794">
        <v>3.2158734739197686E-4</v>
      </c>
      <c r="J3652" s="794">
        <v>0.70010792900964824</v>
      </c>
      <c r="K3652" s="771"/>
    </row>
    <row r="3653" spans="1:11" ht="18.75" customHeight="1" outlineLevel="2">
      <c r="A3653" s="791" t="s">
        <v>776</v>
      </c>
      <c r="B3653" s="791" t="s">
        <v>1039</v>
      </c>
      <c r="C3653" s="791" t="s">
        <v>778</v>
      </c>
      <c r="D3653" s="792" t="s">
        <v>779</v>
      </c>
      <c r="E3653" s="793" t="s">
        <v>662</v>
      </c>
      <c r="F3653" s="793" t="s">
        <v>863</v>
      </c>
      <c r="G3653" s="793" t="s">
        <v>785</v>
      </c>
      <c r="H3653" s="793" t="s">
        <v>727</v>
      </c>
      <c r="I3653" s="794">
        <v>1.9799276087248451E-3</v>
      </c>
      <c r="J3653" s="794">
        <v>2.9480904290908763</v>
      </c>
      <c r="K3653" s="771"/>
    </row>
    <row r="3654" spans="1:11" ht="18.75" customHeight="1" outlineLevel="2">
      <c r="A3654" s="791" t="s">
        <v>776</v>
      </c>
      <c r="B3654" s="791" t="s">
        <v>1039</v>
      </c>
      <c r="C3654" s="791" t="s">
        <v>778</v>
      </c>
      <c r="D3654" s="792" t="s">
        <v>779</v>
      </c>
      <c r="E3654" s="793" t="s">
        <v>662</v>
      </c>
      <c r="F3654" s="793" t="s">
        <v>864</v>
      </c>
      <c r="G3654" s="793" t="s">
        <v>785</v>
      </c>
      <c r="H3654" s="793" t="s">
        <v>727</v>
      </c>
      <c r="I3654" s="794">
        <v>2.3407917231131305E-4</v>
      </c>
      <c r="J3654" s="794">
        <v>3.338712501899729</v>
      </c>
      <c r="K3654" s="771"/>
    </row>
    <row r="3655" spans="1:11" ht="18.75" customHeight="1" outlineLevel="2">
      <c r="A3655" s="791" t="s">
        <v>776</v>
      </c>
      <c r="B3655" s="791" t="s">
        <v>1039</v>
      </c>
      <c r="C3655" s="791" t="s">
        <v>778</v>
      </c>
      <c r="D3655" s="792" t="s">
        <v>779</v>
      </c>
      <c r="E3655" s="793" t="s">
        <v>662</v>
      </c>
      <c r="F3655" s="793" t="s">
        <v>865</v>
      </c>
      <c r="G3655" s="793" t="s">
        <v>813</v>
      </c>
      <c r="H3655" s="793" t="s">
        <v>814</v>
      </c>
      <c r="I3655" s="794">
        <v>0.49035029218095849</v>
      </c>
      <c r="J3655" s="794">
        <v>525.32726491967617</v>
      </c>
      <c r="K3655" s="771"/>
    </row>
    <row r="3656" spans="1:11" ht="18.75" customHeight="1" outlineLevel="2">
      <c r="A3656" s="791" t="s">
        <v>776</v>
      </c>
      <c r="B3656" s="791" t="s">
        <v>1039</v>
      </c>
      <c r="C3656" s="791" t="s">
        <v>778</v>
      </c>
      <c r="D3656" s="792" t="s">
        <v>779</v>
      </c>
      <c r="E3656" s="793" t="s">
        <v>662</v>
      </c>
      <c r="F3656" s="793" t="s">
        <v>866</v>
      </c>
      <c r="G3656" s="793" t="s">
        <v>813</v>
      </c>
      <c r="H3656" s="793" t="s">
        <v>814</v>
      </c>
      <c r="I3656" s="794">
        <v>0.18139717025110522</v>
      </c>
      <c r="J3656" s="794">
        <v>246.54426776907883</v>
      </c>
      <c r="K3656" s="771"/>
    </row>
    <row r="3657" spans="1:11" ht="18.75" customHeight="1" outlineLevel="2">
      <c r="A3657" s="791" t="s">
        <v>776</v>
      </c>
      <c r="B3657" s="791" t="s">
        <v>1039</v>
      </c>
      <c r="C3657" s="791" t="s">
        <v>778</v>
      </c>
      <c r="D3657" s="792" t="s">
        <v>779</v>
      </c>
      <c r="E3657" s="793" t="s">
        <v>662</v>
      </c>
      <c r="F3657" s="793" t="s">
        <v>867</v>
      </c>
      <c r="G3657" s="793" t="s">
        <v>813</v>
      </c>
      <c r="H3657" s="793" t="s">
        <v>814</v>
      </c>
      <c r="I3657" s="794">
        <v>4.2211651659210724E-2</v>
      </c>
      <c r="J3657" s="794">
        <v>45.205305571141821</v>
      </c>
      <c r="K3657" s="771"/>
    </row>
    <row r="3658" spans="1:11" ht="18.75" customHeight="1" outlineLevel="2">
      <c r="A3658" s="791" t="s">
        <v>776</v>
      </c>
      <c r="B3658" s="791" t="s">
        <v>1039</v>
      </c>
      <c r="C3658" s="791" t="s">
        <v>778</v>
      </c>
      <c r="D3658" s="792" t="s">
        <v>779</v>
      </c>
      <c r="E3658" s="793" t="s">
        <v>662</v>
      </c>
      <c r="F3658" s="793" t="s">
        <v>868</v>
      </c>
      <c r="G3658" s="793" t="s">
        <v>813</v>
      </c>
      <c r="H3658" s="793" t="s">
        <v>814</v>
      </c>
      <c r="I3658" s="794">
        <v>0.11559923607461856</v>
      </c>
      <c r="J3658" s="794">
        <v>146.24109148653289</v>
      </c>
      <c r="K3658" s="771"/>
    </row>
    <row r="3659" spans="1:11" ht="18.75" customHeight="1" outlineLevel="2">
      <c r="A3659" s="791" t="s">
        <v>776</v>
      </c>
      <c r="B3659" s="791" t="s">
        <v>1039</v>
      </c>
      <c r="C3659" s="791" t="s">
        <v>778</v>
      </c>
      <c r="D3659" s="792" t="s">
        <v>779</v>
      </c>
      <c r="E3659" s="793" t="s">
        <v>662</v>
      </c>
      <c r="F3659" s="793" t="s">
        <v>869</v>
      </c>
      <c r="G3659" s="793" t="s">
        <v>813</v>
      </c>
      <c r="H3659" s="793" t="s">
        <v>814</v>
      </c>
      <c r="I3659" s="794">
        <v>2.2995053493917493E-3</v>
      </c>
      <c r="J3659" s="794">
        <v>2.9201472634606205</v>
      </c>
      <c r="K3659" s="771"/>
    </row>
    <row r="3660" spans="1:11" ht="18.75" customHeight="1" outlineLevel="2">
      <c r="A3660" s="791" t="s">
        <v>776</v>
      </c>
      <c r="B3660" s="791" t="s">
        <v>1039</v>
      </c>
      <c r="C3660" s="791" t="s">
        <v>778</v>
      </c>
      <c r="D3660" s="792" t="s">
        <v>779</v>
      </c>
      <c r="E3660" s="793" t="s">
        <v>662</v>
      </c>
      <c r="F3660" s="793" t="s">
        <v>870</v>
      </c>
      <c r="G3660" s="793" t="s">
        <v>813</v>
      </c>
      <c r="H3660" s="793" t="s">
        <v>814</v>
      </c>
      <c r="I3660" s="794">
        <v>4.0272518765561115E-3</v>
      </c>
      <c r="J3660" s="794">
        <v>5.7105836800822356</v>
      </c>
      <c r="K3660" s="771"/>
    </row>
    <row r="3661" spans="1:11" ht="18.75" customHeight="1" outlineLevel="2">
      <c r="A3661" s="791" t="s">
        <v>776</v>
      </c>
      <c r="B3661" s="791" t="s">
        <v>1039</v>
      </c>
      <c r="C3661" s="791" t="s">
        <v>778</v>
      </c>
      <c r="D3661" s="792" t="s">
        <v>779</v>
      </c>
      <c r="E3661" s="793" t="s">
        <v>662</v>
      </c>
      <c r="F3661" s="793" t="s">
        <v>871</v>
      </c>
      <c r="G3661" s="793" t="s">
        <v>813</v>
      </c>
      <c r="H3661" s="793" t="s">
        <v>814</v>
      </c>
      <c r="I3661" s="794">
        <v>4.3794735519155489E-3</v>
      </c>
      <c r="J3661" s="794">
        <v>5.5709814115206644</v>
      </c>
      <c r="K3661" s="771"/>
    </row>
    <row r="3662" spans="1:11" ht="18.75" customHeight="1" outlineLevel="2">
      <c r="A3662" s="791" t="s">
        <v>776</v>
      </c>
      <c r="B3662" s="791" t="s">
        <v>1039</v>
      </c>
      <c r="C3662" s="791" t="s">
        <v>778</v>
      </c>
      <c r="D3662" s="792" t="s">
        <v>779</v>
      </c>
      <c r="E3662" s="793" t="s">
        <v>662</v>
      </c>
      <c r="F3662" s="793" t="s">
        <v>872</v>
      </c>
      <c r="G3662" s="793" t="s">
        <v>813</v>
      </c>
      <c r="H3662" s="793" t="s">
        <v>814</v>
      </c>
      <c r="I3662" s="794">
        <v>0.13763740242090086</v>
      </c>
      <c r="J3662" s="794">
        <v>234.33171092294606</v>
      </c>
      <c r="K3662" s="771"/>
    </row>
    <row r="3663" spans="1:11" ht="18.75" customHeight="1" outlineLevel="2">
      <c r="A3663" s="791" t="s">
        <v>776</v>
      </c>
      <c r="B3663" s="791" t="s">
        <v>1039</v>
      </c>
      <c r="C3663" s="791" t="s">
        <v>778</v>
      </c>
      <c r="D3663" s="792" t="s">
        <v>779</v>
      </c>
      <c r="E3663" s="793" t="s">
        <v>662</v>
      </c>
      <c r="F3663" s="793" t="s">
        <v>873</v>
      </c>
      <c r="G3663" s="793" t="s">
        <v>813</v>
      </c>
      <c r="H3663" s="793" t="s">
        <v>814</v>
      </c>
      <c r="I3663" s="794">
        <v>0.11114135762551541</v>
      </c>
      <c r="J3663" s="794">
        <v>59.453858742224369</v>
      </c>
      <c r="K3663" s="771"/>
    </row>
    <row r="3664" spans="1:11" ht="18.75" customHeight="1" outlineLevel="2">
      <c r="A3664" s="791" t="s">
        <v>776</v>
      </c>
      <c r="B3664" s="791" t="s">
        <v>1039</v>
      </c>
      <c r="C3664" s="791" t="s">
        <v>778</v>
      </c>
      <c r="D3664" s="792" t="s">
        <v>779</v>
      </c>
      <c r="E3664" s="793" t="s">
        <v>662</v>
      </c>
      <c r="F3664" s="793" t="s">
        <v>874</v>
      </c>
      <c r="G3664" s="793" t="s">
        <v>813</v>
      </c>
      <c r="H3664" s="793" t="s">
        <v>814</v>
      </c>
      <c r="I3664" s="794">
        <v>0.17332339314357864</v>
      </c>
      <c r="J3664" s="794">
        <v>92.706628436433974</v>
      </c>
      <c r="K3664" s="771"/>
    </row>
    <row r="3665" spans="1:11" ht="18.75" customHeight="1" outlineLevel="2">
      <c r="A3665" s="791" t="s">
        <v>776</v>
      </c>
      <c r="B3665" s="791" t="s">
        <v>1039</v>
      </c>
      <c r="C3665" s="791" t="s">
        <v>778</v>
      </c>
      <c r="D3665" s="792" t="s">
        <v>779</v>
      </c>
      <c r="E3665" s="793" t="s">
        <v>662</v>
      </c>
      <c r="F3665" s="793" t="s">
        <v>875</v>
      </c>
      <c r="G3665" s="793" t="s">
        <v>813</v>
      </c>
      <c r="H3665" s="793" t="s">
        <v>814</v>
      </c>
      <c r="I3665" s="794">
        <v>7.3062794822929711E-2</v>
      </c>
      <c r="J3665" s="794">
        <v>106.69560651544627</v>
      </c>
      <c r="K3665" s="771"/>
    </row>
    <row r="3666" spans="1:11" ht="18.75" customHeight="1" outlineLevel="2">
      <c r="A3666" s="791" t="s">
        <v>776</v>
      </c>
      <c r="B3666" s="791" t="s">
        <v>1039</v>
      </c>
      <c r="C3666" s="791" t="s">
        <v>778</v>
      </c>
      <c r="D3666" s="792" t="s">
        <v>779</v>
      </c>
      <c r="E3666" s="793" t="s">
        <v>662</v>
      </c>
      <c r="F3666" s="793" t="s">
        <v>876</v>
      </c>
      <c r="G3666" s="793" t="s">
        <v>813</v>
      </c>
      <c r="H3666" s="793" t="s">
        <v>814</v>
      </c>
      <c r="I3666" s="794">
        <v>2.0715596659278756E-2</v>
      </c>
      <c r="J3666" s="794">
        <v>31.323344061702922</v>
      </c>
      <c r="K3666" s="771"/>
    </row>
    <row r="3667" spans="1:11" ht="18.75" customHeight="1" outlineLevel="2">
      <c r="A3667" s="791" t="s">
        <v>776</v>
      </c>
      <c r="B3667" s="791" t="s">
        <v>1039</v>
      </c>
      <c r="C3667" s="791" t="s">
        <v>778</v>
      </c>
      <c r="D3667" s="792" t="s">
        <v>779</v>
      </c>
      <c r="E3667" s="793" t="s">
        <v>662</v>
      </c>
      <c r="F3667" s="793" t="s">
        <v>877</v>
      </c>
      <c r="G3667" s="793" t="s">
        <v>813</v>
      </c>
      <c r="H3667" s="793" t="s">
        <v>814</v>
      </c>
      <c r="I3667" s="794">
        <v>2.7331139637116954E-2</v>
      </c>
      <c r="J3667" s="794">
        <v>35.454950353859154</v>
      </c>
      <c r="K3667" s="771"/>
    </row>
    <row r="3668" spans="1:11" ht="18.75" customHeight="1" outlineLevel="2">
      <c r="A3668" s="791" t="s">
        <v>776</v>
      </c>
      <c r="B3668" s="791" t="s">
        <v>1039</v>
      </c>
      <c r="C3668" s="791" t="s">
        <v>778</v>
      </c>
      <c r="D3668" s="792" t="s">
        <v>779</v>
      </c>
      <c r="E3668" s="793" t="s">
        <v>662</v>
      </c>
      <c r="F3668" s="793" t="s">
        <v>878</v>
      </c>
      <c r="G3668" s="793" t="s">
        <v>813</v>
      </c>
      <c r="H3668" s="793" t="s">
        <v>814</v>
      </c>
      <c r="I3668" s="794">
        <v>1.3946035908886215E-2</v>
      </c>
      <c r="J3668" s="794">
        <v>16.83379560761686</v>
      </c>
      <c r="K3668" s="771"/>
    </row>
    <row r="3669" spans="1:11" ht="18.75" customHeight="1" outlineLevel="2">
      <c r="A3669" s="791" t="s">
        <v>776</v>
      </c>
      <c r="B3669" s="791" t="s">
        <v>1039</v>
      </c>
      <c r="C3669" s="791" t="s">
        <v>778</v>
      </c>
      <c r="D3669" s="792" t="s">
        <v>779</v>
      </c>
      <c r="E3669" s="793" t="s">
        <v>662</v>
      </c>
      <c r="F3669" s="793" t="s">
        <v>879</v>
      </c>
      <c r="G3669" s="793" t="s">
        <v>813</v>
      </c>
      <c r="H3669" s="793" t="s">
        <v>814</v>
      </c>
      <c r="I3669" s="794">
        <v>0.97712218360005509</v>
      </c>
      <c r="J3669" s="794">
        <v>1430.168171537458</v>
      </c>
      <c r="K3669" s="771"/>
    </row>
    <row r="3670" spans="1:11" ht="18.75" customHeight="1" outlineLevel="2">
      <c r="A3670" s="791" t="s">
        <v>776</v>
      </c>
      <c r="B3670" s="791" t="s">
        <v>1039</v>
      </c>
      <c r="C3670" s="791" t="s">
        <v>778</v>
      </c>
      <c r="D3670" s="792" t="s">
        <v>779</v>
      </c>
      <c r="E3670" s="793" t="s">
        <v>662</v>
      </c>
      <c r="F3670" s="793" t="s">
        <v>880</v>
      </c>
      <c r="G3670" s="793" t="s">
        <v>813</v>
      </c>
      <c r="H3670" s="793" t="s">
        <v>814</v>
      </c>
      <c r="I3670" s="794">
        <v>0.28146258492791393</v>
      </c>
      <c r="J3670" s="794">
        <v>425.68563923305879</v>
      </c>
      <c r="K3670" s="771"/>
    </row>
    <row r="3671" spans="1:11" ht="18.75" customHeight="1" outlineLevel="2">
      <c r="A3671" s="791" t="s">
        <v>776</v>
      </c>
      <c r="B3671" s="791" t="s">
        <v>1039</v>
      </c>
      <c r="C3671" s="791" t="s">
        <v>778</v>
      </c>
      <c r="D3671" s="792" t="s">
        <v>779</v>
      </c>
      <c r="E3671" s="793" t="s">
        <v>662</v>
      </c>
      <c r="F3671" s="793" t="s">
        <v>881</v>
      </c>
      <c r="G3671" s="793" t="s">
        <v>813</v>
      </c>
      <c r="H3671" s="793" t="s">
        <v>814</v>
      </c>
      <c r="I3671" s="794">
        <v>3.1495348668574868E-2</v>
      </c>
      <c r="J3671" s="794">
        <v>71.078354508990287</v>
      </c>
      <c r="K3671" s="771"/>
    </row>
    <row r="3672" spans="1:11" ht="18.75" customHeight="1" outlineLevel="2">
      <c r="A3672" s="791" t="s">
        <v>776</v>
      </c>
      <c r="B3672" s="791" t="s">
        <v>1039</v>
      </c>
      <c r="C3672" s="791" t="s">
        <v>778</v>
      </c>
      <c r="D3672" s="792" t="s">
        <v>779</v>
      </c>
      <c r="E3672" s="793" t="s">
        <v>662</v>
      </c>
      <c r="F3672" s="793" t="s">
        <v>882</v>
      </c>
      <c r="G3672" s="793" t="s">
        <v>813</v>
      </c>
      <c r="H3672" s="793" t="s">
        <v>814</v>
      </c>
      <c r="I3672" s="794">
        <v>0.86691809503976114</v>
      </c>
      <c r="J3672" s="794">
        <v>1374.1404582852433</v>
      </c>
      <c r="K3672" s="771"/>
    </row>
    <row r="3673" spans="1:11" ht="18.75" customHeight="1" outlineLevel="2">
      <c r="A3673" s="791" t="s">
        <v>776</v>
      </c>
      <c r="B3673" s="791" t="s">
        <v>1039</v>
      </c>
      <c r="C3673" s="791" t="s">
        <v>778</v>
      </c>
      <c r="D3673" s="792" t="s">
        <v>779</v>
      </c>
      <c r="E3673" s="793" t="s">
        <v>662</v>
      </c>
      <c r="F3673" s="793" t="s">
        <v>883</v>
      </c>
      <c r="G3673" s="793" t="s">
        <v>813</v>
      </c>
      <c r="H3673" s="793" t="s">
        <v>814</v>
      </c>
      <c r="I3673" s="794">
        <v>4.4484259287795147E-2</v>
      </c>
      <c r="J3673" s="794">
        <v>50.837352717596026</v>
      </c>
      <c r="K3673" s="771"/>
    </row>
    <row r="3674" spans="1:11" ht="18.75" customHeight="1" outlineLevel="2">
      <c r="A3674" s="791" t="s">
        <v>776</v>
      </c>
      <c r="B3674" s="791" t="s">
        <v>1039</v>
      </c>
      <c r="C3674" s="791" t="s">
        <v>778</v>
      </c>
      <c r="D3674" s="792" t="s">
        <v>779</v>
      </c>
      <c r="E3674" s="793" t="s">
        <v>662</v>
      </c>
      <c r="F3674" s="793" t="s">
        <v>884</v>
      </c>
      <c r="G3674" s="793" t="s">
        <v>813</v>
      </c>
      <c r="H3674" s="793" t="s">
        <v>814</v>
      </c>
      <c r="I3674" s="794">
        <v>3.6379608155493327E-2</v>
      </c>
      <c r="J3674" s="794">
        <v>42.22504322099963</v>
      </c>
      <c r="K3674" s="771"/>
    </row>
    <row r="3675" spans="1:11" ht="18.75" customHeight="1" outlineLevel="2">
      <c r="A3675" s="791" t="s">
        <v>776</v>
      </c>
      <c r="B3675" s="791" t="s">
        <v>1039</v>
      </c>
      <c r="C3675" s="791" t="s">
        <v>778</v>
      </c>
      <c r="D3675" s="792" t="s">
        <v>779</v>
      </c>
      <c r="E3675" s="793" t="s">
        <v>662</v>
      </c>
      <c r="F3675" s="793" t="s">
        <v>885</v>
      </c>
      <c r="G3675" s="793" t="s">
        <v>791</v>
      </c>
      <c r="H3675" s="793" t="s">
        <v>826</v>
      </c>
      <c r="I3675" s="794">
        <v>4.0157897303797391E-4</v>
      </c>
      <c r="J3675" s="794">
        <v>0.59318593285874421</v>
      </c>
      <c r="K3675" s="771"/>
    </row>
    <row r="3676" spans="1:11" ht="18.75" customHeight="1" outlineLevel="2">
      <c r="A3676" s="791" t="s">
        <v>776</v>
      </c>
      <c r="B3676" s="791" t="s">
        <v>1039</v>
      </c>
      <c r="C3676" s="791" t="s">
        <v>778</v>
      </c>
      <c r="D3676" s="792" t="s">
        <v>779</v>
      </c>
      <c r="E3676" s="793" t="s">
        <v>662</v>
      </c>
      <c r="F3676" s="793" t="s">
        <v>886</v>
      </c>
      <c r="G3676" s="793" t="s">
        <v>791</v>
      </c>
      <c r="H3676" s="793" t="s">
        <v>826</v>
      </c>
      <c r="I3676" s="794">
        <v>5.255449204917904E-4</v>
      </c>
      <c r="J3676" s="794">
        <v>2.2954160512057618</v>
      </c>
      <c r="K3676" s="771"/>
    </row>
    <row r="3677" spans="1:11" ht="18.75" customHeight="1" outlineLevel="2">
      <c r="A3677" s="791" t="s">
        <v>776</v>
      </c>
      <c r="B3677" s="791" t="s">
        <v>1039</v>
      </c>
      <c r="C3677" s="791" t="s">
        <v>778</v>
      </c>
      <c r="D3677" s="792" t="s">
        <v>779</v>
      </c>
      <c r="E3677" s="793" t="s">
        <v>662</v>
      </c>
      <c r="F3677" s="793" t="s">
        <v>887</v>
      </c>
      <c r="G3677" s="793" t="s">
        <v>791</v>
      </c>
      <c r="H3677" s="793" t="s">
        <v>826</v>
      </c>
      <c r="I3677" s="794">
        <v>1.9607786564260336E-5</v>
      </c>
      <c r="J3677" s="794">
        <v>1.8413219764016053E-2</v>
      </c>
      <c r="K3677" s="771"/>
    </row>
    <row r="3678" spans="1:11" ht="18.75" customHeight="1" outlineLevel="2">
      <c r="A3678" s="791" t="s">
        <v>776</v>
      </c>
      <c r="B3678" s="791" t="s">
        <v>1039</v>
      </c>
      <c r="C3678" s="791" t="s">
        <v>778</v>
      </c>
      <c r="D3678" s="792" t="s">
        <v>779</v>
      </c>
      <c r="E3678" s="793" t="s">
        <v>662</v>
      </c>
      <c r="F3678" s="793" t="s">
        <v>888</v>
      </c>
      <c r="G3678" s="793" t="s">
        <v>791</v>
      </c>
      <c r="H3678" s="793" t="s">
        <v>826</v>
      </c>
      <c r="I3678" s="794">
        <v>1.7587866277912752E-3</v>
      </c>
      <c r="J3678" s="794">
        <v>1.6483460635175677</v>
      </c>
      <c r="K3678" s="771"/>
    </row>
    <row r="3679" spans="1:11" ht="18.75" customHeight="1" outlineLevel="2">
      <c r="A3679" s="791" t="s">
        <v>776</v>
      </c>
      <c r="B3679" s="791" t="s">
        <v>1039</v>
      </c>
      <c r="C3679" s="791" t="s">
        <v>778</v>
      </c>
      <c r="D3679" s="792" t="s">
        <v>779</v>
      </c>
      <c r="E3679" s="793" t="s">
        <v>662</v>
      </c>
      <c r="F3679" s="793" t="s">
        <v>889</v>
      </c>
      <c r="G3679" s="793" t="s">
        <v>791</v>
      </c>
      <c r="H3679" s="793" t="s">
        <v>826</v>
      </c>
      <c r="I3679" s="794">
        <v>3.3786390245793096E-4</v>
      </c>
      <c r="J3679" s="794">
        <v>0.48768890139831411</v>
      </c>
      <c r="K3679" s="771"/>
    </row>
    <row r="3680" spans="1:11" ht="18.75" customHeight="1" outlineLevel="2">
      <c r="A3680" s="791" t="s">
        <v>776</v>
      </c>
      <c r="B3680" s="791" t="s">
        <v>1039</v>
      </c>
      <c r="C3680" s="791" t="s">
        <v>778</v>
      </c>
      <c r="D3680" s="792" t="s">
        <v>779</v>
      </c>
      <c r="E3680" s="793" t="s">
        <v>662</v>
      </c>
      <c r="F3680" s="793" t="s">
        <v>890</v>
      </c>
      <c r="G3680" s="793" t="s">
        <v>791</v>
      </c>
      <c r="H3680" s="793" t="s">
        <v>826</v>
      </c>
      <c r="I3680" s="794">
        <v>4.8291515449243577E-3</v>
      </c>
      <c r="J3680" s="794">
        <v>5.4035678629075532</v>
      </c>
      <c r="K3680" s="771"/>
    </row>
    <row r="3681" spans="1:11" ht="18.75" customHeight="1" outlineLevel="2">
      <c r="A3681" s="791" t="s">
        <v>776</v>
      </c>
      <c r="B3681" s="791" t="s">
        <v>1039</v>
      </c>
      <c r="C3681" s="791" t="s">
        <v>778</v>
      </c>
      <c r="D3681" s="792" t="s">
        <v>779</v>
      </c>
      <c r="E3681" s="793" t="s">
        <v>662</v>
      </c>
      <c r="F3681" s="793" t="s">
        <v>891</v>
      </c>
      <c r="G3681" s="793" t="s">
        <v>791</v>
      </c>
      <c r="H3681" s="793" t="s">
        <v>826</v>
      </c>
      <c r="I3681" s="794">
        <v>2.4727324726831864E-2</v>
      </c>
      <c r="J3681" s="794">
        <v>12.114243064285359</v>
      </c>
      <c r="K3681" s="771"/>
    </row>
    <row r="3682" spans="1:11" ht="18.75" customHeight="1" outlineLevel="2">
      <c r="A3682" s="791" t="s">
        <v>776</v>
      </c>
      <c r="B3682" s="791" t="s">
        <v>1039</v>
      </c>
      <c r="C3682" s="791" t="s">
        <v>778</v>
      </c>
      <c r="D3682" s="792" t="s">
        <v>779</v>
      </c>
      <c r="E3682" s="793" t="s">
        <v>662</v>
      </c>
      <c r="F3682" s="793" t="s">
        <v>892</v>
      </c>
      <c r="G3682" s="793" t="s">
        <v>791</v>
      </c>
      <c r="H3682" s="793" t="s">
        <v>826</v>
      </c>
      <c r="I3682" s="794">
        <v>2.785377283828354E-3</v>
      </c>
      <c r="J3682" s="794">
        <v>2.6104740994128024</v>
      </c>
      <c r="K3682" s="771"/>
    </row>
    <row r="3683" spans="1:11" ht="18.75" customHeight="1" outlineLevel="2">
      <c r="A3683" s="791" t="s">
        <v>776</v>
      </c>
      <c r="B3683" s="791" t="s">
        <v>1039</v>
      </c>
      <c r="C3683" s="791" t="s">
        <v>778</v>
      </c>
      <c r="D3683" s="792" t="s">
        <v>779</v>
      </c>
      <c r="E3683" s="793" t="s">
        <v>662</v>
      </c>
      <c r="F3683" s="793" t="s">
        <v>893</v>
      </c>
      <c r="G3683" s="793" t="s">
        <v>791</v>
      </c>
      <c r="H3683" s="793" t="s">
        <v>826</v>
      </c>
      <c r="I3683" s="794">
        <v>3.6564004402390663E-3</v>
      </c>
      <c r="J3683" s="794">
        <v>3.7252403817677617</v>
      </c>
      <c r="K3683" s="771"/>
    </row>
    <row r="3684" spans="1:11" ht="18.75" customHeight="1" outlineLevel="2">
      <c r="A3684" s="791" t="s">
        <v>776</v>
      </c>
      <c r="B3684" s="791" t="s">
        <v>1039</v>
      </c>
      <c r="C3684" s="791" t="s">
        <v>778</v>
      </c>
      <c r="D3684" s="792" t="s">
        <v>779</v>
      </c>
      <c r="E3684" s="793" t="s">
        <v>662</v>
      </c>
      <c r="F3684" s="793" t="s">
        <v>894</v>
      </c>
      <c r="G3684" s="793" t="s">
        <v>791</v>
      </c>
      <c r="H3684" s="793" t="s">
        <v>826</v>
      </c>
      <c r="I3684" s="794">
        <v>4.3788803313593323E-4</v>
      </c>
      <c r="J3684" s="794">
        <v>3.9811873053481781</v>
      </c>
      <c r="K3684" s="771"/>
    </row>
    <row r="3685" spans="1:11" ht="18.75" customHeight="1" outlineLevel="2">
      <c r="A3685" s="791" t="s">
        <v>776</v>
      </c>
      <c r="B3685" s="791" t="s">
        <v>1039</v>
      </c>
      <c r="C3685" s="791" t="s">
        <v>778</v>
      </c>
      <c r="D3685" s="792" t="s">
        <v>779</v>
      </c>
      <c r="E3685" s="793" t="s">
        <v>662</v>
      </c>
      <c r="F3685" s="793" t="s">
        <v>895</v>
      </c>
      <c r="G3685" s="793" t="s">
        <v>794</v>
      </c>
      <c r="H3685" s="793" t="s">
        <v>828</v>
      </c>
      <c r="I3685" s="794">
        <v>0.23292745067926995</v>
      </c>
      <c r="J3685" s="794">
        <v>323.80602477582107</v>
      </c>
      <c r="K3685" s="771"/>
    </row>
    <row r="3686" spans="1:11" ht="18.75" customHeight="1" outlineLevel="2">
      <c r="A3686" s="791" t="s">
        <v>776</v>
      </c>
      <c r="B3686" s="791" t="s">
        <v>1039</v>
      </c>
      <c r="C3686" s="791" t="s">
        <v>778</v>
      </c>
      <c r="D3686" s="792" t="s">
        <v>779</v>
      </c>
      <c r="E3686" s="793" t="s">
        <v>662</v>
      </c>
      <c r="F3686" s="793" t="s">
        <v>896</v>
      </c>
      <c r="G3686" s="793" t="s">
        <v>794</v>
      </c>
      <c r="H3686" s="793" t="s">
        <v>828</v>
      </c>
      <c r="I3686" s="794">
        <v>5.4713063381966243E-2</v>
      </c>
      <c r="J3686" s="794">
        <v>81.013371936111653</v>
      </c>
      <c r="K3686" s="771"/>
    </row>
    <row r="3687" spans="1:11" ht="18.75" customHeight="1" outlineLevel="2">
      <c r="A3687" s="791" t="s">
        <v>776</v>
      </c>
      <c r="B3687" s="791" t="s">
        <v>1039</v>
      </c>
      <c r="C3687" s="791" t="s">
        <v>778</v>
      </c>
      <c r="D3687" s="792" t="s">
        <v>779</v>
      </c>
      <c r="E3687" s="793" t="s">
        <v>662</v>
      </c>
      <c r="F3687" s="793" t="s">
        <v>897</v>
      </c>
      <c r="G3687" s="793" t="s">
        <v>794</v>
      </c>
      <c r="H3687" s="793" t="s">
        <v>828</v>
      </c>
      <c r="I3687" s="794">
        <v>2.524016903465947E-2</v>
      </c>
      <c r="J3687" s="794">
        <v>42.837199309794741</v>
      </c>
      <c r="K3687" s="771"/>
    </row>
    <row r="3688" spans="1:11" ht="18.75" customHeight="1" outlineLevel="2">
      <c r="A3688" s="791" t="s">
        <v>776</v>
      </c>
      <c r="B3688" s="791" t="s">
        <v>1039</v>
      </c>
      <c r="C3688" s="791" t="s">
        <v>778</v>
      </c>
      <c r="D3688" s="792" t="s">
        <v>779</v>
      </c>
      <c r="E3688" s="793" t="s">
        <v>662</v>
      </c>
      <c r="F3688" s="793" t="s">
        <v>898</v>
      </c>
      <c r="G3688" s="793" t="s">
        <v>794</v>
      </c>
      <c r="H3688" s="793" t="s">
        <v>828</v>
      </c>
      <c r="I3688" s="794">
        <v>5.8158578516520613E-2</v>
      </c>
      <c r="J3688" s="794">
        <v>92.088379514779845</v>
      </c>
      <c r="K3688" s="771"/>
    </row>
    <row r="3689" spans="1:11" ht="18.75" customHeight="1" outlineLevel="2">
      <c r="A3689" s="791" t="s">
        <v>776</v>
      </c>
      <c r="B3689" s="791" t="s">
        <v>1039</v>
      </c>
      <c r="C3689" s="791" t="s">
        <v>778</v>
      </c>
      <c r="D3689" s="792" t="s">
        <v>779</v>
      </c>
      <c r="E3689" s="793" t="s">
        <v>662</v>
      </c>
      <c r="F3689" s="793" t="s">
        <v>899</v>
      </c>
      <c r="G3689" s="793" t="s">
        <v>794</v>
      </c>
      <c r="H3689" s="793" t="s">
        <v>828</v>
      </c>
      <c r="I3689" s="794">
        <v>0.10245346318794211</v>
      </c>
      <c r="J3689" s="794">
        <v>145.49721464953342</v>
      </c>
      <c r="K3689" s="771"/>
    </row>
    <row r="3690" spans="1:11" ht="18.75" customHeight="1" outlineLevel="2">
      <c r="A3690" s="791" t="s">
        <v>776</v>
      </c>
      <c r="B3690" s="791" t="s">
        <v>1039</v>
      </c>
      <c r="C3690" s="791" t="s">
        <v>778</v>
      </c>
      <c r="D3690" s="792" t="s">
        <v>779</v>
      </c>
      <c r="E3690" s="793" t="s">
        <v>662</v>
      </c>
      <c r="F3690" s="793" t="s">
        <v>900</v>
      </c>
      <c r="G3690" s="793" t="s">
        <v>794</v>
      </c>
      <c r="H3690" s="793" t="s">
        <v>828</v>
      </c>
      <c r="I3690" s="794">
        <v>4.7464006387210426E-3</v>
      </c>
      <c r="J3690" s="794">
        <v>6.8264871292319365</v>
      </c>
      <c r="K3690" s="771"/>
    </row>
    <row r="3691" spans="1:11" ht="18.75" customHeight="1" outlineLevel="2">
      <c r="A3691" s="791" t="s">
        <v>776</v>
      </c>
      <c r="B3691" s="791" t="s">
        <v>1039</v>
      </c>
      <c r="C3691" s="791" t="s">
        <v>778</v>
      </c>
      <c r="D3691" s="792" t="s">
        <v>779</v>
      </c>
      <c r="E3691" s="793" t="s">
        <v>662</v>
      </c>
      <c r="F3691" s="793" t="s">
        <v>901</v>
      </c>
      <c r="G3691" s="793" t="s">
        <v>833</v>
      </c>
      <c r="H3691" s="793" t="s">
        <v>834</v>
      </c>
      <c r="I3691" s="794">
        <v>2.0800300589940972E-2</v>
      </c>
      <c r="J3691" s="794">
        <v>21.76522422067691</v>
      </c>
      <c r="K3691" s="771"/>
    </row>
    <row r="3692" spans="1:11" ht="18.75" customHeight="1" outlineLevel="2">
      <c r="A3692" s="791" t="s">
        <v>776</v>
      </c>
      <c r="B3692" s="791" t="s">
        <v>1039</v>
      </c>
      <c r="C3692" s="791" t="s">
        <v>778</v>
      </c>
      <c r="D3692" s="792" t="s">
        <v>779</v>
      </c>
      <c r="E3692" s="793" t="s">
        <v>662</v>
      </c>
      <c r="F3692" s="793" t="s">
        <v>902</v>
      </c>
      <c r="G3692" s="793" t="s">
        <v>833</v>
      </c>
      <c r="H3692" s="793" t="s">
        <v>834</v>
      </c>
      <c r="I3692" s="794">
        <v>1.8105351872091044E-4</v>
      </c>
      <c r="J3692" s="794">
        <v>0.23196598916863426</v>
      </c>
      <c r="K3692" s="771"/>
    </row>
    <row r="3693" spans="1:11" ht="18.75" customHeight="1" outlineLevel="2">
      <c r="A3693" s="791" t="s">
        <v>776</v>
      </c>
      <c r="B3693" s="791" t="s">
        <v>1039</v>
      </c>
      <c r="C3693" s="791" t="s">
        <v>778</v>
      </c>
      <c r="D3693" s="792" t="s">
        <v>779</v>
      </c>
      <c r="E3693" s="793" t="s">
        <v>662</v>
      </c>
      <c r="F3693" s="793" t="s">
        <v>903</v>
      </c>
      <c r="G3693" s="793" t="s">
        <v>904</v>
      </c>
      <c r="H3693" s="793" t="s">
        <v>905</v>
      </c>
      <c r="I3693" s="794">
        <v>10.947481330810033</v>
      </c>
      <c r="J3693" s="794">
        <v>9314.3215278007647</v>
      </c>
      <c r="K3693" s="771"/>
    </row>
    <row r="3694" spans="1:11" ht="18.75" customHeight="1" outlineLevel="2">
      <c r="A3694" s="791" t="s">
        <v>776</v>
      </c>
      <c r="B3694" s="791" t="s">
        <v>1039</v>
      </c>
      <c r="C3694" s="791" t="s">
        <v>778</v>
      </c>
      <c r="D3694" s="792" t="s">
        <v>779</v>
      </c>
      <c r="E3694" s="793" t="s">
        <v>662</v>
      </c>
      <c r="F3694" s="793" t="s">
        <v>906</v>
      </c>
      <c r="G3694" s="793" t="s">
        <v>904</v>
      </c>
      <c r="H3694" s="793" t="s">
        <v>905</v>
      </c>
      <c r="I3694" s="794">
        <v>4.6079349611593674</v>
      </c>
      <c r="J3694" s="794">
        <v>3931.0762416086309</v>
      </c>
      <c r="K3694" s="771"/>
    </row>
    <row r="3695" spans="1:11" ht="18.75" customHeight="1" outlineLevel="2">
      <c r="A3695" s="791" t="s">
        <v>776</v>
      </c>
      <c r="B3695" s="791" t="s">
        <v>1039</v>
      </c>
      <c r="C3695" s="791" t="s">
        <v>778</v>
      </c>
      <c r="D3695" s="792" t="s">
        <v>779</v>
      </c>
      <c r="E3695" s="793" t="s">
        <v>662</v>
      </c>
      <c r="F3695" s="793" t="s">
        <v>907</v>
      </c>
      <c r="G3695" s="793" t="s">
        <v>908</v>
      </c>
      <c r="H3695" s="793" t="s">
        <v>905</v>
      </c>
      <c r="I3695" s="794">
        <v>5.6629919985409947</v>
      </c>
      <c r="J3695" s="794">
        <v>9528.5971355876445</v>
      </c>
      <c r="K3695" s="771"/>
    </row>
    <row r="3696" spans="1:11" ht="18.75" customHeight="1" outlineLevel="2">
      <c r="A3696" s="791" t="s">
        <v>776</v>
      </c>
      <c r="B3696" s="791" t="s">
        <v>1039</v>
      </c>
      <c r="C3696" s="791" t="s">
        <v>778</v>
      </c>
      <c r="D3696" s="792" t="s">
        <v>779</v>
      </c>
      <c r="E3696" s="793" t="s">
        <v>763</v>
      </c>
      <c r="F3696" s="793" t="s">
        <v>912</v>
      </c>
      <c r="G3696" s="793" t="s">
        <v>799</v>
      </c>
      <c r="H3696" s="793" t="s">
        <v>913</v>
      </c>
      <c r="I3696" s="794">
        <v>2.5635391213453731E-3</v>
      </c>
      <c r="J3696" s="794">
        <v>4.9093023139256751</v>
      </c>
      <c r="K3696" s="771"/>
    </row>
    <row r="3697" spans="1:11" ht="18.75" customHeight="1" outlineLevel="2">
      <c r="A3697" s="791" t="s">
        <v>776</v>
      </c>
      <c r="B3697" s="791" t="s">
        <v>1039</v>
      </c>
      <c r="C3697" s="791" t="s">
        <v>778</v>
      </c>
      <c r="D3697" s="792" t="s">
        <v>779</v>
      </c>
      <c r="E3697" s="793" t="s">
        <v>763</v>
      </c>
      <c r="F3697" s="793" t="s">
        <v>914</v>
      </c>
      <c r="G3697" s="793" t="s">
        <v>782</v>
      </c>
      <c r="H3697" s="793" t="s">
        <v>913</v>
      </c>
      <c r="I3697" s="794">
        <v>3.16056304905296E-4</v>
      </c>
      <c r="J3697" s="794">
        <v>1.4712407688977247</v>
      </c>
      <c r="K3697" s="771"/>
    </row>
    <row r="3698" spans="1:11" ht="18.75" customHeight="1" outlineLevel="2">
      <c r="A3698" s="791" t="s">
        <v>776</v>
      </c>
      <c r="B3698" s="791" t="s">
        <v>1039</v>
      </c>
      <c r="C3698" s="791" t="s">
        <v>778</v>
      </c>
      <c r="D3698" s="792" t="s">
        <v>779</v>
      </c>
      <c r="E3698" s="793" t="s">
        <v>763</v>
      </c>
      <c r="F3698" s="793" t="s">
        <v>915</v>
      </c>
      <c r="G3698" s="793" t="s">
        <v>782</v>
      </c>
      <c r="H3698" s="793" t="s">
        <v>913</v>
      </c>
      <c r="I3698" s="794">
        <v>1.6951116490840728E-4</v>
      </c>
      <c r="J3698" s="794">
        <v>2.4604304372099746</v>
      </c>
      <c r="K3698" s="771"/>
    </row>
    <row r="3699" spans="1:11" ht="18.75" customHeight="1" outlineLevel="2">
      <c r="A3699" s="791" t="s">
        <v>776</v>
      </c>
      <c r="B3699" s="791" t="s">
        <v>1039</v>
      </c>
      <c r="C3699" s="791" t="s">
        <v>778</v>
      </c>
      <c r="D3699" s="792" t="s">
        <v>779</v>
      </c>
      <c r="E3699" s="793" t="s">
        <v>763</v>
      </c>
      <c r="F3699" s="793" t="s">
        <v>916</v>
      </c>
      <c r="G3699" s="793" t="s">
        <v>782</v>
      </c>
      <c r="H3699" s="793" t="s">
        <v>913</v>
      </c>
      <c r="I3699" s="794">
        <v>2.5132669477160474E-4</v>
      </c>
      <c r="J3699" s="794">
        <v>0.43450980620650725</v>
      </c>
      <c r="K3699" s="771"/>
    </row>
    <row r="3700" spans="1:11" ht="18.75" customHeight="1" outlineLevel="2">
      <c r="A3700" s="791" t="s">
        <v>776</v>
      </c>
      <c r="B3700" s="791" t="s">
        <v>1039</v>
      </c>
      <c r="C3700" s="791" t="s">
        <v>778</v>
      </c>
      <c r="D3700" s="792" t="s">
        <v>779</v>
      </c>
      <c r="E3700" s="793" t="s">
        <v>763</v>
      </c>
      <c r="F3700" s="793" t="s">
        <v>917</v>
      </c>
      <c r="G3700" s="793" t="s">
        <v>782</v>
      </c>
      <c r="H3700" s="793" t="s">
        <v>913</v>
      </c>
      <c r="I3700" s="794">
        <v>4.6012668972475267E-5</v>
      </c>
      <c r="J3700" s="794">
        <v>0.25190511153120393</v>
      </c>
      <c r="K3700" s="771"/>
    </row>
    <row r="3701" spans="1:11" ht="18.75" customHeight="1" outlineLevel="2">
      <c r="A3701" s="791" t="s">
        <v>776</v>
      </c>
      <c r="B3701" s="791" t="s">
        <v>1039</v>
      </c>
      <c r="C3701" s="791" t="s">
        <v>778</v>
      </c>
      <c r="D3701" s="792" t="s">
        <v>779</v>
      </c>
      <c r="E3701" s="793" t="s">
        <v>763</v>
      </c>
      <c r="F3701" s="793" t="s">
        <v>918</v>
      </c>
      <c r="G3701" s="793" t="s">
        <v>782</v>
      </c>
      <c r="H3701" s="793" t="s">
        <v>913</v>
      </c>
      <c r="I3701" s="794">
        <v>1.0184201176835421E-3</v>
      </c>
      <c r="J3701" s="794">
        <v>4.5499797328674152</v>
      </c>
      <c r="K3701" s="771"/>
    </row>
    <row r="3702" spans="1:11" ht="18.75" customHeight="1" outlineLevel="2">
      <c r="A3702" s="791" t="s">
        <v>776</v>
      </c>
      <c r="B3702" s="791" t="s">
        <v>1039</v>
      </c>
      <c r="C3702" s="791" t="s">
        <v>778</v>
      </c>
      <c r="D3702" s="792" t="s">
        <v>779</v>
      </c>
      <c r="E3702" s="793" t="s">
        <v>763</v>
      </c>
      <c r="F3702" s="793" t="s">
        <v>919</v>
      </c>
      <c r="G3702" s="793" t="s">
        <v>782</v>
      </c>
      <c r="H3702" s="793" t="s">
        <v>913</v>
      </c>
      <c r="I3702" s="794">
        <v>1.9480548243190694E-3</v>
      </c>
      <c r="J3702" s="794">
        <v>2.2853582634979155</v>
      </c>
      <c r="K3702" s="771"/>
    </row>
    <row r="3703" spans="1:11" ht="18.75" customHeight="1" outlineLevel="2">
      <c r="A3703" s="791" t="s">
        <v>776</v>
      </c>
      <c r="B3703" s="791" t="s">
        <v>1039</v>
      </c>
      <c r="C3703" s="791" t="s">
        <v>778</v>
      </c>
      <c r="D3703" s="792" t="s">
        <v>779</v>
      </c>
      <c r="E3703" s="793" t="s">
        <v>763</v>
      </c>
      <c r="F3703" s="793" t="s">
        <v>920</v>
      </c>
      <c r="G3703" s="793" t="s">
        <v>782</v>
      </c>
      <c r="H3703" s="793" t="s">
        <v>913</v>
      </c>
      <c r="I3703" s="794">
        <v>2.1158435818582574E-4</v>
      </c>
      <c r="J3703" s="794">
        <v>4.209569574422785</v>
      </c>
      <c r="K3703" s="771"/>
    </row>
    <row r="3704" spans="1:11" ht="18.75" customHeight="1" outlineLevel="2">
      <c r="A3704" s="791" t="s">
        <v>776</v>
      </c>
      <c r="B3704" s="791" t="s">
        <v>1039</v>
      </c>
      <c r="C3704" s="791" t="s">
        <v>778</v>
      </c>
      <c r="D3704" s="792" t="s">
        <v>779</v>
      </c>
      <c r="E3704" s="793" t="s">
        <v>763</v>
      </c>
      <c r="F3704" s="793" t="s">
        <v>921</v>
      </c>
      <c r="G3704" s="793" t="s">
        <v>782</v>
      </c>
      <c r="H3704" s="793" t="s">
        <v>913</v>
      </c>
      <c r="I3704" s="794">
        <v>9.8201721180707423E-4</v>
      </c>
      <c r="J3704" s="794">
        <v>1.7152618653619094</v>
      </c>
      <c r="K3704" s="771"/>
    </row>
    <row r="3705" spans="1:11" ht="18.75" customHeight="1" outlineLevel="2">
      <c r="A3705" s="791" t="s">
        <v>776</v>
      </c>
      <c r="B3705" s="791" t="s">
        <v>1039</v>
      </c>
      <c r="C3705" s="791" t="s">
        <v>778</v>
      </c>
      <c r="D3705" s="792" t="s">
        <v>779</v>
      </c>
      <c r="E3705" s="793" t="s">
        <v>763</v>
      </c>
      <c r="F3705" s="793" t="s">
        <v>922</v>
      </c>
      <c r="G3705" s="793" t="s">
        <v>782</v>
      </c>
      <c r="H3705" s="793" t="s">
        <v>913</v>
      </c>
      <c r="I3705" s="794">
        <v>1.4680022233026183E-4</v>
      </c>
      <c r="J3705" s="794">
        <v>0.28113139197601505</v>
      </c>
      <c r="K3705" s="771"/>
    </row>
    <row r="3706" spans="1:11" ht="18.75" customHeight="1" outlineLevel="2">
      <c r="A3706" s="791" t="s">
        <v>776</v>
      </c>
      <c r="B3706" s="791" t="s">
        <v>1039</v>
      </c>
      <c r="C3706" s="791" t="s">
        <v>778</v>
      </c>
      <c r="D3706" s="792" t="s">
        <v>779</v>
      </c>
      <c r="E3706" s="793" t="s">
        <v>763</v>
      </c>
      <c r="F3706" s="793" t="s">
        <v>923</v>
      </c>
      <c r="G3706" s="793" t="s">
        <v>782</v>
      </c>
      <c r="H3706" s="793" t="s">
        <v>913</v>
      </c>
      <c r="I3706" s="794">
        <v>8.0454040773654555E-4</v>
      </c>
      <c r="J3706" s="794">
        <v>2.9232779615461366</v>
      </c>
      <c r="K3706" s="771"/>
    </row>
    <row r="3707" spans="1:11" ht="18.75" customHeight="1" outlineLevel="2">
      <c r="A3707" s="791" t="s">
        <v>776</v>
      </c>
      <c r="B3707" s="791" t="s">
        <v>1039</v>
      </c>
      <c r="C3707" s="791" t="s">
        <v>778</v>
      </c>
      <c r="D3707" s="792" t="s">
        <v>779</v>
      </c>
      <c r="E3707" s="793" t="s">
        <v>763</v>
      </c>
      <c r="F3707" s="793" t="s">
        <v>924</v>
      </c>
      <c r="G3707" s="793" t="s">
        <v>782</v>
      </c>
      <c r="H3707" s="793" t="s">
        <v>913</v>
      </c>
      <c r="I3707" s="794">
        <v>6.6281007407841029E-4</v>
      </c>
      <c r="J3707" s="794">
        <v>7.0590745394827064</v>
      </c>
      <c r="K3707" s="771"/>
    </row>
    <row r="3708" spans="1:11" ht="18.75" customHeight="1" outlineLevel="2">
      <c r="A3708" s="791" t="s">
        <v>776</v>
      </c>
      <c r="B3708" s="791" t="s">
        <v>1039</v>
      </c>
      <c r="C3708" s="791" t="s">
        <v>778</v>
      </c>
      <c r="D3708" s="792" t="s">
        <v>779</v>
      </c>
      <c r="E3708" s="793" t="s">
        <v>763</v>
      </c>
      <c r="F3708" s="793" t="s">
        <v>925</v>
      </c>
      <c r="G3708" s="793" t="s">
        <v>782</v>
      </c>
      <c r="H3708" s="793" t="s">
        <v>913</v>
      </c>
      <c r="I3708" s="794">
        <v>4.6638328182646901E-5</v>
      </c>
      <c r="J3708" s="794">
        <v>0.74270682301954838</v>
      </c>
      <c r="K3708" s="771"/>
    </row>
    <row r="3709" spans="1:11" ht="18.75" customHeight="1" outlineLevel="2">
      <c r="A3709" s="791" t="s">
        <v>776</v>
      </c>
      <c r="B3709" s="791" t="s">
        <v>1039</v>
      </c>
      <c r="C3709" s="791" t="s">
        <v>778</v>
      </c>
      <c r="D3709" s="792" t="s">
        <v>779</v>
      </c>
      <c r="E3709" s="793" t="s">
        <v>763</v>
      </c>
      <c r="F3709" s="793" t="s">
        <v>926</v>
      </c>
      <c r="G3709" s="793" t="s">
        <v>782</v>
      </c>
      <c r="H3709" s="793" t="s">
        <v>913</v>
      </c>
      <c r="I3709" s="794">
        <v>3.4586831624225764E-3</v>
      </c>
      <c r="J3709" s="794">
        <v>6.3584565104670165</v>
      </c>
      <c r="K3709" s="771"/>
    </row>
    <row r="3710" spans="1:11" ht="18.75" customHeight="1" outlineLevel="2">
      <c r="A3710" s="791" t="s">
        <v>776</v>
      </c>
      <c r="B3710" s="791" t="s">
        <v>1039</v>
      </c>
      <c r="C3710" s="791" t="s">
        <v>778</v>
      </c>
      <c r="D3710" s="792" t="s">
        <v>779</v>
      </c>
      <c r="E3710" s="793" t="s">
        <v>763</v>
      </c>
      <c r="F3710" s="793" t="s">
        <v>927</v>
      </c>
      <c r="G3710" s="793" t="s">
        <v>782</v>
      </c>
      <c r="H3710" s="793" t="s">
        <v>913</v>
      </c>
      <c r="I3710" s="794">
        <v>1.9278662011223992E-3</v>
      </c>
      <c r="J3710" s="794">
        <v>2.6684671470024108</v>
      </c>
      <c r="K3710" s="771"/>
    </row>
    <row r="3711" spans="1:11" ht="18.75" customHeight="1" outlineLevel="2">
      <c r="A3711" s="791" t="s">
        <v>776</v>
      </c>
      <c r="B3711" s="791" t="s">
        <v>1039</v>
      </c>
      <c r="C3711" s="791" t="s">
        <v>778</v>
      </c>
      <c r="D3711" s="792" t="s">
        <v>779</v>
      </c>
      <c r="E3711" s="793" t="s">
        <v>763</v>
      </c>
      <c r="F3711" s="793" t="s">
        <v>928</v>
      </c>
      <c r="G3711" s="793" t="s">
        <v>785</v>
      </c>
      <c r="H3711" s="793" t="s">
        <v>913</v>
      </c>
      <c r="I3711" s="794">
        <v>1.7568653065639984E-3</v>
      </c>
      <c r="J3711" s="794">
        <v>5.4083165488583003</v>
      </c>
      <c r="K3711" s="771"/>
    </row>
    <row r="3712" spans="1:11" ht="18.75" customHeight="1" outlineLevel="2">
      <c r="A3712" s="791" t="s">
        <v>776</v>
      </c>
      <c r="B3712" s="791" t="s">
        <v>1039</v>
      </c>
      <c r="C3712" s="791" t="s">
        <v>778</v>
      </c>
      <c r="D3712" s="792" t="s">
        <v>779</v>
      </c>
      <c r="E3712" s="793" t="s">
        <v>763</v>
      </c>
      <c r="F3712" s="793" t="s">
        <v>929</v>
      </c>
      <c r="G3712" s="793" t="s">
        <v>785</v>
      </c>
      <c r="H3712" s="793" t="s">
        <v>913</v>
      </c>
      <c r="I3712" s="794">
        <v>3.4927645601907496E-2</v>
      </c>
      <c r="J3712" s="794">
        <v>491.94550614535774</v>
      </c>
      <c r="K3712" s="771"/>
    </row>
    <row r="3713" spans="1:11" ht="18.75" customHeight="1" outlineLevel="2">
      <c r="A3713" s="791" t="s">
        <v>776</v>
      </c>
      <c r="B3713" s="791" t="s">
        <v>1039</v>
      </c>
      <c r="C3713" s="791" t="s">
        <v>778</v>
      </c>
      <c r="D3713" s="792" t="s">
        <v>779</v>
      </c>
      <c r="E3713" s="793" t="s">
        <v>763</v>
      </c>
      <c r="F3713" s="793" t="s">
        <v>930</v>
      </c>
      <c r="G3713" s="793" t="s">
        <v>785</v>
      </c>
      <c r="H3713" s="793" t="s">
        <v>913</v>
      </c>
      <c r="I3713" s="794">
        <v>2.0794184990315367E-4</v>
      </c>
      <c r="J3713" s="794">
        <v>3.6648049750810578</v>
      </c>
      <c r="K3713" s="771"/>
    </row>
    <row r="3714" spans="1:11" ht="18.75" customHeight="1" outlineLevel="2">
      <c r="A3714" s="791" t="s">
        <v>776</v>
      </c>
      <c r="B3714" s="791" t="s">
        <v>1039</v>
      </c>
      <c r="C3714" s="791" t="s">
        <v>778</v>
      </c>
      <c r="D3714" s="792" t="s">
        <v>779</v>
      </c>
      <c r="E3714" s="793" t="s">
        <v>763</v>
      </c>
      <c r="F3714" s="793" t="s">
        <v>931</v>
      </c>
      <c r="G3714" s="793" t="s">
        <v>785</v>
      </c>
      <c r="H3714" s="793" t="s">
        <v>913</v>
      </c>
      <c r="I3714" s="794">
        <v>6.9560700639961852E-5</v>
      </c>
      <c r="J3714" s="794">
        <v>1.1560099269986925</v>
      </c>
      <c r="K3714" s="771"/>
    </row>
    <row r="3715" spans="1:11" ht="18.75" customHeight="1" outlineLevel="2">
      <c r="A3715" s="791" t="s">
        <v>776</v>
      </c>
      <c r="B3715" s="791" t="s">
        <v>1039</v>
      </c>
      <c r="C3715" s="791" t="s">
        <v>778</v>
      </c>
      <c r="D3715" s="792" t="s">
        <v>779</v>
      </c>
      <c r="E3715" s="793" t="s">
        <v>763</v>
      </c>
      <c r="F3715" s="793" t="s">
        <v>932</v>
      </c>
      <c r="G3715" s="793" t="s">
        <v>785</v>
      </c>
      <c r="H3715" s="793" t="s">
        <v>913</v>
      </c>
      <c r="I3715" s="794">
        <v>7.4273537197496514E-5</v>
      </c>
      <c r="J3715" s="794">
        <v>0.28549999719711294</v>
      </c>
      <c r="K3715" s="771"/>
    </row>
    <row r="3716" spans="1:11" ht="18.75" customHeight="1" outlineLevel="2">
      <c r="A3716" s="791" t="s">
        <v>776</v>
      </c>
      <c r="B3716" s="791" t="s">
        <v>1039</v>
      </c>
      <c r="C3716" s="791" t="s">
        <v>778</v>
      </c>
      <c r="D3716" s="792" t="s">
        <v>779</v>
      </c>
      <c r="E3716" s="793" t="s">
        <v>763</v>
      </c>
      <c r="F3716" s="793" t="s">
        <v>933</v>
      </c>
      <c r="G3716" s="793" t="s">
        <v>785</v>
      </c>
      <c r="H3716" s="793" t="s">
        <v>913</v>
      </c>
      <c r="I3716" s="794">
        <v>1.0425205260313325E-4</v>
      </c>
      <c r="J3716" s="794">
        <v>2.27051658369481</v>
      </c>
      <c r="K3716" s="771"/>
    </row>
    <row r="3717" spans="1:11" ht="18.75" customHeight="1" outlineLevel="2">
      <c r="A3717" s="791" t="s">
        <v>776</v>
      </c>
      <c r="B3717" s="791" t="s">
        <v>1039</v>
      </c>
      <c r="C3717" s="791" t="s">
        <v>778</v>
      </c>
      <c r="D3717" s="792" t="s">
        <v>779</v>
      </c>
      <c r="E3717" s="793" t="s">
        <v>763</v>
      </c>
      <c r="F3717" s="793" t="s">
        <v>934</v>
      </c>
      <c r="G3717" s="793" t="s">
        <v>813</v>
      </c>
      <c r="H3717" s="793" t="s">
        <v>913</v>
      </c>
      <c r="I3717" s="794">
        <v>1.5459384259066925E-3</v>
      </c>
      <c r="J3717" s="794">
        <v>23.427618509939119</v>
      </c>
      <c r="K3717" s="771"/>
    </row>
    <row r="3718" spans="1:11" ht="18.75" customHeight="1" outlineLevel="2">
      <c r="A3718" s="791" t="s">
        <v>776</v>
      </c>
      <c r="B3718" s="791" t="s">
        <v>1039</v>
      </c>
      <c r="C3718" s="791" t="s">
        <v>778</v>
      </c>
      <c r="D3718" s="792" t="s">
        <v>779</v>
      </c>
      <c r="E3718" s="793" t="s">
        <v>763</v>
      </c>
      <c r="F3718" s="793" t="s">
        <v>935</v>
      </c>
      <c r="G3718" s="793" t="s">
        <v>791</v>
      </c>
      <c r="H3718" s="793" t="s">
        <v>913</v>
      </c>
      <c r="I3718" s="794">
        <v>1.8676382755367808E-5</v>
      </c>
      <c r="J3718" s="794">
        <v>2.3533776066970661E-2</v>
      </c>
      <c r="K3718" s="771"/>
    </row>
    <row r="3719" spans="1:11" ht="18.75" customHeight="1" outlineLevel="2">
      <c r="A3719" s="791" t="s">
        <v>776</v>
      </c>
      <c r="B3719" s="791" t="s">
        <v>1039</v>
      </c>
      <c r="C3719" s="791" t="s">
        <v>778</v>
      </c>
      <c r="D3719" s="792" t="s">
        <v>779</v>
      </c>
      <c r="E3719" s="793" t="s">
        <v>763</v>
      </c>
      <c r="F3719" s="793" t="s">
        <v>936</v>
      </c>
      <c r="G3719" s="793" t="s">
        <v>791</v>
      </c>
      <c r="H3719" s="793" t="s">
        <v>913</v>
      </c>
      <c r="I3719" s="794">
        <v>2.7060366729516971E-6</v>
      </c>
      <c r="J3719" s="794">
        <v>4.5837178205881138E-2</v>
      </c>
      <c r="K3719" s="771"/>
    </row>
    <row r="3720" spans="1:11" ht="18.75" customHeight="1" outlineLevel="2">
      <c r="A3720" s="791" t="s">
        <v>776</v>
      </c>
      <c r="B3720" s="791" t="s">
        <v>1039</v>
      </c>
      <c r="C3720" s="791" t="s">
        <v>778</v>
      </c>
      <c r="D3720" s="792" t="s">
        <v>779</v>
      </c>
      <c r="E3720" s="793" t="s">
        <v>763</v>
      </c>
      <c r="F3720" s="793" t="s">
        <v>937</v>
      </c>
      <c r="G3720" s="793" t="s">
        <v>794</v>
      </c>
      <c r="H3720" s="793" t="s">
        <v>913</v>
      </c>
      <c r="I3720" s="794">
        <v>1.2673666183574161E-2</v>
      </c>
      <c r="J3720" s="794">
        <v>31.117932194454774</v>
      </c>
      <c r="K3720" s="771"/>
    </row>
    <row r="3721" spans="1:11" ht="18.75" customHeight="1" outlineLevel="2">
      <c r="A3721" s="791" t="s">
        <v>776</v>
      </c>
      <c r="B3721" s="791" t="s">
        <v>1039</v>
      </c>
      <c r="C3721" s="791" t="s">
        <v>778</v>
      </c>
      <c r="D3721" s="792" t="s">
        <v>779</v>
      </c>
      <c r="E3721" s="793" t="s">
        <v>763</v>
      </c>
      <c r="F3721" s="793" t="s">
        <v>938</v>
      </c>
      <c r="G3721" s="793" t="s">
        <v>794</v>
      </c>
      <c r="H3721" s="793" t="s">
        <v>913</v>
      </c>
      <c r="I3721" s="794">
        <v>1.4912633374662093E-3</v>
      </c>
      <c r="J3721" s="794">
        <v>6.8113226093654626</v>
      </c>
      <c r="K3721" s="771"/>
    </row>
    <row r="3722" spans="1:11" ht="18.75" customHeight="1" outlineLevel="2">
      <c r="A3722" s="791" t="s">
        <v>776</v>
      </c>
      <c r="B3722" s="791" t="s">
        <v>1039</v>
      </c>
      <c r="C3722" s="791" t="s">
        <v>778</v>
      </c>
      <c r="D3722" s="792" t="s">
        <v>779</v>
      </c>
      <c r="E3722" s="793" t="s">
        <v>763</v>
      </c>
      <c r="F3722" s="793" t="s">
        <v>939</v>
      </c>
      <c r="G3722" s="793" t="s">
        <v>794</v>
      </c>
      <c r="H3722" s="793" t="s">
        <v>913</v>
      </c>
      <c r="I3722" s="794">
        <v>7.7755779770066324E-4</v>
      </c>
      <c r="J3722" s="794">
        <v>7.9534032866156421</v>
      </c>
      <c r="K3722" s="771"/>
    </row>
    <row r="3723" spans="1:11" ht="18.75" customHeight="1" outlineLevel="2">
      <c r="A3723" s="791" t="s">
        <v>776</v>
      </c>
      <c r="B3723" s="791" t="s">
        <v>1039</v>
      </c>
      <c r="C3723" s="791" t="s">
        <v>778</v>
      </c>
      <c r="D3723" s="792" t="s">
        <v>779</v>
      </c>
      <c r="E3723" s="793" t="s">
        <v>763</v>
      </c>
      <c r="F3723" s="793" t="s">
        <v>940</v>
      </c>
      <c r="G3723" s="793" t="s">
        <v>794</v>
      </c>
      <c r="H3723" s="793" t="s">
        <v>913</v>
      </c>
      <c r="I3723" s="794">
        <v>1.2872420616196274E-3</v>
      </c>
      <c r="J3723" s="794">
        <v>9.8849201685150287</v>
      </c>
      <c r="K3723" s="771"/>
    </row>
    <row r="3724" spans="1:11" ht="18.75" customHeight="1" outlineLevel="2">
      <c r="A3724" s="791" t="s">
        <v>776</v>
      </c>
      <c r="B3724" s="791" t="s">
        <v>1039</v>
      </c>
      <c r="C3724" s="791" t="s">
        <v>778</v>
      </c>
      <c r="D3724" s="792" t="s">
        <v>779</v>
      </c>
      <c r="E3724" s="793" t="s">
        <v>763</v>
      </c>
      <c r="F3724" s="793" t="s">
        <v>941</v>
      </c>
      <c r="G3724" s="793" t="s">
        <v>794</v>
      </c>
      <c r="H3724" s="793" t="s">
        <v>913</v>
      </c>
      <c r="I3724" s="794">
        <v>4.4559367875365917E-5</v>
      </c>
      <c r="J3724" s="794">
        <v>0.13444034870310101</v>
      </c>
      <c r="K3724" s="771"/>
    </row>
    <row r="3725" spans="1:11" ht="18.75" customHeight="1" outlineLevel="2">
      <c r="A3725" s="791" t="s">
        <v>776</v>
      </c>
      <c r="B3725" s="791" t="s">
        <v>1039</v>
      </c>
      <c r="C3725" s="791" t="s">
        <v>778</v>
      </c>
      <c r="D3725" s="792" t="s">
        <v>779</v>
      </c>
      <c r="E3725" s="793" t="s">
        <v>763</v>
      </c>
      <c r="F3725" s="793" t="s">
        <v>942</v>
      </c>
      <c r="G3725" s="793" t="s">
        <v>794</v>
      </c>
      <c r="H3725" s="793" t="s">
        <v>913</v>
      </c>
      <c r="I3725" s="794">
        <v>1.0562706474940445E-5</v>
      </c>
      <c r="J3725" s="794">
        <v>0.12206024009874976</v>
      </c>
      <c r="K3725" s="771"/>
    </row>
    <row r="3726" spans="1:11" ht="18.75" customHeight="1" outlineLevel="2">
      <c r="A3726" s="791" t="s">
        <v>776</v>
      </c>
      <c r="B3726" s="791" t="s">
        <v>1039</v>
      </c>
      <c r="C3726" s="791" t="s">
        <v>778</v>
      </c>
      <c r="D3726" s="792" t="s">
        <v>779</v>
      </c>
      <c r="E3726" s="793" t="s">
        <v>764</v>
      </c>
      <c r="F3726" s="793" t="s">
        <v>945</v>
      </c>
      <c r="G3726" s="793" t="s">
        <v>244</v>
      </c>
      <c r="H3726" s="793" t="s">
        <v>905</v>
      </c>
      <c r="I3726" s="794">
        <v>0.20117242524391055</v>
      </c>
      <c r="J3726" s="794">
        <v>7240.3527343835831</v>
      </c>
      <c r="K3726" s="771"/>
    </row>
    <row r="3727" spans="1:11" ht="18.75" customHeight="1" outlineLevel="2">
      <c r="A3727" s="791" t="s">
        <v>776</v>
      </c>
      <c r="B3727" s="791" t="s">
        <v>1039</v>
      </c>
      <c r="C3727" s="791" t="s">
        <v>778</v>
      </c>
      <c r="D3727" s="792" t="s">
        <v>779</v>
      </c>
      <c r="E3727" s="793" t="s">
        <v>764</v>
      </c>
      <c r="F3727" s="793" t="s">
        <v>946</v>
      </c>
      <c r="G3727" s="793" t="s">
        <v>244</v>
      </c>
      <c r="H3727" s="793" t="s">
        <v>905</v>
      </c>
      <c r="I3727" s="794">
        <v>9.715941512269447E-4</v>
      </c>
      <c r="J3727" s="794">
        <v>18.430592353662501</v>
      </c>
      <c r="K3727" s="771"/>
    </row>
    <row r="3728" spans="1:11" ht="18.75" customHeight="1" outlineLevel="2">
      <c r="A3728" s="791" t="s">
        <v>776</v>
      </c>
      <c r="B3728" s="791" t="s">
        <v>1039</v>
      </c>
      <c r="C3728" s="791" t="s">
        <v>778</v>
      </c>
      <c r="D3728" s="792" t="s">
        <v>779</v>
      </c>
      <c r="E3728" s="793" t="s">
        <v>947</v>
      </c>
      <c r="F3728" s="793" t="s">
        <v>948</v>
      </c>
      <c r="G3728" s="793" t="s">
        <v>799</v>
      </c>
      <c r="H3728" s="793" t="s">
        <v>800</v>
      </c>
      <c r="I3728" s="794">
        <v>3.1078180471169991E-3</v>
      </c>
      <c r="J3728" s="794">
        <v>76.829652485673122</v>
      </c>
      <c r="K3728" s="771"/>
    </row>
    <row r="3729" spans="1:11" ht="18.75" customHeight="1" outlineLevel="2">
      <c r="A3729" s="791" t="s">
        <v>776</v>
      </c>
      <c r="B3729" s="791" t="s">
        <v>1039</v>
      </c>
      <c r="C3729" s="791" t="s">
        <v>778</v>
      </c>
      <c r="D3729" s="792" t="s">
        <v>779</v>
      </c>
      <c r="E3729" s="793" t="s">
        <v>947</v>
      </c>
      <c r="F3729" s="793" t="s">
        <v>949</v>
      </c>
      <c r="G3729" s="793" t="s">
        <v>782</v>
      </c>
      <c r="H3729" s="793" t="s">
        <v>804</v>
      </c>
      <c r="I3729" s="794">
        <v>3.0171174289579691E-3</v>
      </c>
      <c r="J3729" s="794">
        <v>175.95957249821825</v>
      </c>
      <c r="K3729" s="771"/>
    </row>
    <row r="3730" spans="1:11" ht="18.75" customHeight="1" outlineLevel="2">
      <c r="A3730" s="791" t="s">
        <v>776</v>
      </c>
      <c r="B3730" s="791" t="s">
        <v>1039</v>
      </c>
      <c r="C3730" s="791" t="s">
        <v>778</v>
      </c>
      <c r="D3730" s="792" t="s">
        <v>779</v>
      </c>
      <c r="E3730" s="793" t="s">
        <v>947</v>
      </c>
      <c r="F3730" s="793" t="s">
        <v>950</v>
      </c>
      <c r="G3730" s="793" t="s">
        <v>782</v>
      </c>
      <c r="H3730" s="793" t="s">
        <v>804</v>
      </c>
      <c r="I3730" s="794">
        <v>2.5942070066566308E-5</v>
      </c>
      <c r="J3730" s="794">
        <v>0.28654638091040285</v>
      </c>
      <c r="K3730" s="771"/>
    </row>
    <row r="3731" spans="1:11" ht="18.75" customHeight="1" outlineLevel="2">
      <c r="A3731" s="791" t="s">
        <v>776</v>
      </c>
      <c r="B3731" s="791" t="s">
        <v>1039</v>
      </c>
      <c r="C3731" s="791" t="s">
        <v>778</v>
      </c>
      <c r="D3731" s="792" t="s">
        <v>779</v>
      </c>
      <c r="E3731" s="793" t="s">
        <v>947</v>
      </c>
      <c r="F3731" s="793" t="s">
        <v>951</v>
      </c>
      <c r="G3731" s="793" t="s">
        <v>782</v>
      </c>
      <c r="H3731" s="793" t="s">
        <v>804</v>
      </c>
      <c r="I3731" s="794">
        <v>3.7622671864606379E-4</v>
      </c>
      <c r="J3731" s="794">
        <v>4.720200366815841</v>
      </c>
      <c r="K3731" s="771"/>
    </row>
    <row r="3732" spans="1:11" ht="18.75" customHeight="1" outlineLevel="2">
      <c r="A3732" s="791" t="s">
        <v>776</v>
      </c>
      <c r="B3732" s="791" t="s">
        <v>1039</v>
      </c>
      <c r="C3732" s="791" t="s">
        <v>778</v>
      </c>
      <c r="D3732" s="792" t="s">
        <v>779</v>
      </c>
      <c r="E3732" s="793" t="s">
        <v>947</v>
      </c>
      <c r="F3732" s="793" t="s">
        <v>952</v>
      </c>
      <c r="G3732" s="793" t="s">
        <v>782</v>
      </c>
      <c r="H3732" s="793" t="s">
        <v>804</v>
      </c>
      <c r="I3732" s="794">
        <v>8.5915290280782989E-3</v>
      </c>
      <c r="J3732" s="794">
        <v>440.45341349037295</v>
      </c>
      <c r="K3732" s="771"/>
    </row>
    <row r="3733" spans="1:11" ht="18.75" customHeight="1" outlineLevel="2">
      <c r="A3733" s="791" t="s">
        <v>776</v>
      </c>
      <c r="B3733" s="791" t="s">
        <v>1039</v>
      </c>
      <c r="C3733" s="791" t="s">
        <v>778</v>
      </c>
      <c r="D3733" s="792" t="s">
        <v>779</v>
      </c>
      <c r="E3733" s="793" t="s">
        <v>947</v>
      </c>
      <c r="F3733" s="793" t="s">
        <v>953</v>
      </c>
      <c r="G3733" s="793" t="s">
        <v>782</v>
      </c>
      <c r="H3733" s="793" t="s">
        <v>804</v>
      </c>
      <c r="I3733" s="794">
        <v>6.5220606803052155E-3</v>
      </c>
      <c r="J3733" s="794">
        <v>479.24318785019398</v>
      </c>
      <c r="K3733" s="771"/>
    </row>
    <row r="3734" spans="1:11" ht="18.75" customHeight="1" outlineLevel="2">
      <c r="A3734" s="791" t="s">
        <v>776</v>
      </c>
      <c r="B3734" s="791" t="s">
        <v>1039</v>
      </c>
      <c r="C3734" s="791" t="s">
        <v>778</v>
      </c>
      <c r="D3734" s="792" t="s">
        <v>779</v>
      </c>
      <c r="E3734" s="793" t="s">
        <v>947</v>
      </c>
      <c r="F3734" s="793" t="s">
        <v>954</v>
      </c>
      <c r="G3734" s="793" t="s">
        <v>782</v>
      </c>
      <c r="H3734" s="793" t="s">
        <v>804</v>
      </c>
      <c r="I3734" s="794">
        <v>7.3685679376499745E-4</v>
      </c>
      <c r="J3734" s="794">
        <v>26.462912279865456</v>
      </c>
      <c r="K3734" s="771"/>
    </row>
    <row r="3735" spans="1:11" ht="18.75" customHeight="1" outlineLevel="2">
      <c r="A3735" s="791" t="s">
        <v>776</v>
      </c>
      <c r="B3735" s="791" t="s">
        <v>1039</v>
      </c>
      <c r="C3735" s="791" t="s">
        <v>778</v>
      </c>
      <c r="D3735" s="792" t="s">
        <v>779</v>
      </c>
      <c r="E3735" s="793" t="s">
        <v>947</v>
      </c>
      <c r="F3735" s="793" t="s">
        <v>955</v>
      </c>
      <c r="G3735" s="793" t="s">
        <v>782</v>
      </c>
      <c r="H3735" s="793" t="s">
        <v>804</v>
      </c>
      <c r="I3735" s="794">
        <v>3.9192740920999768E-4</v>
      </c>
      <c r="J3735" s="794">
        <v>18.02010045309417</v>
      </c>
      <c r="K3735" s="771"/>
    </row>
    <row r="3736" spans="1:11" ht="18.75" customHeight="1" outlineLevel="2">
      <c r="A3736" s="791" t="s">
        <v>776</v>
      </c>
      <c r="B3736" s="791" t="s">
        <v>1039</v>
      </c>
      <c r="C3736" s="791" t="s">
        <v>778</v>
      </c>
      <c r="D3736" s="792" t="s">
        <v>779</v>
      </c>
      <c r="E3736" s="793" t="s">
        <v>947</v>
      </c>
      <c r="F3736" s="793" t="s">
        <v>956</v>
      </c>
      <c r="G3736" s="793" t="s">
        <v>782</v>
      </c>
      <c r="H3736" s="793" t="s">
        <v>804</v>
      </c>
      <c r="I3736" s="794">
        <v>2.0830791540833609E-3</v>
      </c>
      <c r="J3736" s="794">
        <v>49.484934266233047</v>
      </c>
      <c r="K3736" s="771"/>
    </row>
    <row r="3737" spans="1:11" ht="18.75" customHeight="1" outlineLevel="2">
      <c r="A3737" s="791" t="s">
        <v>776</v>
      </c>
      <c r="B3737" s="791" t="s">
        <v>1039</v>
      </c>
      <c r="C3737" s="791" t="s">
        <v>778</v>
      </c>
      <c r="D3737" s="792" t="s">
        <v>779</v>
      </c>
      <c r="E3737" s="793" t="s">
        <v>947</v>
      </c>
      <c r="F3737" s="793" t="s">
        <v>957</v>
      </c>
      <c r="G3737" s="793" t="s">
        <v>782</v>
      </c>
      <c r="H3737" s="793" t="s">
        <v>804</v>
      </c>
      <c r="I3737" s="794">
        <v>5.9715922399018401E-3</v>
      </c>
      <c r="J3737" s="794">
        <v>211.7591559505706</v>
      </c>
      <c r="K3737" s="771"/>
    </row>
    <row r="3738" spans="1:11" ht="18.75" customHeight="1" outlineLevel="2">
      <c r="A3738" s="791" t="s">
        <v>776</v>
      </c>
      <c r="B3738" s="791" t="s">
        <v>1039</v>
      </c>
      <c r="C3738" s="791" t="s">
        <v>778</v>
      </c>
      <c r="D3738" s="792" t="s">
        <v>779</v>
      </c>
      <c r="E3738" s="793" t="s">
        <v>947</v>
      </c>
      <c r="F3738" s="793" t="s">
        <v>958</v>
      </c>
      <c r="G3738" s="793" t="s">
        <v>782</v>
      </c>
      <c r="H3738" s="793" t="s">
        <v>804</v>
      </c>
      <c r="I3738" s="794">
        <v>4.2217196916034226E-3</v>
      </c>
      <c r="J3738" s="794">
        <v>232.49842279463368</v>
      </c>
      <c r="K3738" s="771"/>
    </row>
    <row r="3739" spans="1:11" ht="18.75" customHeight="1" outlineLevel="2">
      <c r="A3739" s="791" t="s">
        <v>776</v>
      </c>
      <c r="B3739" s="791" t="s">
        <v>1039</v>
      </c>
      <c r="C3739" s="791" t="s">
        <v>778</v>
      </c>
      <c r="D3739" s="792" t="s">
        <v>779</v>
      </c>
      <c r="E3739" s="793" t="s">
        <v>947</v>
      </c>
      <c r="F3739" s="793" t="s">
        <v>959</v>
      </c>
      <c r="G3739" s="793" t="s">
        <v>782</v>
      </c>
      <c r="H3739" s="793" t="s">
        <v>804</v>
      </c>
      <c r="I3739" s="794">
        <v>2.314542287055564E-2</v>
      </c>
      <c r="J3739" s="794">
        <v>1785.2335458384293</v>
      </c>
      <c r="K3739" s="771"/>
    </row>
    <row r="3740" spans="1:11" ht="18.75" customHeight="1" outlineLevel="2">
      <c r="A3740" s="791" t="s">
        <v>776</v>
      </c>
      <c r="B3740" s="791" t="s">
        <v>1039</v>
      </c>
      <c r="C3740" s="791" t="s">
        <v>778</v>
      </c>
      <c r="D3740" s="792" t="s">
        <v>779</v>
      </c>
      <c r="E3740" s="793" t="s">
        <v>947</v>
      </c>
      <c r="F3740" s="793" t="s">
        <v>960</v>
      </c>
      <c r="G3740" s="793" t="s">
        <v>782</v>
      </c>
      <c r="H3740" s="793" t="s">
        <v>804</v>
      </c>
      <c r="I3740" s="794">
        <v>4.8954323472864261E-4</v>
      </c>
      <c r="J3740" s="794">
        <v>14.844428506220041</v>
      </c>
      <c r="K3740" s="771"/>
    </row>
    <row r="3741" spans="1:11" ht="18.75" customHeight="1" outlineLevel="2">
      <c r="A3741" s="791" t="s">
        <v>776</v>
      </c>
      <c r="B3741" s="791" t="s">
        <v>1039</v>
      </c>
      <c r="C3741" s="791" t="s">
        <v>778</v>
      </c>
      <c r="D3741" s="792" t="s">
        <v>779</v>
      </c>
      <c r="E3741" s="793" t="s">
        <v>947</v>
      </c>
      <c r="F3741" s="793" t="s">
        <v>961</v>
      </c>
      <c r="G3741" s="793" t="s">
        <v>782</v>
      </c>
      <c r="H3741" s="793" t="s">
        <v>804</v>
      </c>
      <c r="I3741" s="794">
        <v>1.9278746714475241E-4</v>
      </c>
      <c r="J3741" s="794">
        <v>9.0892759110447017</v>
      </c>
      <c r="K3741" s="771"/>
    </row>
    <row r="3742" spans="1:11" ht="18.75" customHeight="1" outlineLevel="2">
      <c r="A3742" s="791" t="s">
        <v>776</v>
      </c>
      <c r="B3742" s="791" t="s">
        <v>1039</v>
      </c>
      <c r="C3742" s="791" t="s">
        <v>778</v>
      </c>
      <c r="D3742" s="792" t="s">
        <v>779</v>
      </c>
      <c r="E3742" s="793" t="s">
        <v>947</v>
      </c>
      <c r="F3742" s="793" t="s">
        <v>962</v>
      </c>
      <c r="G3742" s="793" t="s">
        <v>782</v>
      </c>
      <c r="H3742" s="793" t="s">
        <v>804</v>
      </c>
      <c r="I3742" s="794">
        <v>6.8298538700471822E-3</v>
      </c>
      <c r="J3742" s="794">
        <v>408.05859880265444</v>
      </c>
      <c r="K3742" s="771"/>
    </row>
    <row r="3743" spans="1:11" ht="18.75" customHeight="1" outlineLevel="2">
      <c r="A3743" s="791" t="s">
        <v>776</v>
      </c>
      <c r="B3743" s="791" t="s">
        <v>1039</v>
      </c>
      <c r="C3743" s="791" t="s">
        <v>778</v>
      </c>
      <c r="D3743" s="792" t="s">
        <v>779</v>
      </c>
      <c r="E3743" s="793" t="s">
        <v>947</v>
      </c>
      <c r="F3743" s="793" t="s">
        <v>963</v>
      </c>
      <c r="G3743" s="793" t="s">
        <v>782</v>
      </c>
      <c r="H3743" s="793" t="s">
        <v>804</v>
      </c>
      <c r="I3743" s="794">
        <v>5.8717223325402941E-3</v>
      </c>
      <c r="J3743" s="794">
        <v>444.17705535119109</v>
      </c>
      <c r="K3743" s="771"/>
    </row>
    <row r="3744" spans="1:11" ht="18.75" customHeight="1" outlineLevel="2">
      <c r="A3744" s="791" t="s">
        <v>776</v>
      </c>
      <c r="B3744" s="791" t="s">
        <v>1039</v>
      </c>
      <c r="C3744" s="791" t="s">
        <v>778</v>
      </c>
      <c r="D3744" s="792" t="s">
        <v>779</v>
      </c>
      <c r="E3744" s="793" t="s">
        <v>947</v>
      </c>
      <c r="F3744" s="793" t="s">
        <v>964</v>
      </c>
      <c r="G3744" s="793" t="s">
        <v>782</v>
      </c>
      <c r="H3744" s="793" t="s">
        <v>804</v>
      </c>
      <c r="I3744" s="794">
        <v>2.1438212747805448E-2</v>
      </c>
      <c r="J3744" s="794">
        <v>1527.9060954205258</v>
      </c>
      <c r="K3744" s="771"/>
    </row>
    <row r="3745" spans="1:11" ht="18.75" customHeight="1" outlineLevel="2">
      <c r="A3745" s="791" t="s">
        <v>776</v>
      </c>
      <c r="B3745" s="791" t="s">
        <v>1039</v>
      </c>
      <c r="C3745" s="791" t="s">
        <v>778</v>
      </c>
      <c r="D3745" s="792" t="s">
        <v>779</v>
      </c>
      <c r="E3745" s="793" t="s">
        <v>947</v>
      </c>
      <c r="F3745" s="793" t="s">
        <v>965</v>
      </c>
      <c r="G3745" s="793" t="s">
        <v>782</v>
      </c>
      <c r="H3745" s="793" t="s">
        <v>804</v>
      </c>
      <c r="I3745" s="794">
        <v>1.4757018158673143E-3</v>
      </c>
      <c r="J3745" s="794">
        <v>71.844842752228203</v>
      </c>
      <c r="K3745" s="771"/>
    </row>
    <row r="3746" spans="1:11" ht="18.75" customHeight="1" outlineLevel="2">
      <c r="A3746" s="791" t="s">
        <v>776</v>
      </c>
      <c r="B3746" s="791" t="s">
        <v>1039</v>
      </c>
      <c r="C3746" s="791" t="s">
        <v>778</v>
      </c>
      <c r="D3746" s="792" t="s">
        <v>779</v>
      </c>
      <c r="E3746" s="793" t="s">
        <v>947</v>
      </c>
      <c r="F3746" s="793" t="s">
        <v>966</v>
      </c>
      <c r="G3746" s="793" t="s">
        <v>782</v>
      </c>
      <c r="H3746" s="793" t="s">
        <v>804</v>
      </c>
      <c r="I3746" s="794">
        <v>1.2408757491946087E-2</v>
      </c>
      <c r="J3746" s="794">
        <v>571.48690442445297</v>
      </c>
      <c r="K3746" s="771"/>
    </row>
    <row r="3747" spans="1:11" ht="18.75" customHeight="1" outlineLevel="2">
      <c r="A3747" s="791" t="s">
        <v>776</v>
      </c>
      <c r="B3747" s="791" t="s">
        <v>1039</v>
      </c>
      <c r="C3747" s="791" t="s">
        <v>778</v>
      </c>
      <c r="D3747" s="792" t="s">
        <v>779</v>
      </c>
      <c r="E3747" s="793" t="s">
        <v>947</v>
      </c>
      <c r="F3747" s="793" t="s">
        <v>967</v>
      </c>
      <c r="G3747" s="793" t="s">
        <v>782</v>
      </c>
      <c r="H3747" s="793" t="s">
        <v>804</v>
      </c>
      <c r="I3747" s="794">
        <v>3.0318398474982015E-2</v>
      </c>
      <c r="J3747" s="794">
        <v>1942.9463142411266</v>
      </c>
      <c r="K3747" s="771"/>
    </row>
    <row r="3748" spans="1:11" ht="18.75" customHeight="1" outlineLevel="2">
      <c r="A3748" s="791" t="s">
        <v>776</v>
      </c>
      <c r="B3748" s="791" t="s">
        <v>1039</v>
      </c>
      <c r="C3748" s="791" t="s">
        <v>778</v>
      </c>
      <c r="D3748" s="792" t="s">
        <v>779</v>
      </c>
      <c r="E3748" s="793" t="s">
        <v>947</v>
      </c>
      <c r="F3748" s="793" t="s">
        <v>968</v>
      </c>
      <c r="G3748" s="793" t="s">
        <v>782</v>
      </c>
      <c r="H3748" s="793" t="s">
        <v>804</v>
      </c>
      <c r="I3748" s="794">
        <v>6.6404750695947201E-2</v>
      </c>
      <c r="J3748" s="794">
        <v>1303.4514433712377</v>
      </c>
      <c r="K3748" s="771"/>
    </row>
    <row r="3749" spans="1:11" ht="18.75" customHeight="1" outlineLevel="2">
      <c r="A3749" s="791" t="s">
        <v>776</v>
      </c>
      <c r="B3749" s="791" t="s">
        <v>1039</v>
      </c>
      <c r="C3749" s="791" t="s">
        <v>778</v>
      </c>
      <c r="D3749" s="792" t="s">
        <v>779</v>
      </c>
      <c r="E3749" s="793" t="s">
        <v>947</v>
      </c>
      <c r="F3749" s="793" t="s">
        <v>969</v>
      </c>
      <c r="G3749" s="793" t="s">
        <v>782</v>
      </c>
      <c r="H3749" s="793" t="s">
        <v>804</v>
      </c>
      <c r="I3749" s="794">
        <v>2.4415449694097459E-2</v>
      </c>
      <c r="J3749" s="794">
        <v>1777.3850680622518</v>
      </c>
      <c r="K3749" s="771"/>
    </row>
    <row r="3750" spans="1:11" ht="18.75" customHeight="1" outlineLevel="2">
      <c r="A3750" s="791" t="s">
        <v>776</v>
      </c>
      <c r="B3750" s="791" t="s">
        <v>1039</v>
      </c>
      <c r="C3750" s="791" t="s">
        <v>778</v>
      </c>
      <c r="D3750" s="792" t="s">
        <v>779</v>
      </c>
      <c r="E3750" s="793" t="s">
        <v>947</v>
      </c>
      <c r="F3750" s="793" t="s">
        <v>970</v>
      </c>
      <c r="G3750" s="793" t="s">
        <v>782</v>
      </c>
      <c r="H3750" s="793" t="s">
        <v>804</v>
      </c>
      <c r="I3750" s="794">
        <v>4.4455781549466812E-2</v>
      </c>
      <c r="J3750" s="794">
        <v>1023.1428390538852</v>
      </c>
      <c r="K3750" s="771"/>
    </row>
    <row r="3751" spans="1:11" ht="18.75" customHeight="1" outlineLevel="2">
      <c r="A3751" s="791" t="s">
        <v>776</v>
      </c>
      <c r="B3751" s="791" t="s">
        <v>1039</v>
      </c>
      <c r="C3751" s="791" t="s">
        <v>778</v>
      </c>
      <c r="D3751" s="792" t="s">
        <v>779</v>
      </c>
      <c r="E3751" s="793" t="s">
        <v>947</v>
      </c>
      <c r="F3751" s="793" t="s">
        <v>971</v>
      </c>
      <c r="G3751" s="793" t="s">
        <v>782</v>
      </c>
      <c r="H3751" s="793" t="s">
        <v>804</v>
      </c>
      <c r="I3751" s="794">
        <v>2.6096407685995021E-3</v>
      </c>
      <c r="J3751" s="794">
        <v>190.71561493740199</v>
      </c>
      <c r="K3751" s="771"/>
    </row>
    <row r="3752" spans="1:11" ht="18.75" customHeight="1" outlineLevel="2">
      <c r="A3752" s="791" t="s">
        <v>776</v>
      </c>
      <c r="B3752" s="791" t="s">
        <v>1039</v>
      </c>
      <c r="C3752" s="791" t="s">
        <v>778</v>
      </c>
      <c r="D3752" s="792" t="s">
        <v>779</v>
      </c>
      <c r="E3752" s="793" t="s">
        <v>947</v>
      </c>
      <c r="F3752" s="793" t="s">
        <v>972</v>
      </c>
      <c r="G3752" s="793" t="s">
        <v>782</v>
      </c>
      <c r="H3752" s="793" t="s">
        <v>804</v>
      </c>
      <c r="I3752" s="794">
        <v>1.3554257136621863E-4</v>
      </c>
      <c r="J3752" s="794">
        <v>3.1289418872942423</v>
      </c>
      <c r="K3752" s="771"/>
    </row>
    <row r="3753" spans="1:11" ht="18.75" customHeight="1" outlineLevel="2">
      <c r="A3753" s="791" t="s">
        <v>776</v>
      </c>
      <c r="B3753" s="791" t="s">
        <v>1039</v>
      </c>
      <c r="C3753" s="791" t="s">
        <v>778</v>
      </c>
      <c r="D3753" s="792" t="s">
        <v>779</v>
      </c>
      <c r="E3753" s="793" t="s">
        <v>947</v>
      </c>
      <c r="F3753" s="793" t="s">
        <v>973</v>
      </c>
      <c r="G3753" s="793" t="s">
        <v>782</v>
      </c>
      <c r="H3753" s="793" t="s">
        <v>804</v>
      </c>
      <c r="I3753" s="794">
        <v>3.7004376860606592E-3</v>
      </c>
      <c r="J3753" s="794">
        <v>198.93513486716421</v>
      </c>
      <c r="K3753" s="771"/>
    </row>
    <row r="3754" spans="1:11" ht="18.75" customHeight="1" outlineLevel="2">
      <c r="A3754" s="791" t="s">
        <v>776</v>
      </c>
      <c r="B3754" s="791" t="s">
        <v>1039</v>
      </c>
      <c r="C3754" s="791" t="s">
        <v>778</v>
      </c>
      <c r="D3754" s="792" t="s">
        <v>779</v>
      </c>
      <c r="E3754" s="793" t="s">
        <v>947</v>
      </c>
      <c r="F3754" s="793" t="s">
        <v>974</v>
      </c>
      <c r="G3754" s="793" t="s">
        <v>785</v>
      </c>
      <c r="H3754" s="793" t="s">
        <v>727</v>
      </c>
      <c r="I3754" s="794">
        <v>3.6554437802611506E-4</v>
      </c>
      <c r="J3754" s="794">
        <v>8.8434926587784144</v>
      </c>
      <c r="K3754" s="771"/>
    </row>
    <row r="3755" spans="1:11" ht="18.75" customHeight="1" outlineLevel="2">
      <c r="A3755" s="791" t="s">
        <v>776</v>
      </c>
      <c r="B3755" s="791" t="s">
        <v>1039</v>
      </c>
      <c r="C3755" s="791" t="s">
        <v>778</v>
      </c>
      <c r="D3755" s="792" t="s">
        <v>779</v>
      </c>
      <c r="E3755" s="793" t="s">
        <v>947</v>
      </c>
      <c r="F3755" s="793" t="s">
        <v>975</v>
      </c>
      <c r="G3755" s="793" t="s">
        <v>785</v>
      </c>
      <c r="H3755" s="793" t="s">
        <v>727</v>
      </c>
      <c r="I3755" s="794">
        <v>1.8191794773118172E-3</v>
      </c>
      <c r="J3755" s="794">
        <v>128.2978093589218</v>
      </c>
      <c r="K3755" s="771"/>
    </row>
    <row r="3756" spans="1:11" ht="18.75" customHeight="1" outlineLevel="2">
      <c r="A3756" s="791" t="s">
        <v>776</v>
      </c>
      <c r="B3756" s="791" t="s">
        <v>1039</v>
      </c>
      <c r="C3756" s="791" t="s">
        <v>778</v>
      </c>
      <c r="D3756" s="792" t="s">
        <v>779</v>
      </c>
      <c r="E3756" s="793" t="s">
        <v>947</v>
      </c>
      <c r="F3756" s="793" t="s">
        <v>976</v>
      </c>
      <c r="G3756" s="793" t="s">
        <v>785</v>
      </c>
      <c r="H3756" s="793" t="s">
        <v>727</v>
      </c>
      <c r="I3756" s="794">
        <v>1.0686720101293606E-3</v>
      </c>
      <c r="J3756" s="794">
        <v>56.037856519102334</v>
      </c>
      <c r="K3756" s="771"/>
    </row>
    <row r="3757" spans="1:11" ht="18.75" customHeight="1" outlineLevel="2">
      <c r="A3757" s="791" t="s">
        <v>776</v>
      </c>
      <c r="B3757" s="791" t="s">
        <v>1039</v>
      </c>
      <c r="C3757" s="791" t="s">
        <v>778</v>
      </c>
      <c r="D3757" s="792" t="s">
        <v>779</v>
      </c>
      <c r="E3757" s="793" t="s">
        <v>947</v>
      </c>
      <c r="F3757" s="793" t="s">
        <v>977</v>
      </c>
      <c r="G3757" s="793" t="s">
        <v>785</v>
      </c>
      <c r="H3757" s="793" t="s">
        <v>727</v>
      </c>
      <c r="I3757" s="794">
        <v>1.2649623530512129E-3</v>
      </c>
      <c r="J3757" s="794">
        <v>56.824570117935359</v>
      </c>
      <c r="K3757" s="771"/>
    </row>
    <row r="3758" spans="1:11" ht="18.75" customHeight="1" outlineLevel="2">
      <c r="A3758" s="791" t="s">
        <v>776</v>
      </c>
      <c r="B3758" s="791" t="s">
        <v>1039</v>
      </c>
      <c r="C3758" s="791" t="s">
        <v>778</v>
      </c>
      <c r="D3758" s="792" t="s">
        <v>779</v>
      </c>
      <c r="E3758" s="793" t="s">
        <v>947</v>
      </c>
      <c r="F3758" s="793" t="s">
        <v>978</v>
      </c>
      <c r="G3758" s="793" t="s">
        <v>785</v>
      </c>
      <c r="H3758" s="793" t="s">
        <v>727</v>
      </c>
      <c r="I3758" s="794">
        <v>8.0116976114532292E-5</v>
      </c>
      <c r="J3758" s="794">
        <v>2.1915061037601684</v>
      </c>
      <c r="K3758" s="771"/>
    </row>
    <row r="3759" spans="1:11" ht="18.75" customHeight="1" outlineLevel="2">
      <c r="A3759" s="791" t="s">
        <v>776</v>
      </c>
      <c r="B3759" s="791" t="s">
        <v>1039</v>
      </c>
      <c r="C3759" s="791" t="s">
        <v>778</v>
      </c>
      <c r="D3759" s="792" t="s">
        <v>779</v>
      </c>
      <c r="E3759" s="793" t="s">
        <v>947</v>
      </c>
      <c r="F3759" s="793" t="s">
        <v>979</v>
      </c>
      <c r="G3759" s="793" t="s">
        <v>785</v>
      </c>
      <c r="H3759" s="793" t="s">
        <v>727</v>
      </c>
      <c r="I3759" s="794">
        <v>4.8185833819789248E-2</v>
      </c>
      <c r="J3759" s="794">
        <v>1583.6942529602256</v>
      </c>
      <c r="K3759" s="771"/>
    </row>
    <row r="3760" spans="1:11" ht="18.75" customHeight="1" outlineLevel="2">
      <c r="A3760" s="791" t="s">
        <v>776</v>
      </c>
      <c r="B3760" s="791" t="s">
        <v>1039</v>
      </c>
      <c r="C3760" s="791" t="s">
        <v>778</v>
      </c>
      <c r="D3760" s="792" t="s">
        <v>779</v>
      </c>
      <c r="E3760" s="793" t="s">
        <v>947</v>
      </c>
      <c r="F3760" s="793" t="s">
        <v>980</v>
      </c>
      <c r="G3760" s="793" t="s">
        <v>785</v>
      </c>
      <c r="H3760" s="793" t="s">
        <v>727</v>
      </c>
      <c r="I3760" s="794">
        <v>9.9746412436945982E-4</v>
      </c>
      <c r="J3760" s="794">
        <v>80.861503405096371</v>
      </c>
      <c r="K3760" s="771"/>
    </row>
    <row r="3761" spans="1:11" ht="18.75" customHeight="1" outlineLevel="2">
      <c r="A3761" s="791" t="s">
        <v>776</v>
      </c>
      <c r="B3761" s="791" t="s">
        <v>1039</v>
      </c>
      <c r="C3761" s="791" t="s">
        <v>778</v>
      </c>
      <c r="D3761" s="792" t="s">
        <v>779</v>
      </c>
      <c r="E3761" s="793" t="s">
        <v>947</v>
      </c>
      <c r="F3761" s="793" t="s">
        <v>981</v>
      </c>
      <c r="G3761" s="793" t="s">
        <v>813</v>
      </c>
      <c r="H3761" s="793" t="s">
        <v>814</v>
      </c>
      <c r="I3761" s="794">
        <v>1.0974957722862766E-6</v>
      </c>
      <c r="J3761" s="794">
        <v>2.750749892813505E-2</v>
      </c>
      <c r="K3761" s="771"/>
    </row>
    <row r="3762" spans="1:11" ht="18.75" customHeight="1" outlineLevel="2">
      <c r="A3762" s="791" t="s">
        <v>776</v>
      </c>
      <c r="B3762" s="791" t="s">
        <v>1039</v>
      </c>
      <c r="C3762" s="791" t="s">
        <v>778</v>
      </c>
      <c r="D3762" s="792" t="s">
        <v>779</v>
      </c>
      <c r="E3762" s="793" t="s">
        <v>947</v>
      </c>
      <c r="F3762" s="793" t="s">
        <v>982</v>
      </c>
      <c r="G3762" s="793" t="s">
        <v>813</v>
      </c>
      <c r="H3762" s="793" t="s">
        <v>814</v>
      </c>
      <c r="I3762" s="794">
        <v>1.2898834477083758E-4</v>
      </c>
      <c r="J3762" s="794">
        <v>7.2253977856642422</v>
      </c>
      <c r="K3762" s="771"/>
    </row>
    <row r="3763" spans="1:11" ht="18.75" customHeight="1" outlineLevel="2">
      <c r="A3763" s="791" t="s">
        <v>776</v>
      </c>
      <c r="B3763" s="791" t="s">
        <v>1039</v>
      </c>
      <c r="C3763" s="791" t="s">
        <v>778</v>
      </c>
      <c r="D3763" s="792" t="s">
        <v>779</v>
      </c>
      <c r="E3763" s="793" t="s">
        <v>947</v>
      </c>
      <c r="F3763" s="793" t="s">
        <v>983</v>
      </c>
      <c r="G3763" s="793" t="s">
        <v>813</v>
      </c>
      <c r="H3763" s="793" t="s">
        <v>814</v>
      </c>
      <c r="I3763" s="794">
        <v>8.6797014655532242E-3</v>
      </c>
      <c r="J3763" s="794">
        <v>192.82080921700853</v>
      </c>
      <c r="K3763" s="771"/>
    </row>
    <row r="3764" spans="1:11" ht="18.75" customHeight="1" outlineLevel="2">
      <c r="A3764" s="791" t="s">
        <v>776</v>
      </c>
      <c r="B3764" s="791" t="s">
        <v>1039</v>
      </c>
      <c r="C3764" s="791" t="s">
        <v>778</v>
      </c>
      <c r="D3764" s="792" t="s">
        <v>779</v>
      </c>
      <c r="E3764" s="793" t="s">
        <v>947</v>
      </c>
      <c r="F3764" s="793" t="s">
        <v>984</v>
      </c>
      <c r="G3764" s="793" t="s">
        <v>813</v>
      </c>
      <c r="H3764" s="793" t="s">
        <v>814</v>
      </c>
      <c r="I3764" s="794">
        <v>2.2826070713808898E-3</v>
      </c>
      <c r="J3764" s="794">
        <v>39.804356460336706</v>
      </c>
      <c r="K3764" s="771"/>
    </row>
    <row r="3765" spans="1:11" ht="18.75" customHeight="1" outlineLevel="2">
      <c r="A3765" s="791" t="s">
        <v>776</v>
      </c>
      <c r="B3765" s="791" t="s">
        <v>1039</v>
      </c>
      <c r="C3765" s="791" t="s">
        <v>778</v>
      </c>
      <c r="D3765" s="792" t="s">
        <v>779</v>
      </c>
      <c r="E3765" s="793" t="s">
        <v>947</v>
      </c>
      <c r="F3765" s="793" t="s">
        <v>985</v>
      </c>
      <c r="G3765" s="793" t="s">
        <v>813</v>
      </c>
      <c r="H3765" s="793" t="s">
        <v>814</v>
      </c>
      <c r="I3765" s="794">
        <v>5.3951894177347321E-3</v>
      </c>
      <c r="J3765" s="794">
        <v>262.85316489939629</v>
      </c>
      <c r="K3765" s="771"/>
    </row>
    <row r="3766" spans="1:11" ht="18.75" customHeight="1" outlineLevel="2">
      <c r="A3766" s="791" t="s">
        <v>776</v>
      </c>
      <c r="B3766" s="791" t="s">
        <v>1039</v>
      </c>
      <c r="C3766" s="791" t="s">
        <v>778</v>
      </c>
      <c r="D3766" s="792" t="s">
        <v>779</v>
      </c>
      <c r="E3766" s="793" t="s">
        <v>947</v>
      </c>
      <c r="F3766" s="793" t="s">
        <v>986</v>
      </c>
      <c r="G3766" s="793" t="s">
        <v>813</v>
      </c>
      <c r="H3766" s="793" t="s">
        <v>814</v>
      </c>
      <c r="I3766" s="794">
        <v>9.2525174793088377E-4</v>
      </c>
      <c r="J3766" s="794">
        <v>30.970724691866963</v>
      </c>
      <c r="K3766" s="771"/>
    </row>
    <row r="3767" spans="1:11" ht="18.75" customHeight="1" outlineLevel="2">
      <c r="A3767" s="791" t="s">
        <v>776</v>
      </c>
      <c r="B3767" s="791" t="s">
        <v>1039</v>
      </c>
      <c r="C3767" s="791" t="s">
        <v>778</v>
      </c>
      <c r="D3767" s="792" t="s">
        <v>779</v>
      </c>
      <c r="E3767" s="793" t="s">
        <v>947</v>
      </c>
      <c r="F3767" s="793" t="s">
        <v>987</v>
      </c>
      <c r="G3767" s="793" t="s">
        <v>813</v>
      </c>
      <c r="H3767" s="793" t="s">
        <v>814</v>
      </c>
      <c r="I3767" s="794">
        <v>2.6013325144022126E-5</v>
      </c>
      <c r="J3767" s="794">
        <v>0.78641466468069088</v>
      </c>
      <c r="K3767" s="771"/>
    </row>
    <row r="3768" spans="1:11" ht="18.75" customHeight="1" outlineLevel="2">
      <c r="A3768" s="791" t="s">
        <v>776</v>
      </c>
      <c r="B3768" s="791" t="s">
        <v>1039</v>
      </c>
      <c r="C3768" s="791" t="s">
        <v>778</v>
      </c>
      <c r="D3768" s="792" t="s">
        <v>779</v>
      </c>
      <c r="E3768" s="793" t="s">
        <v>947</v>
      </c>
      <c r="F3768" s="793" t="s">
        <v>988</v>
      </c>
      <c r="G3768" s="793" t="s">
        <v>791</v>
      </c>
      <c r="H3768" s="793" t="s">
        <v>826</v>
      </c>
      <c r="I3768" s="794">
        <v>5.3736387050742676E-6</v>
      </c>
      <c r="J3768" s="794">
        <v>4.5930651964048066E-2</v>
      </c>
      <c r="K3768" s="771"/>
    </row>
    <row r="3769" spans="1:11" ht="18.75" customHeight="1" outlineLevel="2">
      <c r="A3769" s="791" t="s">
        <v>776</v>
      </c>
      <c r="B3769" s="791" t="s">
        <v>1039</v>
      </c>
      <c r="C3769" s="791" t="s">
        <v>778</v>
      </c>
      <c r="D3769" s="792" t="s">
        <v>779</v>
      </c>
      <c r="E3769" s="793" t="s">
        <v>947</v>
      </c>
      <c r="F3769" s="793" t="s">
        <v>989</v>
      </c>
      <c r="G3769" s="793" t="s">
        <v>791</v>
      </c>
      <c r="H3769" s="793" t="s">
        <v>826</v>
      </c>
      <c r="I3769" s="794">
        <v>3.2505273033812274E-2</v>
      </c>
      <c r="J3769" s="794">
        <v>1907.1407791981576</v>
      </c>
      <c r="K3769" s="771"/>
    </row>
    <row r="3770" spans="1:11" ht="18.75" customHeight="1" outlineLevel="2">
      <c r="A3770" s="791" t="s">
        <v>776</v>
      </c>
      <c r="B3770" s="791" t="s">
        <v>1039</v>
      </c>
      <c r="C3770" s="791" t="s">
        <v>778</v>
      </c>
      <c r="D3770" s="792" t="s">
        <v>779</v>
      </c>
      <c r="E3770" s="793" t="s">
        <v>947</v>
      </c>
      <c r="F3770" s="793" t="s">
        <v>990</v>
      </c>
      <c r="G3770" s="793" t="s">
        <v>791</v>
      </c>
      <c r="H3770" s="793" t="s">
        <v>826</v>
      </c>
      <c r="I3770" s="794">
        <v>1.5514440525615715E-3</v>
      </c>
      <c r="J3770" s="794">
        <v>170.9914368614931</v>
      </c>
      <c r="K3770" s="771"/>
    </row>
    <row r="3771" spans="1:11" ht="18.75" customHeight="1" outlineLevel="2">
      <c r="A3771" s="791" t="s">
        <v>776</v>
      </c>
      <c r="B3771" s="791" t="s">
        <v>1039</v>
      </c>
      <c r="C3771" s="791" t="s">
        <v>778</v>
      </c>
      <c r="D3771" s="792" t="s">
        <v>779</v>
      </c>
      <c r="E3771" s="793" t="s">
        <v>947</v>
      </c>
      <c r="F3771" s="793" t="s">
        <v>991</v>
      </c>
      <c r="G3771" s="793" t="s">
        <v>791</v>
      </c>
      <c r="H3771" s="793" t="s">
        <v>826</v>
      </c>
      <c r="I3771" s="794">
        <v>1.232323551508661E-5</v>
      </c>
      <c r="J3771" s="794">
        <v>0.94644957541849439</v>
      </c>
      <c r="K3771" s="771"/>
    </row>
    <row r="3772" spans="1:11" ht="18.75" customHeight="1" outlineLevel="2">
      <c r="A3772" s="791" t="s">
        <v>776</v>
      </c>
      <c r="B3772" s="791" t="s">
        <v>1039</v>
      </c>
      <c r="C3772" s="791" t="s">
        <v>778</v>
      </c>
      <c r="D3772" s="792" t="s">
        <v>779</v>
      </c>
      <c r="E3772" s="793" t="s">
        <v>947</v>
      </c>
      <c r="F3772" s="793" t="s">
        <v>992</v>
      </c>
      <c r="G3772" s="793" t="s">
        <v>791</v>
      </c>
      <c r="H3772" s="793" t="s">
        <v>826</v>
      </c>
      <c r="I3772" s="794">
        <v>2.4022378526736836E-6</v>
      </c>
      <c r="J3772" s="794">
        <v>0.19882022976456665</v>
      </c>
      <c r="K3772" s="771"/>
    </row>
    <row r="3773" spans="1:11" ht="18.75" customHeight="1" outlineLevel="2">
      <c r="A3773" s="791" t="s">
        <v>776</v>
      </c>
      <c r="B3773" s="791" t="s">
        <v>1039</v>
      </c>
      <c r="C3773" s="791" t="s">
        <v>778</v>
      </c>
      <c r="D3773" s="792" t="s">
        <v>779</v>
      </c>
      <c r="E3773" s="793" t="s">
        <v>947</v>
      </c>
      <c r="F3773" s="793" t="s">
        <v>993</v>
      </c>
      <c r="G3773" s="793" t="s">
        <v>791</v>
      </c>
      <c r="H3773" s="793" t="s">
        <v>826</v>
      </c>
      <c r="I3773" s="794">
        <v>1.5770664437513986E-4</v>
      </c>
      <c r="J3773" s="794">
        <v>14.500821336691763</v>
      </c>
      <c r="K3773" s="771"/>
    </row>
    <row r="3774" spans="1:11" ht="18.75" customHeight="1" outlineLevel="2">
      <c r="A3774" s="791" t="s">
        <v>776</v>
      </c>
      <c r="B3774" s="791" t="s">
        <v>1039</v>
      </c>
      <c r="C3774" s="791" t="s">
        <v>778</v>
      </c>
      <c r="D3774" s="792" t="s">
        <v>779</v>
      </c>
      <c r="E3774" s="793" t="s">
        <v>947</v>
      </c>
      <c r="F3774" s="793" t="s">
        <v>994</v>
      </c>
      <c r="G3774" s="793" t="s">
        <v>791</v>
      </c>
      <c r="H3774" s="793" t="s">
        <v>826</v>
      </c>
      <c r="I3774" s="794">
        <v>3.334322335796501E-7</v>
      </c>
      <c r="J3774" s="794">
        <v>4.0119296159966455E-2</v>
      </c>
      <c r="K3774" s="771"/>
    </row>
    <row r="3775" spans="1:11" ht="18.75" customHeight="1" outlineLevel="2">
      <c r="A3775" s="791" t="s">
        <v>776</v>
      </c>
      <c r="B3775" s="791" t="s">
        <v>1039</v>
      </c>
      <c r="C3775" s="791" t="s">
        <v>778</v>
      </c>
      <c r="D3775" s="792" t="s">
        <v>779</v>
      </c>
      <c r="E3775" s="793" t="s">
        <v>947</v>
      </c>
      <c r="F3775" s="793" t="s">
        <v>995</v>
      </c>
      <c r="G3775" s="793" t="s">
        <v>791</v>
      </c>
      <c r="H3775" s="793" t="s">
        <v>826</v>
      </c>
      <c r="I3775" s="794">
        <v>1.4194587846081392E-4</v>
      </c>
      <c r="J3775" s="794">
        <v>13.407925690699127</v>
      </c>
      <c r="K3775" s="771"/>
    </row>
    <row r="3776" spans="1:11" ht="18.75" customHeight="1" outlineLevel="2">
      <c r="A3776" s="791" t="s">
        <v>776</v>
      </c>
      <c r="B3776" s="791" t="s">
        <v>1039</v>
      </c>
      <c r="C3776" s="791" t="s">
        <v>778</v>
      </c>
      <c r="D3776" s="792" t="s">
        <v>779</v>
      </c>
      <c r="E3776" s="793" t="s">
        <v>947</v>
      </c>
      <c r="F3776" s="793" t="s">
        <v>996</v>
      </c>
      <c r="G3776" s="793" t="s">
        <v>791</v>
      </c>
      <c r="H3776" s="793" t="s">
        <v>826</v>
      </c>
      <c r="I3776" s="794">
        <v>4.1968824217953113E-4</v>
      </c>
      <c r="J3776" s="794">
        <v>37.312048762371639</v>
      </c>
      <c r="K3776" s="771"/>
    </row>
    <row r="3777" spans="1:11" ht="18.75" customHeight="1" outlineLevel="2">
      <c r="A3777" s="791" t="s">
        <v>776</v>
      </c>
      <c r="B3777" s="791" t="s">
        <v>1039</v>
      </c>
      <c r="C3777" s="791" t="s">
        <v>778</v>
      </c>
      <c r="D3777" s="792" t="s">
        <v>779</v>
      </c>
      <c r="E3777" s="793" t="s">
        <v>947</v>
      </c>
      <c r="F3777" s="793" t="s">
        <v>997</v>
      </c>
      <c r="G3777" s="793" t="s">
        <v>791</v>
      </c>
      <c r="H3777" s="793" t="s">
        <v>826</v>
      </c>
      <c r="I3777" s="794">
        <v>6.3650680637480851E-4</v>
      </c>
      <c r="J3777" s="794">
        <v>27.512850062155891</v>
      </c>
      <c r="K3777" s="771"/>
    </row>
    <row r="3778" spans="1:11" ht="18.75" customHeight="1" outlineLevel="2">
      <c r="A3778" s="791" t="s">
        <v>776</v>
      </c>
      <c r="B3778" s="791" t="s">
        <v>1039</v>
      </c>
      <c r="C3778" s="791" t="s">
        <v>778</v>
      </c>
      <c r="D3778" s="792" t="s">
        <v>779</v>
      </c>
      <c r="E3778" s="793" t="s">
        <v>947</v>
      </c>
      <c r="F3778" s="793" t="s">
        <v>998</v>
      </c>
      <c r="G3778" s="793" t="s">
        <v>794</v>
      </c>
      <c r="H3778" s="793" t="s">
        <v>828</v>
      </c>
      <c r="I3778" s="794">
        <v>6.4710908139215722E-3</v>
      </c>
      <c r="J3778" s="794">
        <v>236.62817984500094</v>
      </c>
      <c r="K3778" s="771"/>
    </row>
    <row r="3779" spans="1:11" ht="18.75" customHeight="1" outlineLevel="2">
      <c r="A3779" s="791" t="s">
        <v>776</v>
      </c>
      <c r="B3779" s="791" t="s">
        <v>1039</v>
      </c>
      <c r="C3779" s="791" t="s">
        <v>778</v>
      </c>
      <c r="D3779" s="792" t="s">
        <v>779</v>
      </c>
      <c r="E3779" s="793" t="s">
        <v>947</v>
      </c>
      <c r="F3779" s="793" t="s">
        <v>999</v>
      </c>
      <c r="G3779" s="793" t="s">
        <v>794</v>
      </c>
      <c r="H3779" s="793" t="s">
        <v>828</v>
      </c>
      <c r="I3779" s="794">
        <v>1.5260825513147102E-3</v>
      </c>
      <c r="J3779" s="794">
        <v>55.848568796867625</v>
      </c>
      <c r="K3779" s="771"/>
    </row>
    <row r="3780" spans="1:11" ht="18.75" customHeight="1" outlineLevel="2">
      <c r="A3780" s="791" t="s">
        <v>776</v>
      </c>
      <c r="B3780" s="791" t="s">
        <v>1039</v>
      </c>
      <c r="C3780" s="791" t="s">
        <v>778</v>
      </c>
      <c r="D3780" s="792" t="s">
        <v>779</v>
      </c>
      <c r="E3780" s="793" t="s">
        <v>947</v>
      </c>
      <c r="F3780" s="793" t="s">
        <v>1000</v>
      </c>
      <c r="G3780" s="793" t="s">
        <v>794</v>
      </c>
      <c r="H3780" s="793" t="s">
        <v>828</v>
      </c>
      <c r="I3780" s="794">
        <v>4.2830712155730285E-3</v>
      </c>
      <c r="J3780" s="794">
        <v>154.94501344949421</v>
      </c>
      <c r="K3780" s="771"/>
    </row>
    <row r="3781" spans="1:11" ht="18.75" customHeight="1" outlineLevel="2">
      <c r="A3781" s="791" t="s">
        <v>776</v>
      </c>
      <c r="B3781" s="791" t="s">
        <v>1039</v>
      </c>
      <c r="C3781" s="791" t="s">
        <v>778</v>
      </c>
      <c r="D3781" s="792" t="s">
        <v>779</v>
      </c>
      <c r="E3781" s="793" t="s">
        <v>947</v>
      </c>
      <c r="F3781" s="793" t="s">
        <v>1001</v>
      </c>
      <c r="G3781" s="793" t="s">
        <v>794</v>
      </c>
      <c r="H3781" s="793" t="s">
        <v>828</v>
      </c>
      <c r="I3781" s="794">
        <v>3.6166979306159492E-3</v>
      </c>
      <c r="J3781" s="794">
        <v>78.670334259495945</v>
      </c>
      <c r="K3781" s="771"/>
    </row>
    <row r="3782" spans="1:11" ht="18.75" customHeight="1" outlineLevel="2">
      <c r="A3782" s="791" t="s">
        <v>776</v>
      </c>
      <c r="B3782" s="791" t="s">
        <v>1039</v>
      </c>
      <c r="C3782" s="791" t="s">
        <v>778</v>
      </c>
      <c r="D3782" s="792" t="s">
        <v>779</v>
      </c>
      <c r="E3782" s="793" t="s">
        <v>947</v>
      </c>
      <c r="F3782" s="793" t="s">
        <v>1002</v>
      </c>
      <c r="G3782" s="793" t="s">
        <v>794</v>
      </c>
      <c r="H3782" s="793" t="s">
        <v>828</v>
      </c>
      <c r="I3782" s="794">
        <v>1.799103961907851E-4</v>
      </c>
      <c r="J3782" s="794">
        <v>7.5661125215139942</v>
      </c>
      <c r="K3782" s="771"/>
    </row>
    <row r="3783" spans="1:11" ht="18.75" customHeight="1" outlineLevel="2">
      <c r="A3783" s="791" t="s">
        <v>776</v>
      </c>
      <c r="B3783" s="791" t="s">
        <v>1039</v>
      </c>
      <c r="C3783" s="791" t="s">
        <v>778</v>
      </c>
      <c r="D3783" s="792" t="s">
        <v>779</v>
      </c>
      <c r="E3783" s="793" t="s">
        <v>947</v>
      </c>
      <c r="F3783" s="793" t="s">
        <v>1003</v>
      </c>
      <c r="G3783" s="793" t="s">
        <v>794</v>
      </c>
      <c r="H3783" s="793" t="s">
        <v>828</v>
      </c>
      <c r="I3783" s="794">
        <v>2.0813579519203987E-4</v>
      </c>
      <c r="J3783" s="794">
        <v>6.6966158126427322</v>
      </c>
      <c r="K3783" s="771"/>
    </row>
    <row r="3784" spans="1:11" ht="18.75" customHeight="1" outlineLevel="2">
      <c r="A3784" s="791" t="s">
        <v>776</v>
      </c>
      <c r="B3784" s="791" t="s">
        <v>1039</v>
      </c>
      <c r="C3784" s="791" t="s">
        <v>778</v>
      </c>
      <c r="D3784" s="792" t="s">
        <v>779</v>
      </c>
      <c r="E3784" s="793" t="s">
        <v>947</v>
      </c>
      <c r="F3784" s="793" t="s">
        <v>1004</v>
      </c>
      <c r="G3784" s="793" t="s">
        <v>833</v>
      </c>
      <c r="H3784" s="793" t="s">
        <v>834</v>
      </c>
      <c r="I3784" s="794">
        <v>7.5830132284290443E-3</v>
      </c>
      <c r="J3784" s="794">
        <v>496.97449713709472</v>
      </c>
      <c r="K3784" s="771"/>
    </row>
    <row r="3785" spans="1:11" ht="18.75" customHeight="1" outlineLevel="2">
      <c r="A3785" s="791" t="s">
        <v>776</v>
      </c>
      <c r="B3785" s="791" t="s">
        <v>1039</v>
      </c>
      <c r="C3785" s="791" t="s">
        <v>778</v>
      </c>
      <c r="D3785" s="792" t="s">
        <v>1010</v>
      </c>
      <c r="E3785" s="793" t="s">
        <v>662</v>
      </c>
      <c r="F3785" s="793" t="s">
        <v>1011</v>
      </c>
      <c r="G3785" s="793" t="s">
        <v>1012</v>
      </c>
      <c r="H3785" s="793" t="s">
        <v>1013</v>
      </c>
      <c r="I3785" s="794">
        <v>1.4588190504058473E-5</v>
      </c>
      <c r="J3785" s="794">
        <v>4.9473372986494381E-2</v>
      </c>
      <c r="K3785" s="771"/>
    </row>
    <row r="3786" spans="1:11" ht="18.75" customHeight="1" outlineLevel="2">
      <c r="A3786" s="791" t="s">
        <v>776</v>
      </c>
      <c r="B3786" s="791" t="s">
        <v>1039</v>
      </c>
      <c r="C3786" s="791" t="s">
        <v>778</v>
      </c>
      <c r="D3786" s="792" t="s">
        <v>1010</v>
      </c>
      <c r="E3786" s="793" t="s">
        <v>763</v>
      </c>
      <c r="F3786" s="793" t="s">
        <v>1014</v>
      </c>
      <c r="G3786" s="793" t="s">
        <v>1012</v>
      </c>
      <c r="H3786" s="793" t="s">
        <v>913</v>
      </c>
      <c r="I3786" s="794">
        <v>1.6470028872473042E-6</v>
      </c>
      <c r="J3786" s="794">
        <v>2.7604484612834362E-2</v>
      </c>
      <c r="K3786" s="771"/>
    </row>
    <row r="3787" spans="1:11" ht="18.75" customHeight="1" outlineLevel="2">
      <c r="A3787" s="791" t="s">
        <v>776</v>
      </c>
      <c r="B3787" s="791" t="s">
        <v>1039</v>
      </c>
      <c r="C3787" s="791" t="s">
        <v>778</v>
      </c>
      <c r="D3787" s="792" t="s">
        <v>1010</v>
      </c>
      <c r="E3787" s="793" t="s">
        <v>947</v>
      </c>
      <c r="F3787" s="793" t="s">
        <v>1015</v>
      </c>
      <c r="G3787" s="793" t="s">
        <v>1012</v>
      </c>
      <c r="H3787" s="793" t="s">
        <v>1013</v>
      </c>
      <c r="I3787" s="794">
        <v>2.8670246058931763E-5</v>
      </c>
      <c r="J3787" s="794">
        <v>1.526861683918556</v>
      </c>
      <c r="K3787" s="771"/>
    </row>
    <row r="3788" spans="1:11" ht="18.75" customHeight="1" outlineLevel="2">
      <c r="A3788" s="791" t="s">
        <v>776</v>
      </c>
      <c r="B3788" s="791" t="s">
        <v>1040</v>
      </c>
      <c r="C3788" s="791" t="s">
        <v>778</v>
      </c>
      <c r="D3788" s="792" t="s">
        <v>779</v>
      </c>
      <c r="E3788" s="793" t="s">
        <v>780</v>
      </c>
      <c r="F3788" s="793" t="s">
        <v>781</v>
      </c>
      <c r="G3788" s="793" t="s">
        <v>782</v>
      </c>
      <c r="H3788" s="793" t="s">
        <v>783</v>
      </c>
      <c r="I3788" s="794">
        <v>6.6149430449590505E-4</v>
      </c>
      <c r="J3788" s="794">
        <v>9.7307340049704732E-3</v>
      </c>
      <c r="K3788" s="771"/>
    </row>
    <row r="3789" spans="1:11" ht="18.75" customHeight="1" outlineLevel="2">
      <c r="A3789" s="791" t="s">
        <v>776</v>
      </c>
      <c r="B3789" s="791" t="s">
        <v>1040</v>
      </c>
      <c r="C3789" s="791" t="s">
        <v>778</v>
      </c>
      <c r="D3789" s="792" t="s">
        <v>779</v>
      </c>
      <c r="E3789" s="793" t="s">
        <v>780</v>
      </c>
      <c r="F3789" s="793" t="s">
        <v>784</v>
      </c>
      <c r="G3789" s="793" t="s">
        <v>785</v>
      </c>
      <c r="H3789" s="793" t="s">
        <v>783</v>
      </c>
      <c r="I3789" s="794">
        <v>0.13837606500632857</v>
      </c>
      <c r="J3789" s="794">
        <v>22.471452309104549</v>
      </c>
      <c r="K3789" s="771"/>
    </row>
    <row r="3790" spans="1:11" ht="18.75" customHeight="1" outlineLevel="2">
      <c r="A3790" s="791" t="s">
        <v>776</v>
      </c>
      <c r="B3790" s="791" t="s">
        <v>1040</v>
      </c>
      <c r="C3790" s="791" t="s">
        <v>778</v>
      </c>
      <c r="D3790" s="792" t="s">
        <v>779</v>
      </c>
      <c r="E3790" s="793" t="s">
        <v>780</v>
      </c>
      <c r="F3790" s="793" t="s">
        <v>786</v>
      </c>
      <c r="G3790" s="793" t="s">
        <v>785</v>
      </c>
      <c r="H3790" s="793" t="s">
        <v>783</v>
      </c>
      <c r="I3790" s="794">
        <v>1.1237507553240651E-4</v>
      </c>
      <c r="J3790" s="794">
        <v>1.9037299538612048E-2</v>
      </c>
      <c r="K3790" s="771"/>
    </row>
    <row r="3791" spans="1:11" ht="18.75" customHeight="1" outlineLevel="2">
      <c r="A3791" s="791" t="s">
        <v>776</v>
      </c>
      <c r="B3791" s="791" t="s">
        <v>1040</v>
      </c>
      <c r="C3791" s="791" t="s">
        <v>778</v>
      </c>
      <c r="D3791" s="792" t="s">
        <v>779</v>
      </c>
      <c r="E3791" s="793" t="s">
        <v>780</v>
      </c>
      <c r="F3791" s="793" t="s">
        <v>787</v>
      </c>
      <c r="G3791" s="793" t="s">
        <v>785</v>
      </c>
      <c r="H3791" s="793" t="s">
        <v>783</v>
      </c>
      <c r="I3791" s="794">
        <v>5.6471454734780906E-5</v>
      </c>
      <c r="J3791" s="794">
        <v>1.0374035564322353E-2</v>
      </c>
      <c r="K3791" s="771"/>
    </row>
    <row r="3792" spans="1:11" ht="18.75" customHeight="1" outlineLevel="2">
      <c r="A3792" s="791" t="s">
        <v>776</v>
      </c>
      <c r="B3792" s="791" t="s">
        <v>1040</v>
      </c>
      <c r="C3792" s="791" t="s">
        <v>778</v>
      </c>
      <c r="D3792" s="792" t="s">
        <v>779</v>
      </c>
      <c r="E3792" s="793" t="s">
        <v>780</v>
      </c>
      <c r="F3792" s="793" t="s">
        <v>788</v>
      </c>
      <c r="G3792" s="793" t="s">
        <v>785</v>
      </c>
      <c r="H3792" s="793" t="s">
        <v>783</v>
      </c>
      <c r="I3792" s="794">
        <v>1.0782992131602119E-3</v>
      </c>
      <c r="J3792" s="794">
        <v>0.17176344284555922</v>
      </c>
      <c r="K3792" s="771"/>
    </row>
    <row r="3793" spans="1:11" ht="18.75" customHeight="1" outlineLevel="2">
      <c r="A3793" s="791" t="s">
        <v>776</v>
      </c>
      <c r="B3793" s="791" t="s">
        <v>1040</v>
      </c>
      <c r="C3793" s="791" t="s">
        <v>778</v>
      </c>
      <c r="D3793" s="792" t="s">
        <v>779</v>
      </c>
      <c r="E3793" s="793" t="s">
        <v>780</v>
      </c>
      <c r="F3793" s="793" t="s">
        <v>789</v>
      </c>
      <c r="G3793" s="793" t="s">
        <v>785</v>
      </c>
      <c r="H3793" s="793" t="s">
        <v>783</v>
      </c>
      <c r="I3793" s="794">
        <v>5.1689691190671201E-4</v>
      </c>
      <c r="J3793" s="794">
        <v>0.12715223379575943</v>
      </c>
      <c r="K3793" s="771"/>
    </row>
    <row r="3794" spans="1:11" ht="18.75" customHeight="1" outlineLevel="2">
      <c r="A3794" s="791" t="s">
        <v>776</v>
      </c>
      <c r="B3794" s="791" t="s">
        <v>1040</v>
      </c>
      <c r="C3794" s="791" t="s">
        <v>778</v>
      </c>
      <c r="D3794" s="792" t="s">
        <v>779</v>
      </c>
      <c r="E3794" s="793" t="s">
        <v>780</v>
      </c>
      <c r="F3794" s="793" t="s">
        <v>790</v>
      </c>
      <c r="G3794" s="793" t="s">
        <v>791</v>
      </c>
      <c r="H3794" s="793" t="s">
        <v>783</v>
      </c>
      <c r="I3794" s="794">
        <v>3.2911660814180614E-3</v>
      </c>
      <c r="J3794" s="794">
        <v>4.3716257686103772E-2</v>
      </c>
      <c r="K3794" s="771"/>
    </row>
    <row r="3795" spans="1:11" ht="18.75" customHeight="1" outlineLevel="2">
      <c r="A3795" s="791" t="s">
        <v>776</v>
      </c>
      <c r="B3795" s="791" t="s">
        <v>1040</v>
      </c>
      <c r="C3795" s="791" t="s">
        <v>778</v>
      </c>
      <c r="D3795" s="792" t="s">
        <v>779</v>
      </c>
      <c r="E3795" s="793" t="s">
        <v>780</v>
      </c>
      <c r="F3795" s="793" t="s">
        <v>792</v>
      </c>
      <c r="G3795" s="793" t="s">
        <v>791</v>
      </c>
      <c r="H3795" s="793" t="s">
        <v>783</v>
      </c>
      <c r="I3795" s="794">
        <v>2.4429796531809222E-2</v>
      </c>
      <c r="J3795" s="794">
        <v>4.7445023256351826</v>
      </c>
      <c r="K3795" s="771"/>
    </row>
    <row r="3796" spans="1:11" ht="18.75" customHeight="1" outlineLevel="2">
      <c r="A3796" s="791" t="s">
        <v>776</v>
      </c>
      <c r="B3796" s="791" t="s">
        <v>1040</v>
      </c>
      <c r="C3796" s="791" t="s">
        <v>778</v>
      </c>
      <c r="D3796" s="792" t="s">
        <v>779</v>
      </c>
      <c r="E3796" s="793" t="s">
        <v>780</v>
      </c>
      <c r="F3796" s="793" t="s">
        <v>793</v>
      </c>
      <c r="G3796" s="793" t="s">
        <v>794</v>
      </c>
      <c r="H3796" s="793" t="s">
        <v>783</v>
      </c>
      <c r="I3796" s="794">
        <v>0.15027809904774547</v>
      </c>
      <c r="J3796" s="794">
        <v>3.9001165381717007</v>
      </c>
      <c r="K3796" s="771"/>
    </row>
    <row r="3797" spans="1:11" ht="18.75" customHeight="1" outlineLevel="2">
      <c r="A3797" s="791" t="s">
        <v>776</v>
      </c>
      <c r="B3797" s="791" t="s">
        <v>1040</v>
      </c>
      <c r="C3797" s="791" t="s">
        <v>778</v>
      </c>
      <c r="D3797" s="792" t="s">
        <v>779</v>
      </c>
      <c r="E3797" s="793" t="s">
        <v>780</v>
      </c>
      <c r="F3797" s="793" t="s">
        <v>795</v>
      </c>
      <c r="G3797" s="793" t="s">
        <v>794</v>
      </c>
      <c r="H3797" s="793" t="s">
        <v>783</v>
      </c>
      <c r="I3797" s="794">
        <v>4.5443873098562453E-3</v>
      </c>
      <c r="J3797" s="794">
        <v>0.18619817849702963</v>
      </c>
      <c r="K3797" s="771"/>
    </row>
    <row r="3798" spans="1:11" ht="18.75" customHeight="1" outlineLevel="2">
      <c r="A3798" s="791" t="s">
        <v>776</v>
      </c>
      <c r="B3798" s="791" t="s">
        <v>1040</v>
      </c>
      <c r="C3798" s="791" t="s">
        <v>778</v>
      </c>
      <c r="D3798" s="792" t="s">
        <v>779</v>
      </c>
      <c r="E3798" s="793" t="s">
        <v>780</v>
      </c>
      <c r="F3798" s="793" t="s">
        <v>796</v>
      </c>
      <c r="G3798" s="793" t="s">
        <v>794</v>
      </c>
      <c r="H3798" s="793" t="s">
        <v>783</v>
      </c>
      <c r="I3798" s="794">
        <v>2.3620615999153964E-3</v>
      </c>
      <c r="J3798" s="794">
        <v>0.27220061504313331</v>
      </c>
      <c r="K3798" s="771"/>
    </row>
    <row r="3799" spans="1:11" ht="18.75" customHeight="1" outlineLevel="2">
      <c r="A3799" s="791" t="s">
        <v>776</v>
      </c>
      <c r="B3799" s="791" t="s">
        <v>1040</v>
      </c>
      <c r="C3799" s="791" t="s">
        <v>778</v>
      </c>
      <c r="D3799" s="792" t="s">
        <v>779</v>
      </c>
      <c r="E3799" s="793" t="s">
        <v>780</v>
      </c>
      <c r="F3799" s="793" t="s">
        <v>797</v>
      </c>
      <c r="G3799" s="793" t="s">
        <v>794</v>
      </c>
      <c r="H3799" s="793" t="s">
        <v>783</v>
      </c>
      <c r="I3799" s="794">
        <v>4.6191321840221733E-2</v>
      </c>
      <c r="J3799" s="794">
        <v>9.6662528491206476</v>
      </c>
      <c r="K3799" s="771"/>
    </row>
    <row r="3800" spans="1:11" ht="18.75" customHeight="1" outlineLevel="2">
      <c r="A3800" s="791" t="s">
        <v>776</v>
      </c>
      <c r="B3800" s="791" t="s">
        <v>1040</v>
      </c>
      <c r="C3800" s="791" t="s">
        <v>778</v>
      </c>
      <c r="D3800" s="792" t="s">
        <v>779</v>
      </c>
      <c r="E3800" s="793" t="s">
        <v>662</v>
      </c>
      <c r="F3800" s="793" t="s">
        <v>803</v>
      </c>
      <c r="G3800" s="793" t="s">
        <v>782</v>
      </c>
      <c r="H3800" s="793" t="s">
        <v>804</v>
      </c>
      <c r="I3800" s="794">
        <v>2.0447163454145045E-3</v>
      </c>
      <c r="J3800" s="794">
        <v>1.2687040523166047</v>
      </c>
      <c r="K3800" s="771"/>
    </row>
    <row r="3801" spans="1:11" ht="18.75" customHeight="1" outlineLevel="2">
      <c r="A3801" s="791" t="s">
        <v>776</v>
      </c>
      <c r="B3801" s="791" t="s">
        <v>1040</v>
      </c>
      <c r="C3801" s="791" t="s">
        <v>778</v>
      </c>
      <c r="D3801" s="792" t="s">
        <v>779</v>
      </c>
      <c r="E3801" s="793" t="s">
        <v>662</v>
      </c>
      <c r="F3801" s="793" t="s">
        <v>805</v>
      </c>
      <c r="G3801" s="793" t="s">
        <v>782</v>
      </c>
      <c r="H3801" s="793" t="s">
        <v>804</v>
      </c>
      <c r="I3801" s="794">
        <v>1.696896402222643E-4</v>
      </c>
      <c r="J3801" s="794">
        <v>8.2181785609010086E-2</v>
      </c>
      <c r="K3801" s="771"/>
    </row>
    <row r="3802" spans="1:11" ht="18.75" customHeight="1" outlineLevel="2">
      <c r="A3802" s="791" t="s">
        <v>776</v>
      </c>
      <c r="B3802" s="791" t="s">
        <v>1040</v>
      </c>
      <c r="C3802" s="791" t="s">
        <v>778</v>
      </c>
      <c r="D3802" s="792" t="s">
        <v>779</v>
      </c>
      <c r="E3802" s="793" t="s">
        <v>662</v>
      </c>
      <c r="F3802" s="793" t="s">
        <v>806</v>
      </c>
      <c r="G3802" s="793" t="s">
        <v>782</v>
      </c>
      <c r="H3802" s="793" t="s">
        <v>804</v>
      </c>
      <c r="I3802" s="794">
        <v>2.0564168343238594E-4</v>
      </c>
      <c r="J3802" s="794">
        <v>9.8230619122911159E-2</v>
      </c>
      <c r="K3802" s="771"/>
    </row>
    <row r="3803" spans="1:11" ht="18.75" customHeight="1" outlineLevel="2">
      <c r="A3803" s="791" t="s">
        <v>776</v>
      </c>
      <c r="B3803" s="791" t="s">
        <v>1040</v>
      </c>
      <c r="C3803" s="791" t="s">
        <v>778</v>
      </c>
      <c r="D3803" s="792" t="s">
        <v>779</v>
      </c>
      <c r="E3803" s="793" t="s">
        <v>662</v>
      </c>
      <c r="F3803" s="793" t="s">
        <v>807</v>
      </c>
      <c r="G3803" s="793" t="s">
        <v>782</v>
      </c>
      <c r="H3803" s="793" t="s">
        <v>804</v>
      </c>
      <c r="I3803" s="794">
        <v>1.5208085722540316E-6</v>
      </c>
      <c r="J3803" s="794">
        <v>6.8063198424047678E-4</v>
      </c>
      <c r="K3803" s="771"/>
    </row>
    <row r="3804" spans="1:11" ht="18.75" customHeight="1" outlineLevel="2">
      <c r="A3804" s="791" t="s">
        <v>776</v>
      </c>
      <c r="B3804" s="791" t="s">
        <v>1040</v>
      </c>
      <c r="C3804" s="791" t="s">
        <v>778</v>
      </c>
      <c r="D3804" s="792" t="s">
        <v>779</v>
      </c>
      <c r="E3804" s="793" t="s">
        <v>662</v>
      </c>
      <c r="F3804" s="793" t="s">
        <v>808</v>
      </c>
      <c r="G3804" s="793" t="s">
        <v>782</v>
      </c>
      <c r="H3804" s="793" t="s">
        <v>804</v>
      </c>
      <c r="I3804" s="794">
        <v>5.8619798613478461E-3</v>
      </c>
      <c r="J3804" s="794">
        <v>3.2732362363715062</v>
      </c>
      <c r="K3804" s="771"/>
    </row>
    <row r="3805" spans="1:11" ht="18.75" customHeight="1" outlineLevel="2">
      <c r="A3805" s="791" t="s">
        <v>776</v>
      </c>
      <c r="B3805" s="791" t="s">
        <v>1040</v>
      </c>
      <c r="C3805" s="791" t="s">
        <v>778</v>
      </c>
      <c r="D3805" s="792" t="s">
        <v>779</v>
      </c>
      <c r="E3805" s="793" t="s">
        <v>662</v>
      </c>
      <c r="F3805" s="793" t="s">
        <v>809</v>
      </c>
      <c r="G3805" s="793" t="s">
        <v>782</v>
      </c>
      <c r="H3805" s="793" t="s">
        <v>804</v>
      </c>
      <c r="I3805" s="794">
        <v>4.2860906921685767E-5</v>
      </c>
      <c r="J3805" s="794">
        <v>1.9182233094593441E-2</v>
      </c>
      <c r="K3805" s="771"/>
    </row>
    <row r="3806" spans="1:11" ht="18.75" customHeight="1" outlineLevel="2">
      <c r="A3806" s="791" t="s">
        <v>776</v>
      </c>
      <c r="B3806" s="791" t="s">
        <v>1040</v>
      </c>
      <c r="C3806" s="791" t="s">
        <v>778</v>
      </c>
      <c r="D3806" s="792" t="s">
        <v>779</v>
      </c>
      <c r="E3806" s="793" t="s">
        <v>662</v>
      </c>
      <c r="F3806" s="793" t="s">
        <v>810</v>
      </c>
      <c r="G3806" s="793" t="s">
        <v>785</v>
      </c>
      <c r="H3806" s="793" t="s">
        <v>727</v>
      </c>
      <c r="I3806" s="794">
        <v>1.370476944538886E-4</v>
      </c>
      <c r="J3806" s="794">
        <v>6.1335154336821233E-2</v>
      </c>
      <c r="K3806" s="771"/>
    </row>
    <row r="3807" spans="1:11" ht="18.75" customHeight="1" outlineLevel="2">
      <c r="A3807" s="791" t="s">
        <v>776</v>
      </c>
      <c r="B3807" s="791" t="s">
        <v>1040</v>
      </c>
      <c r="C3807" s="791" t="s">
        <v>778</v>
      </c>
      <c r="D3807" s="792" t="s">
        <v>779</v>
      </c>
      <c r="E3807" s="793" t="s">
        <v>662</v>
      </c>
      <c r="F3807" s="793" t="s">
        <v>811</v>
      </c>
      <c r="G3807" s="793" t="s">
        <v>785</v>
      </c>
      <c r="H3807" s="793" t="s">
        <v>727</v>
      </c>
      <c r="I3807" s="794">
        <v>1.0487086693494969E-5</v>
      </c>
      <c r="J3807" s="794">
        <v>4.6934440352370292E-3</v>
      </c>
      <c r="K3807" s="771"/>
    </row>
    <row r="3808" spans="1:11" ht="18.75" customHeight="1" outlineLevel="2">
      <c r="A3808" s="791" t="s">
        <v>776</v>
      </c>
      <c r="B3808" s="791" t="s">
        <v>1040</v>
      </c>
      <c r="C3808" s="791" t="s">
        <v>778</v>
      </c>
      <c r="D3808" s="792" t="s">
        <v>779</v>
      </c>
      <c r="E3808" s="793" t="s">
        <v>662</v>
      </c>
      <c r="F3808" s="793" t="s">
        <v>812</v>
      </c>
      <c r="G3808" s="793" t="s">
        <v>813</v>
      </c>
      <c r="H3808" s="793" t="s">
        <v>814</v>
      </c>
      <c r="I3808" s="794">
        <v>1.5954410039733015E-3</v>
      </c>
      <c r="J3808" s="794">
        <v>0.87376901184495082</v>
      </c>
      <c r="K3808" s="771"/>
    </row>
    <row r="3809" spans="1:11" ht="18.75" customHeight="1" outlineLevel="2">
      <c r="A3809" s="791" t="s">
        <v>776</v>
      </c>
      <c r="B3809" s="791" t="s">
        <v>1040</v>
      </c>
      <c r="C3809" s="791" t="s">
        <v>778</v>
      </c>
      <c r="D3809" s="792" t="s">
        <v>779</v>
      </c>
      <c r="E3809" s="793" t="s">
        <v>662</v>
      </c>
      <c r="F3809" s="793" t="s">
        <v>815</v>
      </c>
      <c r="G3809" s="793" t="s">
        <v>813</v>
      </c>
      <c r="H3809" s="793" t="s">
        <v>814</v>
      </c>
      <c r="I3809" s="794">
        <v>4.1125672328866027E-2</v>
      </c>
      <c r="J3809" s="794">
        <v>22.102796209254414</v>
      </c>
      <c r="K3809" s="771"/>
    </row>
    <row r="3810" spans="1:11" ht="18.75" customHeight="1" outlineLevel="2">
      <c r="A3810" s="791" t="s">
        <v>776</v>
      </c>
      <c r="B3810" s="791" t="s">
        <v>1040</v>
      </c>
      <c r="C3810" s="791" t="s">
        <v>778</v>
      </c>
      <c r="D3810" s="792" t="s">
        <v>779</v>
      </c>
      <c r="E3810" s="793" t="s">
        <v>662</v>
      </c>
      <c r="F3810" s="793" t="s">
        <v>816</v>
      </c>
      <c r="G3810" s="793" t="s">
        <v>813</v>
      </c>
      <c r="H3810" s="793" t="s">
        <v>814</v>
      </c>
      <c r="I3810" s="794">
        <v>2.2455057794433162E-2</v>
      </c>
      <c r="J3810" s="794">
        <v>11.666462715806576</v>
      </c>
      <c r="K3810" s="771"/>
    </row>
    <row r="3811" spans="1:11" ht="18.75" customHeight="1" outlineLevel="2">
      <c r="A3811" s="791" t="s">
        <v>776</v>
      </c>
      <c r="B3811" s="791" t="s">
        <v>1040</v>
      </c>
      <c r="C3811" s="791" t="s">
        <v>778</v>
      </c>
      <c r="D3811" s="792" t="s">
        <v>779</v>
      </c>
      <c r="E3811" s="793" t="s">
        <v>662</v>
      </c>
      <c r="F3811" s="793" t="s">
        <v>817</v>
      </c>
      <c r="G3811" s="793" t="s">
        <v>813</v>
      </c>
      <c r="H3811" s="793" t="s">
        <v>814</v>
      </c>
      <c r="I3811" s="794">
        <v>0.38886673869856336</v>
      </c>
      <c r="J3811" s="794">
        <v>212.86701463876321</v>
      </c>
      <c r="K3811" s="771"/>
    </row>
    <row r="3812" spans="1:11" ht="18.75" customHeight="1" outlineLevel="2">
      <c r="A3812" s="791" t="s">
        <v>776</v>
      </c>
      <c r="B3812" s="791" t="s">
        <v>1040</v>
      </c>
      <c r="C3812" s="791" t="s">
        <v>778</v>
      </c>
      <c r="D3812" s="792" t="s">
        <v>779</v>
      </c>
      <c r="E3812" s="793" t="s">
        <v>662</v>
      </c>
      <c r="F3812" s="793" t="s">
        <v>818</v>
      </c>
      <c r="G3812" s="793" t="s">
        <v>813</v>
      </c>
      <c r="H3812" s="793" t="s">
        <v>814</v>
      </c>
      <c r="I3812" s="794">
        <v>2.7584783417163368E-2</v>
      </c>
      <c r="J3812" s="794">
        <v>16.202191252071536</v>
      </c>
      <c r="K3812" s="771"/>
    </row>
    <row r="3813" spans="1:11" ht="18.75" customHeight="1" outlineLevel="2">
      <c r="A3813" s="791" t="s">
        <v>776</v>
      </c>
      <c r="B3813" s="791" t="s">
        <v>1040</v>
      </c>
      <c r="C3813" s="791" t="s">
        <v>778</v>
      </c>
      <c r="D3813" s="792" t="s">
        <v>779</v>
      </c>
      <c r="E3813" s="793" t="s">
        <v>662</v>
      </c>
      <c r="F3813" s="793" t="s">
        <v>819</v>
      </c>
      <c r="G3813" s="793" t="s">
        <v>813</v>
      </c>
      <c r="H3813" s="793" t="s">
        <v>814</v>
      </c>
      <c r="I3813" s="794">
        <v>0.36795960152992119</v>
      </c>
      <c r="J3813" s="794">
        <v>186.01732541867588</v>
      </c>
      <c r="K3813" s="771"/>
    </row>
    <row r="3814" spans="1:11" ht="18.75" customHeight="1" outlineLevel="2">
      <c r="A3814" s="791" t="s">
        <v>776</v>
      </c>
      <c r="B3814" s="791" t="s">
        <v>1040</v>
      </c>
      <c r="C3814" s="791" t="s">
        <v>778</v>
      </c>
      <c r="D3814" s="792" t="s">
        <v>779</v>
      </c>
      <c r="E3814" s="793" t="s">
        <v>662</v>
      </c>
      <c r="F3814" s="793" t="s">
        <v>820</v>
      </c>
      <c r="G3814" s="793" t="s">
        <v>813</v>
      </c>
      <c r="H3814" s="793" t="s">
        <v>814</v>
      </c>
      <c r="I3814" s="794">
        <v>1.9443012523258082E-2</v>
      </c>
      <c r="J3814" s="794">
        <v>10.427691072721515</v>
      </c>
      <c r="K3814" s="771"/>
    </row>
    <row r="3815" spans="1:11" ht="18.75" customHeight="1" outlineLevel="2">
      <c r="A3815" s="791" t="s">
        <v>776</v>
      </c>
      <c r="B3815" s="791" t="s">
        <v>1040</v>
      </c>
      <c r="C3815" s="791" t="s">
        <v>778</v>
      </c>
      <c r="D3815" s="792" t="s">
        <v>779</v>
      </c>
      <c r="E3815" s="793" t="s">
        <v>662</v>
      </c>
      <c r="F3815" s="793" t="s">
        <v>821</v>
      </c>
      <c r="G3815" s="793" t="s">
        <v>813</v>
      </c>
      <c r="H3815" s="793" t="s">
        <v>814</v>
      </c>
      <c r="I3815" s="794">
        <v>0.32475869814083586</v>
      </c>
      <c r="J3815" s="794">
        <v>173.69566541473503</v>
      </c>
      <c r="K3815" s="771"/>
    </row>
    <row r="3816" spans="1:11" ht="18.75" customHeight="1" outlineLevel="2">
      <c r="A3816" s="791" t="s">
        <v>776</v>
      </c>
      <c r="B3816" s="791" t="s">
        <v>1040</v>
      </c>
      <c r="C3816" s="791" t="s">
        <v>778</v>
      </c>
      <c r="D3816" s="792" t="s">
        <v>779</v>
      </c>
      <c r="E3816" s="793" t="s">
        <v>662</v>
      </c>
      <c r="F3816" s="793" t="s">
        <v>824</v>
      </c>
      <c r="G3816" s="793" t="s">
        <v>813</v>
      </c>
      <c r="H3816" s="793" t="s">
        <v>814</v>
      </c>
      <c r="I3816" s="794">
        <v>1.8574938062820441E-4</v>
      </c>
      <c r="J3816" s="794">
        <v>9.2685354243726578E-2</v>
      </c>
      <c r="K3816" s="771"/>
    </row>
    <row r="3817" spans="1:11" ht="18.75" customHeight="1" outlineLevel="2">
      <c r="A3817" s="791" t="s">
        <v>776</v>
      </c>
      <c r="B3817" s="791" t="s">
        <v>1040</v>
      </c>
      <c r="C3817" s="791" t="s">
        <v>778</v>
      </c>
      <c r="D3817" s="792" t="s">
        <v>779</v>
      </c>
      <c r="E3817" s="793" t="s">
        <v>662</v>
      </c>
      <c r="F3817" s="793" t="s">
        <v>825</v>
      </c>
      <c r="G3817" s="793" t="s">
        <v>791</v>
      </c>
      <c r="H3817" s="793" t="s">
        <v>826</v>
      </c>
      <c r="I3817" s="794">
        <v>4.0871902363663447E-4</v>
      </c>
      <c r="J3817" s="794">
        <v>0.24855113665928882</v>
      </c>
      <c r="K3817" s="771"/>
    </row>
    <row r="3818" spans="1:11" ht="18.75" customHeight="1" outlineLevel="2">
      <c r="A3818" s="791" t="s">
        <v>776</v>
      </c>
      <c r="B3818" s="791" t="s">
        <v>1040</v>
      </c>
      <c r="C3818" s="791" t="s">
        <v>778</v>
      </c>
      <c r="D3818" s="792" t="s">
        <v>779</v>
      </c>
      <c r="E3818" s="793" t="s">
        <v>662</v>
      </c>
      <c r="F3818" s="793" t="s">
        <v>827</v>
      </c>
      <c r="G3818" s="793" t="s">
        <v>794</v>
      </c>
      <c r="H3818" s="793" t="s">
        <v>828</v>
      </c>
      <c r="I3818" s="794">
        <v>1.3243614706696858E-3</v>
      </c>
      <c r="J3818" s="794">
        <v>0.65570435916382275</v>
      </c>
      <c r="K3818" s="771"/>
    </row>
    <row r="3819" spans="1:11" ht="18.75" customHeight="1" outlineLevel="2">
      <c r="A3819" s="791" t="s">
        <v>776</v>
      </c>
      <c r="B3819" s="791" t="s">
        <v>1040</v>
      </c>
      <c r="C3819" s="791" t="s">
        <v>778</v>
      </c>
      <c r="D3819" s="792" t="s">
        <v>779</v>
      </c>
      <c r="E3819" s="793" t="s">
        <v>662</v>
      </c>
      <c r="F3819" s="793" t="s">
        <v>829</v>
      </c>
      <c r="G3819" s="793" t="s">
        <v>794</v>
      </c>
      <c r="H3819" s="793" t="s">
        <v>828</v>
      </c>
      <c r="I3819" s="794">
        <v>8.4515415042011929E-3</v>
      </c>
      <c r="J3819" s="794">
        <v>4.3742860750666601</v>
      </c>
      <c r="K3819" s="771"/>
    </row>
    <row r="3820" spans="1:11" ht="18.75" customHeight="1" outlineLevel="2">
      <c r="A3820" s="791" t="s">
        <v>776</v>
      </c>
      <c r="B3820" s="791" t="s">
        <v>1040</v>
      </c>
      <c r="C3820" s="791" t="s">
        <v>778</v>
      </c>
      <c r="D3820" s="792" t="s">
        <v>779</v>
      </c>
      <c r="E3820" s="793" t="s">
        <v>662</v>
      </c>
      <c r="F3820" s="793" t="s">
        <v>830</v>
      </c>
      <c r="G3820" s="793" t="s">
        <v>794</v>
      </c>
      <c r="H3820" s="793" t="s">
        <v>828</v>
      </c>
      <c r="I3820" s="794">
        <v>3.3899036417919232E-6</v>
      </c>
      <c r="J3820" s="794">
        <v>1.5171365646772625E-3</v>
      </c>
      <c r="K3820" s="771"/>
    </row>
    <row r="3821" spans="1:11" ht="18.75" customHeight="1" outlineLevel="2">
      <c r="A3821" s="791" t="s">
        <v>776</v>
      </c>
      <c r="B3821" s="791" t="s">
        <v>1040</v>
      </c>
      <c r="C3821" s="791" t="s">
        <v>778</v>
      </c>
      <c r="D3821" s="792" t="s">
        <v>779</v>
      </c>
      <c r="E3821" s="793" t="s">
        <v>662</v>
      </c>
      <c r="F3821" s="793" t="s">
        <v>831</v>
      </c>
      <c r="G3821" s="793" t="s">
        <v>794</v>
      </c>
      <c r="H3821" s="793" t="s">
        <v>828</v>
      </c>
      <c r="I3821" s="794">
        <v>5.9130556628040818E-5</v>
      </c>
      <c r="J3821" s="794">
        <v>2.6463685897334523E-2</v>
      </c>
      <c r="K3821" s="771"/>
    </row>
    <row r="3822" spans="1:11" ht="18.75" customHeight="1" outlineLevel="2">
      <c r="A3822" s="791" t="s">
        <v>776</v>
      </c>
      <c r="B3822" s="791" t="s">
        <v>1040</v>
      </c>
      <c r="C3822" s="791" t="s">
        <v>778</v>
      </c>
      <c r="D3822" s="792" t="s">
        <v>779</v>
      </c>
      <c r="E3822" s="793" t="s">
        <v>662</v>
      </c>
      <c r="F3822" s="793" t="s">
        <v>832</v>
      </c>
      <c r="G3822" s="793" t="s">
        <v>833</v>
      </c>
      <c r="H3822" s="793" t="s">
        <v>834</v>
      </c>
      <c r="I3822" s="794">
        <v>1.3815849019599079E-2</v>
      </c>
      <c r="J3822" s="794">
        <v>7.9762943937759472</v>
      </c>
      <c r="K3822" s="771"/>
    </row>
    <row r="3823" spans="1:11" ht="18.75" customHeight="1" outlineLevel="2">
      <c r="A3823" s="791" t="s">
        <v>776</v>
      </c>
      <c r="B3823" s="791" t="s">
        <v>1040</v>
      </c>
      <c r="C3823" s="791" t="s">
        <v>778</v>
      </c>
      <c r="D3823" s="792" t="s">
        <v>779</v>
      </c>
      <c r="E3823" s="793" t="s">
        <v>662</v>
      </c>
      <c r="F3823" s="793" t="s">
        <v>837</v>
      </c>
      <c r="G3823" s="793" t="s">
        <v>799</v>
      </c>
      <c r="H3823" s="793" t="s">
        <v>800</v>
      </c>
      <c r="I3823" s="794">
        <v>6.8275833644772521E-2</v>
      </c>
      <c r="J3823" s="794">
        <v>91.092781009707593</v>
      </c>
      <c r="K3823" s="771"/>
    </row>
    <row r="3824" spans="1:11" ht="18.75" customHeight="1" outlineLevel="2">
      <c r="A3824" s="791" t="s">
        <v>776</v>
      </c>
      <c r="B3824" s="791" t="s">
        <v>1040</v>
      </c>
      <c r="C3824" s="791" t="s">
        <v>778</v>
      </c>
      <c r="D3824" s="792" t="s">
        <v>779</v>
      </c>
      <c r="E3824" s="793" t="s">
        <v>662</v>
      </c>
      <c r="F3824" s="793" t="s">
        <v>839</v>
      </c>
      <c r="G3824" s="793" t="s">
        <v>782</v>
      </c>
      <c r="H3824" s="793" t="s">
        <v>804</v>
      </c>
      <c r="I3824" s="794">
        <v>6.8668070600830342E-4</v>
      </c>
      <c r="J3824" s="794">
        <v>1.1246491380870014</v>
      </c>
      <c r="K3824" s="771"/>
    </row>
    <row r="3825" spans="1:11" ht="18.75" customHeight="1" outlineLevel="2">
      <c r="A3825" s="791" t="s">
        <v>776</v>
      </c>
      <c r="B3825" s="791" t="s">
        <v>1040</v>
      </c>
      <c r="C3825" s="791" t="s">
        <v>778</v>
      </c>
      <c r="D3825" s="792" t="s">
        <v>779</v>
      </c>
      <c r="E3825" s="793" t="s">
        <v>662</v>
      </c>
      <c r="F3825" s="793" t="s">
        <v>840</v>
      </c>
      <c r="G3825" s="793" t="s">
        <v>782</v>
      </c>
      <c r="H3825" s="793" t="s">
        <v>804</v>
      </c>
      <c r="I3825" s="794">
        <v>5.4867306666658352E-6</v>
      </c>
      <c r="J3825" s="794">
        <v>8.3945255088551975E-3</v>
      </c>
      <c r="K3825" s="771"/>
    </row>
    <row r="3826" spans="1:11" ht="18.75" customHeight="1" outlineLevel="2">
      <c r="A3826" s="791" t="s">
        <v>776</v>
      </c>
      <c r="B3826" s="791" t="s">
        <v>1040</v>
      </c>
      <c r="C3826" s="791" t="s">
        <v>778</v>
      </c>
      <c r="D3826" s="792" t="s">
        <v>779</v>
      </c>
      <c r="E3826" s="793" t="s">
        <v>662</v>
      </c>
      <c r="F3826" s="793" t="s">
        <v>841</v>
      </c>
      <c r="G3826" s="793" t="s">
        <v>782</v>
      </c>
      <c r="H3826" s="793" t="s">
        <v>804</v>
      </c>
      <c r="I3826" s="794">
        <v>1.4835273241356579E-3</v>
      </c>
      <c r="J3826" s="794">
        <v>2.1127895816188005</v>
      </c>
      <c r="K3826" s="771"/>
    </row>
    <row r="3827" spans="1:11" ht="18.75" customHeight="1" outlineLevel="2">
      <c r="A3827" s="791" t="s">
        <v>776</v>
      </c>
      <c r="B3827" s="791" t="s">
        <v>1040</v>
      </c>
      <c r="C3827" s="791" t="s">
        <v>778</v>
      </c>
      <c r="D3827" s="792" t="s">
        <v>779</v>
      </c>
      <c r="E3827" s="793" t="s">
        <v>662</v>
      </c>
      <c r="F3827" s="793" t="s">
        <v>842</v>
      </c>
      <c r="G3827" s="793" t="s">
        <v>782</v>
      </c>
      <c r="H3827" s="793" t="s">
        <v>804</v>
      </c>
      <c r="I3827" s="794">
        <v>1.2106152387330166E-3</v>
      </c>
      <c r="J3827" s="794">
        <v>1.9891558365437623</v>
      </c>
      <c r="K3827" s="771"/>
    </row>
    <row r="3828" spans="1:11" ht="18.75" customHeight="1" outlineLevel="2">
      <c r="A3828" s="791" t="s">
        <v>776</v>
      </c>
      <c r="B3828" s="791" t="s">
        <v>1040</v>
      </c>
      <c r="C3828" s="791" t="s">
        <v>778</v>
      </c>
      <c r="D3828" s="792" t="s">
        <v>779</v>
      </c>
      <c r="E3828" s="793" t="s">
        <v>662</v>
      </c>
      <c r="F3828" s="793" t="s">
        <v>843</v>
      </c>
      <c r="G3828" s="793" t="s">
        <v>782</v>
      </c>
      <c r="H3828" s="793" t="s">
        <v>804</v>
      </c>
      <c r="I3828" s="794">
        <v>2.7073756167796913E-3</v>
      </c>
      <c r="J3828" s="794">
        <v>3.9697436864189033</v>
      </c>
      <c r="K3828" s="771"/>
    </row>
    <row r="3829" spans="1:11" ht="18.75" customHeight="1" outlineLevel="2">
      <c r="A3829" s="791" t="s">
        <v>776</v>
      </c>
      <c r="B3829" s="791" t="s">
        <v>1040</v>
      </c>
      <c r="C3829" s="791" t="s">
        <v>778</v>
      </c>
      <c r="D3829" s="792" t="s">
        <v>779</v>
      </c>
      <c r="E3829" s="793" t="s">
        <v>662</v>
      </c>
      <c r="F3829" s="793" t="s">
        <v>844</v>
      </c>
      <c r="G3829" s="793" t="s">
        <v>782</v>
      </c>
      <c r="H3829" s="793" t="s">
        <v>804</v>
      </c>
      <c r="I3829" s="794">
        <v>1.1745045805339131E-3</v>
      </c>
      <c r="J3829" s="794">
        <v>1.671555695014046</v>
      </c>
      <c r="K3829" s="771"/>
    </row>
    <row r="3830" spans="1:11" ht="18.75" customHeight="1" outlineLevel="2">
      <c r="A3830" s="791" t="s">
        <v>776</v>
      </c>
      <c r="B3830" s="791" t="s">
        <v>1040</v>
      </c>
      <c r="C3830" s="791" t="s">
        <v>778</v>
      </c>
      <c r="D3830" s="792" t="s">
        <v>779</v>
      </c>
      <c r="E3830" s="793" t="s">
        <v>662</v>
      </c>
      <c r="F3830" s="793" t="s">
        <v>845</v>
      </c>
      <c r="G3830" s="793" t="s">
        <v>782</v>
      </c>
      <c r="H3830" s="793" t="s">
        <v>804</v>
      </c>
      <c r="I3830" s="794">
        <v>6.3965121241493897E-5</v>
      </c>
      <c r="J3830" s="794">
        <v>8.7118405163586196E-2</v>
      </c>
      <c r="K3830" s="771"/>
    </row>
    <row r="3831" spans="1:11" ht="18.75" customHeight="1" outlineLevel="2">
      <c r="A3831" s="791" t="s">
        <v>776</v>
      </c>
      <c r="B3831" s="791" t="s">
        <v>1040</v>
      </c>
      <c r="C3831" s="791" t="s">
        <v>778</v>
      </c>
      <c r="D3831" s="792" t="s">
        <v>779</v>
      </c>
      <c r="E3831" s="793" t="s">
        <v>662</v>
      </c>
      <c r="F3831" s="793" t="s">
        <v>846</v>
      </c>
      <c r="G3831" s="793" t="s">
        <v>782</v>
      </c>
      <c r="H3831" s="793" t="s">
        <v>804</v>
      </c>
      <c r="I3831" s="794">
        <v>2.2261426335067605E-3</v>
      </c>
      <c r="J3831" s="794">
        <v>3.4980528131040125</v>
      </c>
      <c r="K3831" s="771"/>
    </row>
    <row r="3832" spans="1:11" ht="18.75" customHeight="1" outlineLevel="2">
      <c r="A3832" s="791" t="s">
        <v>776</v>
      </c>
      <c r="B3832" s="791" t="s">
        <v>1040</v>
      </c>
      <c r="C3832" s="791" t="s">
        <v>778</v>
      </c>
      <c r="D3832" s="792" t="s">
        <v>779</v>
      </c>
      <c r="E3832" s="793" t="s">
        <v>662</v>
      </c>
      <c r="F3832" s="793" t="s">
        <v>847</v>
      </c>
      <c r="G3832" s="793" t="s">
        <v>782</v>
      </c>
      <c r="H3832" s="793" t="s">
        <v>804</v>
      </c>
      <c r="I3832" s="794">
        <v>1.0615120206087611E-3</v>
      </c>
      <c r="J3832" s="794">
        <v>1.2973650425787771</v>
      </c>
      <c r="K3832" s="771"/>
    </row>
    <row r="3833" spans="1:11" ht="18.75" customHeight="1" outlineLevel="2">
      <c r="A3833" s="791" t="s">
        <v>776</v>
      </c>
      <c r="B3833" s="791" t="s">
        <v>1040</v>
      </c>
      <c r="C3833" s="791" t="s">
        <v>778</v>
      </c>
      <c r="D3833" s="792" t="s">
        <v>779</v>
      </c>
      <c r="E3833" s="793" t="s">
        <v>662</v>
      </c>
      <c r="F3833" s="793" t="s">
        <v>848</v>
      </c>
      <c r="G3833" s="793" t="s">
        <v>782</v>
      </c>
      <c r="H3833" s="793" t="s">
        <v>804</v>
      </c>
      <c r="I3833" s="794">
        <v>5.0147005091002415E-3</v>
      </c>
      <c r="J3833" s="794">
        <v>7.289183019929836</v>
      </c>
      <c r="K3833" s="771"/>
    </row>
    <row r="3834" spans="1:11" ht="18.75" customHeight="1" outlineLevel="2">
      <c r="A3834" s="791" t="s">
        <v>776</v>
      </c>
      <c r="B3834" s="791" t="s">
        <v>1040</v>
      </c>
      <c r="C3834" s="791" t="s">
        <v>778</v>
      </c>
      <c r="D3834" s="792" t="s">
        <v>779</v>
      </c>
      <c r="E3834" s="793" t="s">
        <v>662</v>
      </c>
      <c r="F3834" s="793" t="s">
        <v>849</v>
      </c>
      <c r="G3834" s="793" t="s">
        <v>782</v>
      </c>
      <c r="H3834" s="793" t="s">
        <v>804</v>
      </c>
      <c r="I3834" s="794">
        <v>2.5420989860648613E-3</v>
      </c>
      <c r="J3834" s="794">
        <v>3.5004638233483609</v>
      </c>
      <c r="K3834" s="771"/>
    </row>
    <row r="3835" spans="1:11" ht="18.75" customHeight="1" outlineLevel="2">
      <c r="A3835" s="791" t="s">
        <v>776</v>
      </c>
      <c r="B3835" s="791" t="s">
        <v>1040</v>
      </c>
      <c r="C3835" s="791" t="s">
        <v>778</v>
      </c>
      <c r="D3835" s="792" t="s">
        <v>779</v>
      </c>
      <c r="E3835" s="793" t="s">
        <v>662</v>
      </c>
      <c r="F3835" s="793" t="s">
        <v>850</v>
      </c>
      <c r="G3835" s="793" t="s">
        <v>782</v>
      </c>
      <c r="H3835" s="793" t="s">
        <v>804</v>
      </c>
      <c r="I3835" s="794">
        <v>2.0115417495035668E-4</v>
      </c>
      <c r="J3835" s="794">
        <v>0.28195788864383409</v>
      </c>
      <c r="K3835" s="771"/>
    </row>
    <row r="3836" spans="1:11" ht="18.75" customHeight="1" outlineLevel="2">
      <c r="A3836" s="791" t="s">
        <v>776</v>
      </c>
      <c r="B3836" s="791" t="s">
        <v>1040</v>
      </c>
      <c r="C3836" s="791" t="s">
        <v>778</v>
      </c>
      <c r="D3836" s="792" t="s">
        <v>779</v>
      </c>
      <c r="E3836" s="793" t="s">
        <v>662</v>
      </c>
      <c r="F3836" s="793" t="s">
        <v>851</v>
      </c>
      <c r="G3836" s="793" t="s">
        <v>782</v>
      </c>
      <c r="H3836" s="793" t="s">
        <v>804</v>
      </c>
      <c r="I3836" s="794">
        <v>3.2997445760019002E-4</v>
      </c>
      <c r="J3836" s="794">
        <v>0.47347787071748965</v>
      </c>
      <c r="K3836" s="771"/>
    </row>
    <row r="3837" spans="1:11" ht="18.75" customHeight="1" outlineLevel="2">
      <c r="A3837" s="791" t="s">
        <v>776</v>
      </c>
      <c r="B3837" s="791" t="s">
        <v>1040</v>
      </c>
      <c r="C3837" s="791" t="s">
        <v>778</v>
      </c>
      <c r="D3837" s="792" t="s">
        <v>779</v>
      </c>
      <c r="E3837" s="793" t="s">
        <v>662</v>
      </c>
      <c r="F3837" s="793" t="s">
        <v>852</v>
      </c>
      <c r="G3837" s="793" t="s">
        <v>782</v>
      </c>
      <c r="H3837" s="793" t="s">
        <v>804</v>
      </c>
      <c r="I3837" s="794">
        <v>1.4459342078546533E-4</v>
      </c>
      <c r="J3837" s="794">
        <v>0.42309121111096953</v>
      </c>
      <c r="K3837" s="771"/>
    </row>
    <row r="3838" spans="1:11" ht="18.75" customHeight="1" outlineLevel="2">
      <c r="A3838" s="791" t="s">
        <v>776</v>
      </c>
      <c r="B3838" s="791" t="s">
        <v>1040</v>
      </c>
      <c r="C3838" s="791" t="s">
        <v>778</v>
      </c>
      <c r="D3838" s="792" t="s">
        <v>779</v>
      </c>
      <c r="E3838" s="793" t="s">
        <v>662</v>
      </c>
      <c r="F3838" s="793" t="s">
        <v>853</v>
      </c>
      <c r="G3838" s="793" t="s">
        <v>782</v>
      </c>
      <c r="H3838" s="793" t="s">
        <v>804</v>
      </c>
      <c r="I3838" s="794">
        <v>1.1631777747813911E-4</v>
      </c>
      <c r="J3838" s="794">
        <v>1.0034994693023864</v>
      </c>
      <c r="K3838" s="771"/>
    </row>
    <row r="3839" spans="1:11" ht="18.75" customHeight="1" outlineLevel="2">
      <c r="A3839" s="791" t="s">
        <v>776</v>
      </c>
      <c r="B3839" s="791" t="s">
        <v>1040</v>
      </c>
      <c r="C3839" s="791" t="s">
        <v>778</v>
      </c>
      <c r="D3839" s="792" t="s">
        <v>779</v>
      </c>
      <c r="E3839" s="793" t="s">
        <v>662</v>
      </c>
      <c r="F3839" s="793" t="s">
        <v>854</v>
      </c>
      <c r="G3839" s="793" t="s">
        <v>782</v>
      </c>
      <c r="H3839" s="793" t="s">
        <v>804</v>
      </c>
      <c r="I3839" s="794">
        <v>1.5821557686372402E-3</v>
      </c>
      <c r="J3839" s="794">
        <v>2.3927716985711642</v>
      </c>
      <c r="K3839" s="771"/>
    </row>
    <row r="3840" spans="1:11" ht="18.75" customHeight="1" outlineLevel="2">
      <c r="A3840" s="791" t="s">
        <v>776</v>
      </c>
      <c r="B3840" s="791" t="s">
        <v>1040</v>
      </c>
      <c r="C3840" s="791" t="s">
        <v>778</v>
      </c>
      <c r="D3840" s="792" t="s">
        <v>779</v>
      </c>
      <c r="E3840" s="793" t="s">
        <v>662</v>
      </c>
      <c r="F3840" s="793" t="s">
        <v>855</v>
      </c>
      <c r="G3840" s="793" t="s">
        <v>782</v>
      </c>
      <c r="H3840" s="793" t="s">
        <v>804</v>
      </c>
      <c r="I3840" s="794">
        <v>1.1302165741183176E-3</v>
      </c>
      <c r="J3840" s="794">
        <v>1.6676666890650247</v>
      </c>
      <c r="K3840" s="771"/>
    </row>
    <row r="3841" spans="1:11" ht="18.75" customHeight="1" outlineLevel="2">
      <c r="A3841" s="791" t="s">
        <v>776</v>
      </c>
      <c r="B3841" s="791" t="s">
        <v>1040</v>
      </c>
      <c r="C3841" s="791" t="s">
        <v>778</v>
      </c>
      <c r="D3841" s="792" t="s">
        <v>779</v>
      </c>
      <c r="E3841" s="793" t="s">
        <v>662</v>
      </c>
      <c r="F3841" s="793" t="s">
        <v>856</v>
      </c>
      <c r="G3841" s="793" t="s">
        <v>782</v>
      </c>
      <c r="H3841" s="793" t="s">
        <v>804</v>
      </c>
      <c r="I3841" s="794">
        <v>4.437067911974328E-4</v>
      </c>
      <c r="J3841" s="794">
        <v>0.54643495569983347</v>
      </c>
      <c r="K3841" s="771"/>
    </row>
    <row r="3842" spans="1:11" ht="18.75" customHeight="1" outlineLevel="2">
      <c r="A3842" s="791" t="s">
        <v>776</v>
      </c>
      <c r="B3842" s="791" t="s">
        <v>1040</v>
      </c>
      <c r="C3842" s="791" t="s">
        <v>778</v>
      </c>
      <c r="D3842" s="792" t="s">
        <v>779</v>
      </c>
      <c r="E3842" s="793" t="s">
        <v>662</v>
      </c>
      <c r="F3842" s="793" t="s">
        <v>857</v>
      </c>
      <c r="G3842" s="793" t="s">
        <v>782</v>
      </c>
      <c r="H3842" s="793" t="s">
        <v>804</v>
      </c>
      <c r="I3842" s="794">
        <v>3.6966262219858924E-4</v>
      </c>
      <c r="J3842" s="794">
        <v>0.39928118015464309</v>
      </c>
      <c r="K3842" s="771"/>
    </row>
    <row r="3843" spans="1:11" ht="18.75" customHeight="1" outlineLevel="2">
      <c r="A3843" s="791" t="s">
        <v>776</v>
      </c>
      <c r="B3843" s="791" t="s">
        <v>1040</v>
      </c>
      <c r="C3843" s="791" t="s">
        <v>778</v>
      </c>
      <c r="D3843" s="792" t="s">
        <v>779</v>
      </c>
      <c r="E3843" s="793" t="s">
        <v>662</v>
      </c>
      <c r="F3843" s="793" t="s">
        <v>858</v>
      </c>
      <c r="G3843" s="793" t="s">
        <v>785</v>
      </c>
      <c r="H3843" s="793" t="s">
        <v>727</v>
      </c>
      <c r="I3843" s="794">
        <v>3.3782607748288978E-3</v>
      </c>
      <c r="J3843" s="794">
        <v>6.7986944282673196</v>
      </c>
      <c r="K3843" s="771"/>
    </row>
    <row r="3844" spans="1:11" ht="18.75" customHeight="1" outlineLevel="2">
      <c r="A3844" s="791" t="s">
        <v>776</v>
      </c>
      <c r="B3844" s="791" t="s">
        <v>1040</v>
      </c>
      <c r="C3844" s="791" t="s">
        <v>778</v>
      </c>
      <c r="D3844" s="792" t="s">
        <v>779</v>
      </c>
      <c r="E3844" s="793" t="s">
        <v>662</v>
      </c>
      <c r="F3844" s="793" t="s">
        <v>859</v>
      </c>
      <c r="G3844" s="793" t="s">
        <v>785</v>
      </c>
      <c r="H3844" s="793" t="s">
        <v>727</v>
      </c>
      <c r="I3844" s="794">
        <v>2.42629562044853E-3</v>
      </c>
      <c r="J3844" s="794">
        <v>25.729672199881634</v>
      </c>
      <c r="K3844" s="771"/>
    </row>
    <row r="3845" spans="1:11" ht="18.75" customHeight="1" outlineLevel="2">
      <c r="A3845" s="791" t="s">
        <v>776</v>
      </c>
      <c r="B3845" s="791" t="s">
        <v>1040</v>
      </c>
      <c r="C3845" s="791" t="s">
        <v>778</v>
      </c>
      <c r="D3845" s="792" t="s">
        <v>779</v>
      </c>
      <c r="E3845" s="793" t="s">
        <v>662</v>
      </c>
      <c r="F3845" s="793" t="s">
        <v>860</v>
      </c>
      <c r="G3845" s="793" t="s">
        <v>785</v>
      </c>
      <c r="H3845" s="793" t="s">
        <v>727</v>
      </c>
      <c r="I3845" s="794">
        <v>2.012811150342722E-3</v>
      </c>
      <c r="J3845" s="794">
        <v>5.5288400805635005</v>
      </c>
      <c r="K3845" s="771"/>
    </row>
    <row r="3846" spans="1:11" ht="18.75" customHeight="1" outlineLevel="2">
      <c r="A3846" s="791" t="s">
        <v>776</v>
      </c>
      <c r="B3846" s="791" t="s">
        <v>1040</v>
      </c>
      <c r="C3846" s="791" t="s">
        <v>778</v>
      </c>
      <c r="D3846" s="792" t="s">
        <v>779</v>
      </c>
      <c r="E3846" s="793" t="s">
        <v>662</v>
      </c>
      <c r="F3846" s="793" t="s">
        <v>861</v>
      </c>
      <c r="G3846" s="793" t="s">
        <v>785</v>
      </c>
      <c r="H3846" s="793" t="s">
        <v>727</v>
      </c>
      <c r="I3846" s="794">
        <v>7.7423236589259717E-3</v>
      </c>
      <c r="J3846" s="794">
        <v>10.384686074996623</v>
      </c>
      <c r="K3846" s="771"/>
    </row>
    <row r="3847" spans="1:11" ht="18.75" customHeight="1" outlineLevel="2">
      <c r="A3847" s="791" t="s">
        <v>776</v>
      </c>
      <c r="B3847" s="791" t="s">
        <v>1040</v>
      </c>
      <c r="C3847" s="791" t="s">
        <v>778</v>
      </c>
      <c r="D3847" s="792" t="s">
        <v>779</v>
      </c>
      <c r="E3847" s="793" t="s">
        <v>662</v>
      </c>
      <c r="F3847" s="793" t="s">
        <v>862</v>
      </c>
      <c r="G3847" s="793" t="s">
        <v>785</v>
      </c>
      <c r="H3847" s="793" t="s">
        <v>727</v>
      </c>
      <c r="I3847" s="794">
        <v>2.1851414633681964E-4</v>
      </c>
      <c r="J3847" s="794">
        <v>0.47649353043032511</v>
      </c>
      <c r="K3847" s="771"/>
    </row>
    <row r="3848" spans="1:11" ht="18.75" customHeight="1" outlineLevel="2">
      <c r="A3848" s="791" t="s">
        <v>776</v>
      </c>
      <c r="B3848" s="791" t="s">
        <v>1040</v>
      </c>
      <c r="C3848" s="791" t="s">
        <v>778</v>
      </c>
      <c r="D3848" s="792" t="s">
        <v>779</v>
      </c>
      <c r="E3848" s="793" t="s">
        <v>662</v>
      </c>
      <c r="F3848" s="793" t="s">
        <v>863</v>
      </c>
      <c r="G3848" s="793" t="s">
        <v>785</v>
      </c>
      <c r="H3848" s="793" t="s">
        <v>727</v>
      </c>
      <c r="I3848" s="794">
        <v>5.5951186046044026E-4</v>
      </c>
      <c r="J3848" s="794">
        <v>0.83459971443924996</v>
      </c>
      <c r="K3848" s="771"/>
    </row>
    <row r="3849" spans="1:11" ht="18.75" customHeight="1" outlineLevel="2">
      <c r="A3849" s="791" t="s">
        <v>776</v>
      </c>
      <c r="B3849" s="791" t="s">
        <v>1040</v>
      </c>
      <c r="C3849" s="791" t="s">
        <v>778</v>
      </c>
      <c r="D3849" s="792" t="s">
        <v>779</v>
      </c>
      <c r="E3849" s="793" t="s">
        <v>662</v>
      </c>
      <c r="F3849" s="793" t="s">
        <v>864</v>
      </c>
      <c r="G3849" s="793" t="s">
        <v>785</v>
      </c>
      <c r="H3849" s="793" t="s">
        <v>727</v>
      </c>
      <c r="I3849" s="794">
        <v>1.5902924306122738E-4</v>
      </c>
      <c r="J3849" s="794">
        <v>2.272328933689856</v>
      </c>
      <c r="K3849" s="771"/>
    </row>
    <row r="3850" spans="1:11" ht="18.75" customHeight="1" outlineLevel="2">
      <c r="A3850" s="791" t="s">
        <v>776</v>
      </c>
      <c r="B3850" s="791" t="s">
        <v>1040</v>
      </c>
      <c r="C3850" s="791" t="s">
        <v>778</v>
      </c>
      <c r="D3850" s="792" t="s">
        <v>779</v>
      </c>
      <c r="E3850" s="793" t="s">
        <v>662</v>
      </c>
      <c r="F3850" s="793" t="s">
        <v>865</v>
      </c>
      <c r="G3850" s="793" t="s">
        <v>813</v>
      </c>
      <c r="H3850" s="793" t="s">
        <v>814</v>
      </c>
      <c r="I3850" s="794">
        <v>0.13742233875035922</v>
      </c>
      <c r="J3850" s="794">
        <v>147.38187427498201</v>
      </c>
      <c r="K3850" s="771"/>
    </row>
    <row r="3851" spans="1:11" ht="18.75" customHeight="1" outlineLevel="2">
      <c r="A3851" s="791" t="s">
        <v>776</v>
      </c>
      <c r="B3851" s="791" t="s">
        <v>1040</v>
      </c>
      <c r="C3851" s="791" t="s">
        <v>778</v>
      </c>
      <c r="D3851" s="792" t="s">
        <v>779</v>
      </c>
      <c r="E3851" s="793" t="s">
        <v>662</v>
      </c>
      <c r="F3851" s="793" t="s">
        <v>866</v>
      </c>
      <c r="G3851" s="793" t="s">
        <v>813</v>
      </c>
      <c r="H3851" s="793" t="s">
        <v>814</v>
      </c>
      <c r="I3851" s="794">
        <v>0.39964106554078926</v>
      </c>
      <c r="J3851" s="794">
        <v>543.74837618532661</v>
      </c>
      <c r="K3851" s="771"/>
    </row>
    <row r="3852" spans="1:11" ht="18.75" customHeight="1" outlineLevel="2">
      <c r="A3852" s="791" t="s">
        <v>776</v>
      </c>
      <c r="B3852" s="791" t="s">
        <v>1040</v>
      </c>
      <c r="C3852" s="791" t="s">
        <v>778</v>
      </c>
      <c r="D3852" s="792" t="s">
        <v>779</v>
      </c>
      <c r="E3852" s="793" t="s">
        <v>662</v>
      </c>
      <c r="F3852" s="793" t="s">
        <v>867</v>
      </c>
      <c r="G3852" s="793" t="s">
        <v>813</v>
      </c>
      <c r="H3852" s="793" t="s">
        <v>814</v>
      </c>
      <c r="I3852" s="794">
        <v>1.1829958607748403E-2</v>
      </c>
      <c r="J3852" s="794">
        <v>12.682463029745051</v>
      </c>
      <c r="K3852" s="771"/>
    </row>
    <row r="3853" spans="1:11" ht="18.75" customHeight="1" outlineLevel="2">
      <c r="A3853" s="791" t="s">
        <v>776</v>
      </c>
      <c r="B3853" s="791" t="s">
        <v>1040</v>
      </c>
      <c r="C3853" s="791" t="s">
        <v>778</v>
      </c>
      <c r="D3853" s="792" t="s">
        <v>779</v>
      </c>
      <c r="E3853" s="793" t="s">
        <v>662</v>
      </c>
      <c r="F3853" s="793" t="s">
        <v>868</v>
      </c>
      <c r="G3853" s="793" t="s">
        <v>813</v>
      </c>
      <c r="H3853" s="793" t="s">
        <v>814</v>
      </c>
      <c r="I3853" s="794">
        <v>0.25467987082024973</v>
      </c>
      <c r="J3853" s="794">
        <v>322.53179751029671</v>
      </c>
      <c r="K3853" s="771"/>
    </row>
    <row r="3854" spans="1:11" ht="18.75" customHeight="1" outlineLevel="2">
      <c r="A3854" s="791" t="s">
        <v>776</v>
      </c>
      <c r="B3854" s="791" t="s">
        <v>1040</v>
      </c>
      <c r="C3854" s="791" t="s">
        <v>778</v>
      </c>
      <c r="D3854" s="792" t="s">
        <v>779</v>
      </c>
      <c r="E3854" s="793" t="s">
        <v>662</v>
      </c>
      <c r="F3854" s="793" t="s">
        <v>869</v>
      </c>
      <c r="G3854" s="793" t="s">
        <v>813</v>
      </c>
      <c r="H3854" s="793" t="s">
        <v>814</v>
      </c>
      <c r="I3854" s="794">
        <v>6.4444402962034891E-4</v>
      </c>
      <c r="J3854" s="794">
        <v>0.81925440031359587</v>
      </c>
      <c r="K3854" s="771"/>
    </row>
    <row r="3855" spans="1:11" ht="18.75" customHeight="1" outlineLevel="2">
      <c r="A3855" s="791" t="s">
        <v>776</v>
      </c>
      <c r="B3855" s="791" t="s">
        <v>1040</v>
      </c>
      <c r="C3855" s="791" t="s">
        <v>778</v>
      </c>
      <c r="D3855" s="792" t="s">
        <v>779</v>
      </c>
      <c r="E3855" s="793" t="s">
        <v>662</v>
      </c>
      <c r="F3855" s="793" t="s">
        <v>870</v>
      </c>
      <c r="G3855" s="793" t="s">
        <v>813</v>
      </c>
      <c r="H3855" s="793" t="s">
        <v>814</v>
      </c>
      <c r="I3855" s="794">
        <v>8.8725523207029058E-3</v>
      </c>
      <c r="J3855" s="794">
        <v>12.594576781871874</v>
      </c>
      <c r="K3855" s="771"/>
    </row>
    <row r="3856" spans="1:11" ht="18.75" customHeight="1" outlineLevel="2">
      <c r="A3856" s="791" t="s">
        <v>776</v>
      </c>
      <c r="B3856" s="791" t="s">
        <v>1040</v>
      </c>
      <c r="C3856" s="791" t="s">
        <v>778</v>
      </c>
      <c r="D3856" s="792" t="s">
        <v>779</v>
      </c>
      <c r="E3856" s="793" t="s">
        <v>662</v>
      </c>
      <c r="F3856" s="793" t="s">
        <v>871</v>
      </c>
      <c r="G3856" s="793" t="s">
        <v>813</v>
      </c>
      <c r="H3856" s="793" t="s">
        <v>814</v>
      </c>
      <c r="I3856" s="794">
        <v>1.2273622393439794E-3</v>
      </c>
      <c r="J3856" s="794">
        <v>1.5629519059879524</v>
      </c>
      <c r="K3856" s="771"/>
    </row>
    <row r="3857" spans="1:11" ht="18.75" customHeight="1" outlineLevel="2">
      <c r="A3857" s="791" t="s">
        <v>776</v>
      </c>
      <c r="B3857" s="791" t="s">
        <v>1040</v>
      </c>
      <c r="C3857" s="791" t="s">
        <v>778</v>
      </c>
      <c r="D3857" s="792" t="s">
        <v>779</v>
      </c>
      <c r="E3857" s="793" t="s">
        <v>662</v>
      </c>
      <c r="F3857" s="793" t="s">
        <v>872</v>
      </c>
      <c r="G3857" s="793" t="s">
        <v>813</v>
      </c>
      <c r="H3857" s="793" t="s">
        <v>814</v>
      </c>
      <c r="I3857" s="794">
        <v>0.30323570515573556</v>
      </c>
      <c r="J3857" s="794">
        <v>516.81370489133587</v>
      </c>
      <c r="K3857" s="771"/>
    </row>
    <row r="3858" spans="1:11" ht="18.75" customHeight="1" outlineLevel="2">
      <c r="A3858" s="791" t="s">
        <v>776</v>
      </c>
      <c r="B3858" s="791" t="s">
        <v>1040</v>
      </c>
      <c r="C3858" s="791" t="s">
        <v>778</v>
      </c>
      <c r="D3858" s="792" t="s">
        <v>779</v>
      </c>
      <c r="E3858" s="793" t="s">
        <v>662</v>
      </c>
      <c r="F3858" s="793" t="s">
        <v>875</v>
      </c>
      <c r="G3858" s="793" t="s">
        <v>813</v>
      </c>
      <c r="H3858" s="793" t="s">
        <v>814</v>
      </c>
      <c r="I3858" s="794">
        <v>2.0476099932922379E-2</v>
      </c>
      <c r="J3858" s="794">
        <v>29.933712663724702</v>
      </c>
      <c r="K3858" s="771"/>
    </row>
    <row r="3859" spans="1:11" ht="18.75" customHeight="1" outlineLevel="2">
      <c r="A3859" s="791" t="s">
        <v>776</v>
      </c>
      <c r="B3859" s="791" t="s">
        <v>1040</v>
      </c>
      <c r="C3859" s="791" t="s">
        <v>778</v>
      </c>
      <c r="D3859" s="792" t="s">
        <v>779</v>
      </c>
      <c r="E3859" s="793" t="s">
        <v>662</v>
      </c>
      <c r="F3859" s="793" t="s">
        <v>876</v>
      </c>
      <c r="G3859" s="793" t="s">
        <v>813</v>
      </c>
      <c r="H3859" s="793" t="s">
        <v>814</v>
      </c>
      <c r="I3859" s="794">
        <v>4.5639118269234669E-2</v>
      </c>
      <c r="J3859" s="794">
        <v>69.082998090102322</v>
      </c>
      <c r="K3859" s="771"/>
    </row>
    <row r="3860" spans="1:11" ht="18.75" customHeight="1" outlineLevel="2">
      <c r="A3860" s="791" t="s">
        <v>776</v>
      </c>
      <c r="B3860" s="791" t="s">
        <v>1040</v>
      </c>
      <c r="C3860" s="791" t="s">
        <v>778</v>
      </c>
      <c r="D3860" s="792" t="s">
        <v>779</v>
      </c>
      <c r="E3860" s="793" t="s">
        <v>662</v>
      </c>
      <c r="F3860" s="793" t="s">
        <v>877</v>
      </c>
      <c r="G3860" s="793" t="s">
        <v>813</v>
      </c>
      <c r="H3860" s="793" t="s">
        <v>814</v>
      </c>
      <c r="I3860" s="794">
        <v>6.0214166706537425E-2</v>
      </c>
      <c r="J3860" s="794">
        <v>78.195130337521888</v>
      </c>
      <c r="K3860" s="771"/>
    </row>
    <row r="3861" spans="1:11" ht="18.75" customHeight="1" outlineLevel="2">
      <c r="A3861" s="791" t="s">
        <v>776</v>
      </c>
      <c r="B3861" s="791" t="s">
        <v>1040</v>
      </c>
      <c r="C3861" s="791" t="s">
        <v>778</v>
      </c>
      <c r="D3861" s="792" t="s">
        <v>779</v>
      </c>
      <c r="E3861" s="793" t="s">
        <v>662</v>
      </c>
      <c r="F3861" s="793" t="s">
        <v>878</v>
      </c>
      <c r="G3861" s="793" t="s">
        <v>813</v>
      </c>
      <c r="H3861" s="793" t="s">
        <v>814</v>
      </c>
      <c r="I3861" s="794">
        <v>3.0724906345412889E-2</v>
      </c>
      <c r="J3861" s="794">
        <v>37.126585200847636</v>
      </c>
      <c r="K3861" s="771"/>
    </row>
    <row r="3862" spans="1:11" ht="18.75" customHeight="1" outlineLevel="2">
      <c r="A3862" s="791" t="s">
        <v>776</v>
      </c>
      <c r="B3862" s="791" t="s">
        <v>1040</v>
      </c>
      <c r="C3862" s="791" t="s">
        <v>778</v>
      </c>
      <c r="D3862" s="792" t="s">
        <v>779</v>
      </c>
      <c r="E3862" s="793" t="s">
        <v>662</v>
      </c>
      <c r="F3862" s="793" t="s">
        <v>879</v>
      </c>
      <c r="G3862" s="793" t="s">
        <v>813</v>
      </c>
      <c r="H3862" s="793" t="s">
        <v>814</v>
      </c>
      <c r="I3862" s="794">
        <v>0.27384175703077263</v>
      </c>
      <c r="J3862" s="794">
        <v>401.23712944917759</v>
      </c>
      <c r="K3862" s="771"/>
    </row>
    <row r="3863" spans="1:11" ht="18.75" customHeight="1" outlineLevel="2">
      <c r="A3863" s="791" t="s">
        <v>776</v>
      </c>
      <c r="B3863" s="791" t="s">
        <v>1040</v>
      </c>
      <c r="C3863" s="791" t="s">
        <v>778</v>
      </c>
      <c r="D3863" s="792" t="s">
        <v>779</v>
      </c>
      <c r="E3863" s="793" t="s">
        <v>662</v>
      </c>
      <c r="F3863" s="793" t="s">
        <v>880</v>
      </c>
      <c r="G3863" s="793" t="s">
        <v>813</v>
      </c>
      <c r="H3863" s="793" t="s">
        <v>814</v>
      </c>
      <c r="I3863" s="794">
        <v>0.62009779792102682</v>
      </c>
      <c r="J3863" s="794">
        <v>938.8406896187031</v>
      </c>
      <c r="K3863" s="771"/>
    </row>
    <row r="3864" spans="1:11" ht="18.75" customHeight="1" outlineLevel="2">
      <c r="A3864" s="791" t="s">
        <v>776</v>
      </c>
      <c r="B3864" s="791" t="s">
        <v>1040</v>
      </c>
      <c r="C3864" s="791" t="s">
        <v>778</v>
      </c>
      <c r="D3864" s="792" t="s">
        <v>779</v>
      </c>
      <c r="E3864" s="793" t="s">
        <v>662</v>
      </c>
      <c r="F3864" s="793" t="s">
        <v>881</v>
      </c>
      <c r="G3864" s="793" t="s">
        <v>813</v>
      </c>
      <c r="H3864" s="793" t="s">
        <v>814</v>
      </c>
      <c r="I3864" s="794">
        <v>6.9388518286911879E-2</v>
      </c>
      <c r="J3864" s="794">
        <v>156.76182224011626</v>
      </c>
      <c r="K3864" s="771"/>
    </row>
    <row r="3865" spans="1:11" ht="18.75" customHeight="1" outlineLevel="2">
      <c r="A3865" s="791" t="s">
        <v>776</v>
      </c>
      <c r="B3865" s="791" t="s">
        <v>1040</v>
      </c>
      <c r="C3865" s="791" t="s">
        <v>778</v>
      </c>
      <c r="D3865" s="792" t="s">
        <v>779</v>
      </c>
      <c r="E3865" s="793" t="s">
        <v>662</v>
      </c>
      <c r="F3865" s="793" t="s">
        <v>882</v>
      </c>
      <c r="G3865" s="793" t="s">
        <v>813</v>
      </c>
      <c r="H3865" s="793" t="s">
        <v>814</v>
      </c>
      <c r="I3865" s="794">
        <v>1.9099318417775475</v>
      </c>
      <c r="J3865" s="794">
        <v>3030.6391508893598</v>
      </c>
      <c r="K3865" s="771"/>
    </row>
    <row r="3866" spans="1:11" ht="18.75" customHeight="1" outlineLevel="2">
      <c r="A3866" s="791" t="s">
        <v>776</v>
      </c>
      <c r="B3866" s="791" t="s">
        <v>1040</v>
      </c>
      <c r="C3866" s="791" t="s">
        <v>778</v>
      </c>
      <c r="D3866" s="792" t="s">
        <v>779</v>
      </c>
      <c r="E3866" s="793" t="s">
        <v>662</v>
      </c>
      <c r="F3866" s="793" t="s">
        <v>883</v>
      </c>
      <c r="G3866" s="793" t="s">
        <v>813</v>
      </c>
      <c r="H3866" s="793" t="s">
        <v>814</v>
      </c>
      <c r="I3866" s="794">
        <v>1.246686876976515E-2</v>
      </c>
      <c r="J3866" s="794">
        <v>14.262545208488129</v>
      </c>
      <c r="K3866" s="771"/>
    </row>
    <row r="3867" spans="1:11" ht="18.75" customHeight="1" outlineLevel="2">
      <c r="A3867" s="791" t="s">
        <v>776</v>
      </c>
      <c r="B3867" s="791" t="s">
        <v>1040</v>
      </c>
      <c r="C3867" s="791" t="s">
        <v>778</v>
      </c>
      <c r="D3867" s="792" t="s">
        <v>779</v>
      </c>
      <c r="E3867" s="793" t="s">
        <v>662</v>
      </c>
      <c r="F3867" s="793" t="s">
        <v>884</v>
      </c>
      <c r="G3867" s="793" t="s">
        <v>813</v>
      </c>
      <c r="H3867" s="793" t="s">
        <v>814</v>
      </c>
      <c r="I3867" s="794">
        <v>8.0149035939042532E-2</v>
      </c>
      <c r="J3867" s="794">
        <v>93.126452227804378</v>
      </c>
      <c r="K3867" s="771"/>
    </row>
    <row r="3868" spans="1:11" ht="18.75" customHeight="1" outlineLevel="2">
      <c r="A3868" s="791" t="s">
        <v>776</v>
      </c>
      <c r="B3868" s="791" t="s">
        <v>1040</v>
      </c>
      <c r="C3868" s="791" t="s">
        <v>778</v>
      </c>
      <c r="D3868" s="792" t="s">
        <v>779</v>
      </c>
      <c r="E3868" s="793" t="s">
        <v>662</v>
      </c>
      <c r="F3868" s="793" t="s">
        <v>885</v>
      </c>
      <c r="G3868" s="793" t="s">
        <v>791</v>
      </c>
      <c r="H3868" s="793" t="s">
        <v>826</v>
      </c>
      <c r="I3868" s="794">
        <v>4.088837906258761E-4</v>
      </c>
      <c r="J3868" s="794">
        <v>0.60462098205743731</v>
      </c>
      <c r="K3868" s="771"/>
    </row>
    <row r="3869" spans="1:11" ht="18.75" customHeight="1" outlineLevel="2">
      <c r="A3869" s="791" t="s">
        <v>776</v>
      </c>
      <c r="B3869" s="791" t="s">
        <v>1040</v>
      </c>
      <c r="C3869" s="791" t="s">
        <v>778</v>
      </c>
      <c r="D3869" s="792" t="s">
        <v>779</v>
      </c>
      <c r="E3869" s="793" t="s">
        <v>662</v>
      </c>
      <c r="F3869" s="793" t="s">
        <v>886</v>
      </c>
      <c r="G3869" s="793" t="s">
        <v>791</v>
      </c>
      <c r="H3869" s="793" t="s">
        <v>826</v>
      </c>
      <c r="I3869" s="794">
        <v>5.3512163307806626E-4</v>
      </c>
      <c r="J3869" s="794">
        <v>2.3396656378033072</v>
      </c>
      <c r="K3869" s="771"/>
    </row>
    <row r="3870" spans="1:11" ht="18.75" customHeight="1" outlineLevel="2">
      <c r="A3870" s="791" t="s">
        <v>776</v>
      </c>
      <c r="B3870" s="791" t="s">
        <v>1040</v>
      </c>
      <c r="C3870" s="791" t="s">
        <v>778</v>
      </c>
      <c r="D3870" s="792" t="s">
        <v>779</v>
      </c>
      <c r="E3870" s="793" t="s">
        <v>662</v>
      </c>
      <c r="F3870" s="793" t="s">
        <v>887</v>
      </c>
      <c r="G3870" s="793" t="s">
        <v>791</v>
      </c>
      <c r="H3870" s="793" t="s">
        <v>826</v>
      </c>
      <c r="I3870" s="794">
        <v>1.997031797994559E-5</v>
      </c>
      <c r="J3870" s="794">
        <v>1.8768170944467932E-2</v>
      </c>
      <c r="K3870" s="771"/>
    </row>
    <row r="3871" spans="1:11" ht="18.75" customHeight="1" outlineLevel="2">
      <c r="A3871" s="791" t="s">
        <v>776</v>
      </c>
      <c r="B3871" s="791" t="s">
        <v>1040</v>
      </c>
      <c r="C3871" s="791" t="s">
        <v>778</v>
      </c>
      <c r="D3871" s="792" t="s">
        <v>779</v>
      </c>
      <c r="E3871" s="793" t="s">
        <v>662</v>
      </c>
      <c r="F3871" s="793" t="s">
        <v>888</v>
      </c>
      <c r="G3871" s="793" t="s">
        <v>791</v>
      </c>
      <c r="H3871" s="793" t="s">
        <v>826</v>
      </c>
      <c r="I3871" s="794">
        <v>1.7913058307926606E-3</v>
      </c>
      <c r="J3871" s="794">
        <v>1.6801214322590949</v>
      </c>
      <c r="K3871" s="771"/>
    </row>
    <row r="3872" spans="1:11" ht="18.75" customHeight="1" outlineLevel="2">
      <c r="A3872" s="791" t="s">
        <v>776</v>
      </c>
      <c r="B3872" s="791" t="s">
        <v>1040</v>
      </c>
      <c r="C3872" s="791" t="s">
        <v>778</v>
      </c>
      <c r="D3872" s="792" t="s">
        <v>779</v>
      </c>
      <c r="E3872" s="793" t="s">
        <v>662</v>
      </c>
      <c r="F3872" s="793" t="s">
        <v>889</v>
      </c>
      <c r="G3872" s="793" t="s">
        <v>791</v>
      </c>
      <c r="H3872" s="793" t="s">
        <v>826</v>
      </c>
      <c r="I3872" s="794">
        <v>3.4400974720150888E-4</v>
      </c>
      <c r="J3872" s="794">
        <v>0.49709022380445056</v>
      </c>
      <c r="K3872" s="771"/>
    </row>
    <row r="3873" spans="1:11" ht="18.75" customHeight="1" outlineLevel="2">
      <c r="A3873" s="791" t="s">
        <v>776</v>
      </c>
      <c r="B3873" s="791" t="s">
        <v>1040</v>
      </c>
      <c r="C3873" s="791" t="s">
        <v>778</v>
      </c>
      <c r="D3873" s="792" t="s">
        <v>779</v>
      </c>
      <c r="E3873" s="793" t="s">
        <v>662</v>
      </c>
      <c r="F3873" s="793" t="s">
        <v>890</v>
      </c>
      <c r="G3873" s="793" t="s">
        <v>791</v>
      </c>
      <c r="H3873" s="793" t="s">
        <v>826</v>
      </c>
      <c r="I3873" s="794">
        <v>4.917570532505809E-3</v>
      </c>
      <c r="J3873" s="794">
        <v>5.5077318430747297</v>
      </c>
      <c r="K3873" s="771"/>
    </row>
    <row r="3874" spans="1:11" ht="18.75" customHeight="1" outlineLevel="2">
      <c r="A3874" s="791" t="s">
        <v>776</v>
      </c>
      <c r="B3874" s="791" t="s">
        <v>1040</v>
      </c>
      <c r="C3874" s="791" t="s">
        <v>778</v>
      </c>
      <c r="D3874" s="792" t="s">
        <v>779</v>
      </c>
      <c r="E3874" s="793" t="s">
        <v>662</v>
      </c>
      <c r="F3874" s="793" t="s">
        <v>891</v>
      </c>
      <c r="G3874" s="793" t="s">
        <v>791</v>
      </c>
      <c r="H3874" s="793" t="s">
        <v>826</v>
      </c>
      <c r="I3874" s="794">
        <v>2.5182711247362873E-2</v>
      </c>
      <c r="J3874" s="794">
        <v>12.347767873541672</v>
      </c>
      <c r="K3874" s="771"/>
    </row>
    <row r="3875" spans="1:11" ht="18.75" customHeight="1" outlineLevel="2">
      <c r="A3875" s="791" t="s">
        <v>776</v>
      </c>
      <c r="B3875" s="791" t="s">
        <v>1040</v>
      </c>
      <c r="C3875" s="791" t="s">
        <v>778</v>
      </c>
      <c r="D3875" s="792" t="s">
        <v>779</v>
      </c>
      <c r="E3875" s="793" t="s">
        <v>662</v>
      </c>
      <c r="F3875" s="793" t="s">
        <v>892</v>
      </c>
      <c r="G3875" s="793" t="s">
        <v>791</v>
      </c>
      <c r="H3875" s="793" t="s">
        <v>826</v>
      </c>
      <c r="I3875" s="794">
        <v>2.8368770637993979E-3</v>
      </c>
      <c r="J3875" s="794">
        <v>2.6607960044725574</v>
      </c>
      <c r="K3875" s="771"/>
    </row>
    <row r="3876" spans="1:11" ht="18.75" customHeight="1" outlineLevel="2">
      <c r="A3876" s="791" t="s">
        <v>776</v>
      </c>
      <c r="B3876" s="791" t="s">
        <v>1040</v>
      </c>
      <c r="C3876" s="791" t="s">
        <v>778</v>
      </c>
      <c r="D3876" s="792" t="s">
        <v>779</v>
      </c>
      <c r="E3876" s="793" t="s">
        <v>662</v>
      </c>
      <c r="F3876" s="793" t="s">
        <v>893</v>
      </c>
      <c r="G3876" s="793" t="s">
        <v>791</v>
      </c>
      <c r="H3876" s="793" t="s">
        <v>826</v>
      </c>
      <c r="I3876" s="794">
        <v>3.7238049335263038E-3</v>
      </c>
      <c r="J3876" s="794">
        <v>3.7970519689616209</v>
      </c>
      <c r="K3876" s="771"/>
    </row>
    <row r="3877" spans="1:11" ht="18.75" customHeight="1" outlineLevel="2">
      <c r="A3877" s="791" t="s">
        <v>776</v>
      </c>
      <c r="B3877" s="791" t="s">
        <v>1040</v>
      </c>
      <c r="C3877" s="791" t="s">
        <v>778</v>
      </c>
      <c r="D3877" s="792" t="s">
        <v>779</v>
      </c>
      <c r="E3877" s="793" t="s">
        <v>662</v>
      </c>
      <c r="F3877" s="793" t="s">
        <v>894</v>
      </c>
      <c r="G3877" s="793" t="s">
        <v>791</v>
      </c>
      <c r="H3877" s="793" t="s">
        <v>826</v>
      </c>
      <c r="I3877" s="794">
        <v>4.4585346568900278E-4</v>
      </c>
      <c r="J3877" s="794">
        <v>4.0579328768718215</v>
      </c>
      <c r="K3877" s="771"/>
    </row>
    <row r="3878" spans="1:11" ht="18.75" customHeight="1" outlineLevel="2">
      <c r="A3878" s="791" t="s">
        <v>776</v>
      </c>
      <c r="B3878" s="791" t="s">
        <v>1040</v>
      </c>
      <c r="C3878" s="791" t="s">
        <v>778</v>
      </c>
      <c r="D3878" s="792" t="s">
        <v>779</v>
      </c>
      <c r="E3878" s="793" t="s">
        <v>662</v>
      </c>
      <c r="F3878" s="793" t="s">
        <v>895</v>
      </c>
      <c r="G3878" s="793" t="s">
        <v>794</v>
      </c>
      <c r="H3878" s="793" t="s">
        <v>828</v>
      </c>
      <c r="I3878" s="794">
        <v>9.6879422420078118E-2</v>
      </c>
      <c r="J3878" s="794">
        <v>134.91916024058952</v>
      </c>
      <c r="K3878" s="771"/>
    </row>
    <row r="3879" spans="1:11" ht="18.75" customHeight="1" outlineLevel="2">
      <c r="A3879" s="791" t="s">
        <v>776</v>
      </c>
      <c r="B3879" s="791" t="s">
        <v>1040</v>
      </c>
      <c r="C3879" s="791" t="s">
        <v>778</v>
      </c>
      <c r="D3879" s="792" t="s">
        <v>779</v>
      </c>
      <c r="E3879" s="793" t="s">
        <v>662</v>
      </c>
      <c r="F3879" s="793" t="s">
        <v>896</v>
      </c>
      <c r="G3879" s="793" t="s">
        <v>794</v>
      </c>
      <c r="H3879" s="793" t="s">
        <v>828</v>
      </c>
      <c r="I3879" s="794">
        <v>2.2756771222620171E-2</v>
      </c>
      <c r="J3879" s="794">
        <v>33.755547692603137</v>
      </c>
      <c r="K3879" s="771"/>
    </row>
    <row r="3880" spans="1:11" ht="18.75" customHeight="1" outlineLevel="2">
      <c r="A3880" s="791" t="s">
        <v>776</v>
      </c>
      <c r="B3880" s="791" t="s">
        <v>1040</v>
      </c>
      <c r="C3880" s="791" t="s">
        <v>778</v>
      </c>
      <c r="D3880" s="792" t="s">
        <v>779</v>
      </c>
      <c r="E3880" s="793" t="s">
        <v>662</v>
      </c>
      <c r="F3880" s="793" t="s">
        <v>897</v>
      </c>
      <c r="G3880" s="793" t="s">
        <v>794</v>
      </c>
      <c r="H3880" s="793" t="s">
        <v>828</v>
      </c>
      <c r="I3880" s="794">
        <v>1.0498062439688999E-2</v>
      </c>
      <c r="J3880" s="794">
        <v>17.848830875795063</v>
      </c>
      <c r="K3880" s="771"/>
    </row>
    <row r="3881" spans="1:11" ht="18.75" customHeight="1" outlineLevel="2">
      <c r="A3881" s="791" t="s">
        <v>776</v>
      </c>
      <c r="B3881" s="791" t="s">
        <v>1040</v>
      </c>
      <c r="C3881" s="791" t="s">
        <v>778</v>
      </c>
      <c r="D3881" s="792" t="s">
        <v>779</v>
      </c>
      <c r="E3881" s="793" t="s">
        <v>662</v>
      </c>
      <c r="F3881" s="793" t="s">
        <v>898</v>
      </c>
      <c r="G3881" s="793" t="s">
        <v>794</v>
      </c>
      <c r="H3881" s="793" t="s">
        <v>828</v>
      </c>
      <c r="I3881" s="794">
        <v>2.4189580377262872E-2</v>
      </c>
      <c r="J3881" s="794">
        <v>38.370167096470858</v>
      </c>
      <c r="K3881" s="771"/>
    </row>
    <row r="3882" spans="1:11" ht="18.75" customHeight="1" outlineLevel="2">
      <c r="A3882" s="791" t="s">
        <v>776</v>
      </c>
      <c r="B3882" s="791" t="s">
        <v>1040</v>
      </c>
      <c r="C3882" s="791" t="s">
        <v>778</v>
      </c>
      <c r="D3882" s="792" t="s">
        <v>779</v>
      </c>
      <c r="E3882" s="793" t="s">
        <v>662</v>
      </c>
      <c r="F3882" s="793" t="s">
        <v>899</v>
      </c>
      <c r="G3882" s="793" t="s">
        <v>794</v>
      </c>
      <c r="H3882" s="793" t="s">
        <v>828</v>
      </c>
      <c r="I3882" s="794">
        <v>4.2612554094222682E-2</v>
      </c>
      <c r="J3882" s="794">
        <v>60.623839297004444</v>
      </c>
      <c r="K3882" s="771"/>
    </row>
    <row r="3883" spans="1:11" ht="18.75" customHeight="1" outlineLevel="2">
      <c r="A3883" s="791" t="s">
        <v>776</v>
      </c>
      <c r="B3883" s="791" t="s">
        <v>1040</v>
      </c>
      <c r="C3883" s="791" t="s">
        <v>778</v>
      </c>
      <c r="D3883" s="792" t="s">
        <v>779</v>
      </c>
      <c r="E3883" s="793" t="s">
        <v>662</v>
      </c>
      <c r="F3883" s="793" t="s">
        <v>900</v>
      </c>
      <c r="G3883" s="793" t="s">
        <v>794</v>
      </c>
      <c r="H3883" s="793" t="s">
        <v>828</v>
      </c>
      <c r="I3883" s="794">
        <v>1.9741296827458319E-3</v>
      </c>
      <c r="J3883" s="794">
        <v>2.8443708620874517</v>
      </c>
      <c r="K3883" s="771"/>
    </row>
    <row r="3884" spans="1:11" ht="18.75" customHeight="1" outlineLevel="2">
      <c r="A3884" s="791" t="s">
        <v>776</v>
      </c>
      <c r="B3884" s="791" t="s">
        <v>1040</v>
      </c>
      <c r="C3884" s="791" t="s">
        <v>778</v>
      </c>
      <c r="D3884" s="792" t="s">
        <v>779</v>
      </c>
      <c r="E3884" s="793" t="s">
        <v>662</v>
      </c>
      <c r="F3884" s="793" t="s">
        <v>901</v>
      </c>
      <c r="G3884" s="793" t="s">
        <v>833</v>
      </c>
      <c r="H3884" s="793" t="s">
        <v>834</v>
      </c>
      <c r="I3884" s="794">
        <v>1.8336781131497115E-2</v>
      </c>
      <c r="J3884" s="794">
        <v>19.221624105723347</v>
      </c>
      <c r="K3884" s="771"/>
    </row>
    <row r="3885" spans="1:11" ht="18.75" customHeight="1" outlineLevel="2">
      <c r="A3885" s="791" t="s">
        <v>776</v>
      </c>
      <c r="B3885" s="791" t="s">
        <v>1040</v>
      </c>
      <c r="C3885" s="791" t="s">
        <v>778</v>
      </c>
      <c r="D3885" s="792" t="s">
        <v>779</v>
      </c>
      <c r="E3885" s="793" t="s">
        <v>662</v>
      </c>
      <c r="F3885" s="793" t="s">
        <v>902</v>
      </c>
      <c r="G3885" s="793" t="s">
        <v>833</v>
      </c>
      <c r="H3885" s="793" t="s">
        <v>834</v>
      </c>
      <c r="I3885" s="794">
        <v>1.5960860032938456E-4</v>
      </c>
      <c r="J3885" s="794">
        <v>0.20485729666689073</v>
      </c>
      <c r="K3885" s="771"/>
    </row>
    <row r="3886" spans="1:11" ht="18.75" customHeight="1" outlineLevel="2">
      <c r="A3886" s="791" t="s">
        <v>776</v>
      </c>
      <c r="B3886" s="791" t="s">
        <v>1040</v>
      </c>
      <c r="C3886" s="791" t="s">
        <v>778</v>
      </c>
      <c r="D3886" s="792" t="s">
        <v>779</v>
      </c>
      <c r="E3886" s="793" t="s">
        <v>662</v>
      </c>
      <c r="F3886" s="793" t="s">
        <v>903</v>
      </c>
      <c r="G3886" s="793" t="s">
        <v>904</v>
      </c>
      <c r="H3886" s="793" t="s">
        <v>905</v>
      </c>
      <c r="I3886" s="794">
        <v>8.8570097897044722</v>
      </c>
      <c r="J3886" s="794">
        <v>7535.707549393599</v>
      </c>
      <c r="K3886" s="771"/>
    </row>
    <row r="3887" spans="1:11" ht="18.75" customHeight="1" outlineLevel="2">
      <c r="A3887" s="791" t="s">
        <v>776</v>
      </c>
      <c r="B3887" s="791" t="s">
        <v>1040</v>
      </c>
      <c r="C3887" s="791" t="s">
        <v>778</v>
      </c>
      <c r="D3887" s="792" t="s">
        <v>779</v>
      </c>
      <c r="E3887" s="793" t="s">
        <v>662</v>
      </c>
      <c r="F3887" s="793" t="s">
        <v>906</v>
      </c>
      <c r="G3887" s="793" t="s">
        <v>904</v>
      </c>
      <c r="H3887" s="793" t="s">
        <v>905</v>
      </c>
      <c r="I3887" s="794">
        <v>3.7280261253531775</v>
      </c>
      <c r="J3887" s="794">
        <v>3180.4190253193347</v>
      </c>
      <c r="K3887" s="771"/>
    </row>
    <row r="3888" spans="1:11" ht="18.75" customHeight="1" outlineLevel="2">
      <c r="A3888" s="791" t="s">
        <v>776</v>
      </c>
      <c r="B3888" s="791" t="s">
        <v>1040</v>
      </c>
      <c r="C3888" s="791" t="s">
        <v>778</v>
      </c>
      <c r="D3888" s="792" t="s">
        <v>779</v>
      </c>
      <c r="E3888" s="793" t="s">
        <v>662</v>
      </c>
      <c r="F3888" s="793" t="s">
        <v>907</v>
      </c>
      <c r="G3888" s="793" t="s">
        <v>908</v>
      </c>
      <c r="H3888" s="793" t="s">
        <v>905</v>
      </c>
      <c r="I3888" s="794">
        <v>4.2385375337343465</v>
      </c>
      <c r="J3888" s="794">
        <v>7135.5043856790835</v>
      </c>
      <c r="K3888" s="771"/>
    </row>
    <row r="3889" spans="1:11" ht="18.75" customHeight="1" outlineLevel="2">
      <c r="A3889" s="791" t="s">
        <v>776</v>
      </c>
      <c r="B3889" s="791" t="s">
        <v>1040</v>
      </c>
      <c r="C3889" s="791" t="s">
        <v>778</v>
      </c>
      <c r="D3889" s="792" t="s">
        <v>779</v>
      </c>
      <c r="E3889" s="793" t="s">
        <v>662</v>
      </c>
      <c r="F3889" s="793" t="s">
        <v>909</v>
      </c>
      <c r="G3889" s="793" t="s">
        <v>910</v>
      </c>
      <c r="H3889" s="793" t="s">
        <v>911</v>
      </c>
      <c r="I3889" s="794">
        <v>5.8203723528100644E-5</v>
      </c>
      <c r="J3889" s="794">
        <v>8.7148617848041038E-2</v>
      </c>
      <c r="K3889" s="771"/>
    </row>
    <row r="3890" spans="1:11" ht="18.75" customHeight="1" outlineLevel="2">
      <c r="A3890" s="791" t="s">
        <v>776</v>
      </c>
      <c r="B3890" s="791" t="s">
        <v>1040</v>
      </c>
      <c r="C3890" s="791" t="s">
        <v>778</v>
      </c>
      <c r="D3890" s="792" t="s">
        <v>779</v>
      </c>
      <c r="E3890" s="793" t="s">
        <v>763</v>
      </c>
      <c r="F3890" s="793" t="s">
        <v>914</v>
      </c>
      <c r="G3890" s="793" t="s">
        <v>782</v>
      </c>
      <c r="H3890" s="793" t="s">
        <v>913</v>
      </c>
      <c r="I3890" s="794">
        <v>3.5433604040322471E-5</v>
      </c>
      <c r="J3890" s="794">
        <v>0.16494328308550449</v>
      </c>
      <c r="K3890" s="771"/>
    </row>
    <row r="3891" spans="1:11" ht="18.75" customHeight="1" outlineLevel="2">
      <c r="A3891" s="791" t="s">
        <v>776</v>
      </c>
      <c r="B3891" s="791" t="s">
        <v>1040</v>
      </c>
      <c r="C3891" s="791" t="s">
        <v>778</v>
      </c>
      <c r="D3891" s="792" t="s">
        <v>779</v>
      </c>
      <c r="E3891" s="793" t="s">
        <v>763</v>
      </c>
      <c r="F3891" s="793" t="s">
        <v>915</v>
      </c>
      <c r="G3891" s="793" t="s">
        <v>782</v>
      </c>
      <c r="H3891" s="793" t="s">
        <v>913</v>
      </c>
      <c r="I3891" s="794">
        <v>1.9004183497060513E-5</v>
      </c>
      <c r="J3891" s="794">
        <v>0.2758430733047893</v>
      </c>
      <c r="K3891" s="771"/>
    </row>
    <row r="3892" spans="1:11" ht="18.75" customHeight="1" outlineLevel="2">
      <c r="A3892" s="791" t="s">
        <v>776</v>
      </c>
      <c r="B3892" s="791" t="s">
        <v>1040</v>
      </c>
      <c r="C3892" s="791" t="s">
        <v>778</v>
      </c>
      <c r="D3892" s="792" t="s">
        <v>779</v>
      </c>
      <c r="E3892" s="793" t="s">
        <v>763</v>
      </c>
      <c r="F3892" s="793" t="s">
        <v>916</v>
      </c>
      <c r="G3892" s="793" t="s">
        <v>782</v>
      </c>
      <c r="H3892" s="793" t="s">
        <v>913</v>
      </c>
      <c r="I3892" s="794">
        <v>2.8176667829878799E-5</v>
      </c>
      <c r="J3892" s="794">
        <v>4.8713624916938258E-2</v>
      </c>
      <c r="K3892" s="771"/>
    </row>
    <row r="3893" spans="1:11" ht="18.75" customHeight="1" outlineLevel="2">
      <c r="A3893" s="791" t="s">
        <v>776</v>
      </c>
      <c r="B3893" s="791" t="s">
        <v>1040</v>
      </c>
      <c r="C3893" s="791" t="s">
        <v>778</v>
      </c>
      <c r="D3893" s="792" t="s">
        <v>779</v>
      </c>
      <c r="E3893" s="793" t="s">
        <v>763</v>
      </c>
      <c r="F3893" s="793" t="s">
        <v>917</v>
      </c>
      <c r="G3893" s="793" t="s">
        <v>782</v>
      </c>
      <c r="H3893" s="793" t="s">
        <v>913</v>
      </c>
      <c r="I3893" s="794">
        <v>5.1585593597853187E-6</v>
      </c>
      <c r="J3893" s="794">
        <v>2.8241509718418049E-2</v>
      </c>
      <c r="K3893" s="771"/>
    </row>
    <row r="3894" spans="1:11" ht="18.75" customHeight="1" outlineLevel="2">
      <c r="A3894" s="791" t="s">
        <v>776</v>
      </c>
      <c r="B3894" s="791" t="s">
        <v>1040</v>
      </c>
      <c r="C3894" s="791" t="s">
        <v>778</v>
      </c>
      <c r="D3894" s="792" t="s">
        <v>779</v>
      </c>
      <c r="E3894" s="793" t="s">
        <v>763</v>
      </c>
      <c r="F3894" s="793" t="s">
        <v>918</v>
      </c>
      <c r="G3894" s="793" t="s">
        <v>782</v>
      </c>
      <c r="H3894" s="793" t="s">
        <v>913</v>
      </c>
      <c r="I3894" s="794">
        <v>1.1417683999905364E-4</v>
      </c>
      <c r="J3894" s="794">
        <v>0.51010602653741233</v>
      </c>
      <c r="K3894" s="771"/>
    </row>
    <row r="3895" spans="1:11" ht="18.75" customHeight="1" outlineLevel="2">
      <c r="A3895" s="791" t="s">
        <v>776</v>
      </c>
      <c r="B3895" s="791" t="s">
        <v>1040</v>
      </c>
      <c r="C3895" s="791" t="s">
        <v>778</v>
      </c>
      <c r="D3895" s="792" t="s">
        <v>779</v>
      </c>
      <c r="E3895" s="793" t="s">
        <v>763</v>
      </c>
      <c r="F3895" s="793" t="s">
        <v>919</v>
      </c>
      <c r="G3895" s="793" t="s">
        <v>782</v>
      </c>
      <c r="H3895" s="793" t="s">
        <v>913</v>
      </c>
      <c r="I3895" s="794">
        <v>2.1839981655700198E-4</v>
      </c>
      <c r="J3895" s="794">
        <v>0.25621542967207556</v>
      </c>
      <c r="K3895" s="771"/>
    </row>
    <row r="3896" spans="1:11" ht="18.75" customHeight="1" outlineLevel="2">
      <c r="A3896" s="791" t="s">
        <v>776</v>
      </c>
      <c r="B3896" s="791" t="s">
        <v>1040</v>
      </c>
      <c r="C3896" s="791" t="s">
        <v>778</v>
      </c>
      <c r="D3896" s="792" t="s">
        <v>779</v>
      </c>
      <c r="E3896" s="793" t="s">
        <v>763</v>
      </c>
      <c r="F3896" s="793" t="s">
        <v>920</v>
      </c>
      <c r="G3896" s="793" t="s">
        <v>782</v>
      </c>
      <c r="H3896" s="793" t="s">
        <v>913</v>
      </c>
      <c r="I3896" s="794">
        <v>2.3721084008461078E-5</v>
      </c>
      <c r="J3896" s="794">
        <v>0.47194204780489135</v>
      </c>
      <c r="K3896" s="771"/>
    </row>
    <row r="3897" spans="1:11" ht="18.75" customHeight="1" outlineLevel="2">
      <c r="A3897" s="791" t="s">
        <v>776</v>
      </c>
      <c r="B3897" s="791" t="s">
        <v>1040</v>
      </c>
      <c r="C3897" s="791" t="s">
        <v>778</v>
      </c>
      <c r="D3897" s="792" t="s">
        <v>779</v>
      </c>
      <c r="E3897" s="793" t="s">
        <v>763</v>
      </c>
      <c r="F3897" s="793" t="s">
        <v>921</v>
      </c>
      <c r="G3897" s="793" t="s">
        <v>782</v>
      </c>
      <c r="H3897" s="793" t="s">
        <v>913</v>
      </c>
      <c r="I3897" s="794">
        <v>1.1009560947899286E-4</v>
      </c>
      <c r="J3897" s="794">
        <v>0.1923009430987199</v>
      </c>
      <c r="K3897" s="771"/>
    </row>
    <row r="3898" spans="1:11" ht="18.75" customHeight="1" outlineLevel="2">
      <c r="A3898" s="791" t="s">
        <v>776</v>
      </c>
      <c r="B3898" s="791" t="s">
        <v>1040</v>
      </c>
      <c r="C3898" s="791" t="s">
        <v>778</v>
      </c>
      <c r="D3898" s="792" t="s">
        <v>779</v>
      </c>
      <c r="E3898" s="793" t="s">
        <v>763</v>
      </c>
      <c r="F3898" s="793" t="s">
        <v>922</v>
      </c>
      <c r="G3898" s="793" t="s">
        <v>782</v>
      </c>
      <c r="H3898" s="793" t="s">
        <v>913</v>
      </c>
      <c r="I3898" s="794">
        <v>1.6458025598077163E-5</v>
      </c>
      <c r="J3898" s="794">
        <v>3.1518121044865607E-2</v>
      </c>
      <c r="K3898" s="771"/>
    </row>
    <row r="3899" spans="1:11" ht="18.75" customHeight="1" outlineLevel="2">
      <c r="A3899" s="791" t="s">
        <v>776</v>
      </c>
      <c r="B3899" s="791" t="s">
        <v>1040</v>
      </c>
      <c r="C3899" s="791" t="s">
        <v>778</v>
      </c>
      <c r="D3899" s="792" t="s">
        <v>779</v>
      </c>
      <c r="E3899" s="793" t="s">
        <v>763</v>
      </c>
      <c r="F3899" s="793" t="s">
        <v>923</v>
      </c>
      <c r="G3899" s="793" t="s">
        <v>782</v>
      </c>
      <c r="H3899" s="793" t="s">
        <v>913</v>
      </c>
      <c r="I3899" s="794">
        <v>9.0198373596378286E-5</v>
      </c>
      <c r="J3899" s="794">
        <v>0.32773366117596375</v>
      </c>
      <c r="K3899" s="771"/>
    </row>
    <row r="3900" spans="1:11" ht="18.75" customHeight="1" outlineLevel="2">
      <c r="A3900" s="791" t="s">
        <v>776</v>
      </c>
      <c r="B3900" s="791" t="s">
        <v>1040</v>
      </c>
      <c r="C3900" s="791" t="s">
        <v>778</v>
      </c>
      <c r="D3900" s="792" t="s">
        <v>779</v>
      </c>
      <c r="E3900" s="793" t="s">
        <v>763</v>
      </c>
      <c r="F3900" s="793" t="s">
        <v>924</v>
      </c>
      <c r="G3900" s="793" t="s">
        <v>782</v>
      </c>
      <c r="H3900" s="793" t="s">
        <v>913</v>
      </c>
      <c r="I3900" s="794">
        <v>7.4308781221962643E-5</v>
      </c>
      <c r="J3900" s="794">
        <v>0.7914047870532277</v>
      </c>
      <c r="K3900" s="771"/>
    </row>
    <row r="3901" spans="1:11" ht="18.75" customHeight="1" outlineLevel="2">
      <c r="A3901" s="791" t="s">
        <v>776</v>
      </c>
      <c r="B3901" s="791" t="s">
        <v>1040</v>
      </c>
      <c r="C3901" s="791" t="s">
        <v>778</v>
      </c>
      <c r="D3901" s="792" t="s">
        <v>779</v>
      </c>
      <c r="E3901" s="793" t="s">
        <v>763</v>
      </c>
      <c r="F3901" s="793" t="s">
        <v>925</v>
      </c>
      <c r="G3901" s="793" t="s">
        <v>782</v>
      </c>
      <c r="H3901" s="793" t="s">
        <v>913</v>
      </c>
      <c r="I3901" s="794">
        <v>5.2286990610676291E-6</v>
      </c>
      <c r="J3901" s="794">
        <v>8.3266136180329423E-2</v>
      </c>
      <c r="K3901" s="771"/>
    </row>
    <row r="3902" spans="1:11" ht="18.75" customHeight="1" outlineLevel="2">
      <c r="A3902" s="791" t="s">
        <v>776</v>
      </c>
      <c r="B3902" s="791" t="s">
        <v>1040</v>
      </c>
      <c r="C3902" s="791" t="s">
        <v>778</v>
      </c>
      <c r="D3902" s="792" t="s">
        <v>779</v>
      </c>
      <c r="E3902" s="793" t="s">
        <v>763</v>
      </c>
      <c r="F3902" s="793" t="s">
        <v>926</v>
      </c>
      <c r="G3902" s="793" t="s">
        <v>782</v>
      </c>
      <c r="H3902" s="793" t="s">
        <v>913</v>
      </c>
      <c r="I3902" s="794">
        <v>3.8775887349624895E-4</v>
      </c>
      <c r="J3902" s="794">
        <v>0.71285731911538364</v>
      </c>
      <c r="K3902" s="771"/>
    </row>
    <row r="3903" spans="1:11" ht="18.75" customHeight="1" outlineLevel="2">
      <c r="A3903" s="791" t="s">
        <v>776</v>
      </c>
      <c r="B3903" s="791" t="s">
        <v>1040</v>
      </c>
      <c r="C3903" s="791" t="s">
        <v>778</v>
      </c>
      <c r="D3903" s="792" t="s">
        <v>779</v>
      </c>
      <c r="E3903" s="793" t="s">
        <v>763</v>
      </c>
      <c r="F3903" s="793" t="s">
        <v>927</v>
      </c>
      <c r="G3903" s="793" t="s">
        <v>782</v>
      </c>
      <c r="H3903" s="793" t="s">
        <v>913</v>
      </c>
      <c r="I3903" s="794">
        <v>2.1613636417778373E-4</v>
      </c>
      <c r="J3903" s="794">
        <v>0.29916653369088064</v>
      </c>
      <c r="K3903" s="771"/>
    </row>
    <row r="3904" spans="1:11" ht="18.75" customHeight="1" outlineLevel="2">
      <c r="A3904" s="791" t="s">
        <v>776</v>
      </c>
      <c r="B3904" s="791" t="s">
        <v>1040</v>
      </c>
      <c r="C3904" s="791" t="s">
        <v>778</v>
      </c>
      <c r="D3904" s="792" t="s">
        <v>779</v>
      </c>
      <c r="E3904" s="793" t="s">
        <v>763</v>
      </c>
      <c r="F3904" s="793" t="s">
        <v>928</v>
      </c>
      <c r="G3904" s="793" t="s">
        <v>785</v>
      </c>
      <c r="H3904" s="793" t="s">
        <v>913</v>
      </c>
      <c r="I3904" s="794">
        <v>1.1957225180732522E-3</v>
      </c>
      <c r="J3904" s="794">
        <v>3.6809008023561409</v>
      </c>
      <c r="K3904" s="771"/>
    </row>
    <row r="3905" spans="1:11" ht="18.75" customHeight="1" outlineLevel="2">
      <c r="A3905" s="791" t="s">
        <v>776</v>
      </c>
      <c r="B3905" s="791" t="s">
        <v>1040</v>
      </c>
      <c r="C3905" s="791" t="s">
        <v>778</v>
      </c>
      <c r="D3905" s="792" t="s">
        <v>779</v>
      </c>
      <c r="E3905" s="793" t="s">
        <v>763</v>
      </c>
      <c r="F3905" s="793" t="s">
        <v>929</v>
      </c>
      <c r="G3905" s="793" t="s">
        <v>785</v>
      </c>
      <c r="H3905" s="793" t="s">
        <v>913</v>
      </c>
      <c r="I3905" s="794">
        <v>2.3771762976642938E-2</v>
      </c>
      <c r="J3905" s="794">
        <v>334.81824544973472</v>
      </c>
      <c r="K3905" s="771"/>
    </row>
    <row r="3906" spans="1:11" ht="18.75" customHeight="1" outlineLevel="2">
      <c r="A3906" s="791" t="s">
        <v>776</v>
      </c>
      <c r="B3906" s="791" t="s">
        <v>1040</v>
      </c>
      <c r="C3906" s="791" t="s">
        <v>778</v>
      </c>
      <c r="D3906" s="792" t="s">
        <v>779</v>
      </c>
      <c r="E3906" s="793" t="s">
        <v>763</v>
      </c>
      <c r="F3906" s="793" t="s">
        <v>930</v>
      </c>
      <c r="G3906" s="793" t="s">
        <v>785</v>
      </c>
      <c r="H3906" s="793" t="s">
        <v>913</v>
      </c>
      <c r="I3906" s="794">
        <v>1.4152537464521363E-4</v>
      </c>
      <c r="J3906" s="794">
        <v>2.4942665859049118</v>
      </c>
      <c r="K3906" s="771"/>
    </row>
    <row r="3907" spans="1:11" ht="18.75" customHeight="1" outlineLevel="2">
      <c r="A3907" s="791" t="s">
        <v>776</v>
      </c>
      <c r="B3907" s="791" t="s">
        <v>1040</v>
      </c>
      <c r="C3907" s="791" t="s">
        <v>778</v>
      </c>
      <c r="D3907" s="792" t="s">
        <v>779</v>
      </c>
      <c r="E3907" s="793" t="s">
        <v>763</v>
      </c>
      <c r="F3907" s="793" t="s">
        <v>931</v>
      </c>
      <c r="G3907" s="793" t="s">
        <v>785</v>
      </c>
      <c r="H3907" s="793" t="s">
        <v>913</v>
      </c>
      <c r="I3907" s="794">
        <v>4.734300923208499E-5</v>
      </c>
      <c r="J3907" s="794">
        <v>0.78678089433963605</v>
      </c>
      <c r="K3907" s="771"/>
    </row>
    <row r="3908" spans="1:11" ht="18.75" customHeight="1" outlineLevel="2">
      <c r="A3908" s="791" t="s">
        <v>776</v>
      </c>
      <c r="B3908" s="791" t="s">
        <v>1040</v>
      </c>
      <c r="C3908" s="791" t="s">
        <v>778</v>
      </c>
      <c r="D3908" s="792" t="s">
        <v>779</v>
      </c>
      <c r="E3908" s="793" t="s">
        <v>763</v>
      </c>
      <c r="F3908" s="793" t="s">
        <v>932</v>
      </c>
      <c r="G3908" s="793" t="s">
        <v>785</v>
      </c>
      <c r="H3908" s="793" t="s">
        <v>913</v>
      </c>
      <c r="I3908" s="794">
        <v>5.0550558357524254E-5</v>
      </c>
      <c r="J3908" s="794">
        <v>0.19431136509524932</v>
      </c>
      <c r="K3908" s="771"/>
    </row>
    <row r="3909" spans="1:11" ht="18.75" customHeight="1" outlineLevel="2">
      <c r="A3909" s="791" t="s">
        <v>776</v>
      </c>
      <c r="B3909" s="791" t="s">
        <v>1040</v>
      </c>
      <c r="C3909" s="791" t="s">
        <v>778</v>
      </c>
      <c r="D3909" s="792" t="s">
        <v>779</v>
      </c>
      <c r="E3909" s="793" t="s">
        <v>763</v>
      </c>
      <c r="F3909" s="793" t="s">
        <v>933</v>
      </c>
      <c r="G3909" s="793" t="s">
        <v>785</v>
      </c>
      <c r="H3909" s="793" t="s">
        <v>913</v>
      </c>
      <c r="I3909" s="794">
        <v>7.0953952304736922E-5</v>
      </c>
      <c r="J3909" s="794">
        <v>1.545313892803325</v>
      </c>
      <c r="K3909" s="771"/>
    </row>
    <row r="3910" spans="1:11" ht="18.75" customHeight="1" outlineLevel="2">
      <c r="A3910" s="791" t="s">
        <v>776</v>
      </c>
      <c r="B3910" s="791" t="s">
        <v>1040</v>
      </c>
      <c r="C3910" s="791" t="s">
        <v>778</v>
      </c>
      <c r="D3910" s="792" t="s">
        <v>779</v>
      </c>
      <c r="E3910" s="793" t="s">
        <v>763</v>
      </c>
      <c r="F3910" s="793" t="s">
        <v>934</v>
      </c>
      <c r="G3910" s="793" t="s">
        <v>813</v>
      </c>
      <c r="H3910" s="793" t="s">
        <v>913</v>
      </c>
      <c r="I3910" s="794">
        <v>3.4095367176083568E-3</v>
      </c>
      <c r="J3910" s="794">
        <v>51.669134485030469</v>
      </c>
      <c r="K3910" s="771"/>
    </row>
    <row r="3911" spans="1:11" ht="18.75" customHeight="1" outlineLevel="2">
      <c r="A3911" s="791" t="s">
        <v>776</v>
      </c>
      <c r="B3911" s="791" t="s">
        <v>1040</v>
      </c>
      <c r="C3911" s="791" t="s">
        <v>778</v>
      </c>
      <c r="D3911" s="792" t="s">
        <v>779</v>
      </c>
      <c r="E3911" s="793" t="s">
        <v>763</v>
      </c>
      <c r="F3911" s="793" t="s">
        <v>935</v>
      </c>
      <c r="G3911" s="793" t="s">
        <v>791</v>
      </c>
      <c r="H3911" s="793" t="s">
        <v>913</v>
      </c>
      <c r="I3911" s="794">
        <v>1.9036407973987792E-5</v>
      </c>
      <c r="J3911" s="794">
        <v>2.3987437340184367E-2</v>
      </c>
      <c r="K3911" s="771"/>
    </row>
    <row r="3912" spans="1:11" ht="18.75" customHeight="1" outlineLevel="2">
      <c r="A3912" s="791" t="s">
        <v>776</v>
      </c>
      <c r="B3912" s="791" t="s">
        <v>1040</v>
      </c>
      <c r="C3912" s="791" t="s">
        <v>778</v>
      </c>
      <c r="D3912" s="792" t="s">
        <v>779</v>
      </c>
      <c r="E3912" s="793" t="s">
        <v>763</v>
      </c>
      <c r="F3912" s="793" t="s">
        <v>936</v>
      </c>
      <c r="G3912" s="793" t="s">
        <v>791</v>
      </c>
      <c r="H3912" s="793" t="s">
        <v>913</v>
      </c>
      <c r="I3912" s="794">
        <v>2.7582004296293852E-6</v>
      </c>
      <c r="J3912" s="794">
        <v>4.6720790466608604E-2</v>
      </c>
      <c r="K3912" s="771"/>
    </row>
    <row r="3913" spans="1:11" ht="18.75" customHeight="1" outlineLevel="2">
      <c r="A3913" s="791" t="s">
        <v>776</v>
      </c>
      <c r="B3913" s="791" t="s">
        <v>1040</v>
      </c>
      <c r="C3913" s="791" t="s">
        <v>778</v>
      </c>
      <c r="D3913" s="792" t="s">
        <v>779</v>
      </c>
      <c r="E3913" s="793" t="s">
        <v>763</v>
      </c>
      <c r="F3913" s="793" t="s">
        <v>937</v>
      </c>
      <c r="G3913" s="793" t="s">
        <v>794</v>
      </c>
      <c r="H3913" s="793" t="s">
        <v>913</v>
      </c>
      <c r="I3913" s="794">
        <v>5.2806927153352242E-3</v>
      </c>
      <c r="J3913" s="794">
        <v>12.965803661953871</v>
      </c>
      <c r="K3913" s="771"/>
    </row>
    <row r="3914" spans="1:11" ht="18.75" customHeight="1" outlineLevel="2">
      <c r="A3914" s="791" t="s">
        <v>776</v>
      </c>
      <c r="B3914" s="791" t="s">
        <v>1040</v>
      </c>
      <c r="C3914" s="791" t="s">
        <v>778</v>
      </c>
      <c r="D3914" s="792" t="s">
        <v>779</v>
      </c>
      <c r="E3914" s="793" t="s">
        <v>763</v>
      </c>
      <c r="F3914" s="793" t="s">
        <v>938</v>
      </c>
      <c r="G3914" s="793" t="s">
        <v>794</v>
      </c>
      <c r="H3914" s="793" t="s">
        <v>913</v>
      </c>
      <c r="I3914" s="794">
        <v>6.2135985908729559E-4</v>
      </c>
      <c r="J3914" s="794">
        <v>2.8380513089626187</v>
      </c>
      <c r="K3914" s="771"/>
    </row>
    <row r="3915" spans="1:11" ht="18.75" customHeight="1" outlineLevel="2">
      <c r="A3915" s="791" t="s">
        <v>776</v>
      </c>
      <c r="B3915" s="791" t="s">
        <v>1040</v>
      </c>
      <c r="C3915" s="791" t="s">
        <v>778</v>
      </c>
      <c r="D3915" s="792" t="s">
        <v>779</v>
      </c>
      <c r="E3915" s="793" t="s">
        <v>763</v>
      </c>
      <c r="F3915" s="793" t="s">
        <v>939</v>
      </c>
      <c r="G3915" s="793" t="s">
        <v>794</v>
      </c>
      <c r="H3915" s="793" t="s">
        <v>913</v>
      </c>
      <c r="I3915" s="794">
        <v>3.2398238145287358E-4</v>
      </c>
      <c r="J3915" s="794">
        <v>3.3139182756542533</v>
      </c>
      <c r="K3915" s="771"/>
    </row>
    <row r="3916" spans="1:11" ht="18.75" customHeight="1" outlineLevel="2">
      <c r="A3916" s="791" t="s">
        <v>776</v>
      </c>
      <c r="B3916" s="791" t="s">
        <v>1040</v>
      </c>
      <c r="C3916" s="791" t="s">
        <v>778</v>
      </c>
      <c r="D3916" s="792" t="s">
        <v>779</v>
      </c>
      <c r="E3916" s="793" t="s">
        <v>763</v>
      </c>
      <c r="F3916" s="793" t="s">
        <v>940</v>
      </c>
      <c r="G3916" s="793" t="s">
        <v>794</v>
      </c>
      <c r="H3916" s="793" t="s">
        <v>913</v>
      </c>
      <c r="I3916" s="794">
        <v>5.3635090806481312E-4</v>
      </c>
      <c r="J3916" s="794">
        <v>4.1187173655634366</v>
      </c>
      <c r="K3916" s="771"/>
    </row>
    <row r="3917" spans="1:11" ht="18.75" customHeight="1" outlineLevel="2">
      <c r="A3917" s="791" t="s">
        <v>776</v>
      </c>
      <c r="B3917" s="791" t="s">
        <v>1040</v>
      </c>
      <c r="C3917" s="791" t="s">
        <v>778</v>
      </c>
      <c r="D3917" s="792" t="s">
        <v>779</v>
      </c>
      <c r="E3917" s="793" t="s">
        <v>763</v>
      </c>
      <c r="F3917" s="793" t="s">
        <v>941</v>
      </c>
      <c r="G3917" s="793" t="s">
        <v>794</v>
      </c>
      <c r="H3917" s="793" t="s">
        <v>913</v>
      </c>
      <c r="I3917" s="794">
        <v>1.8566409278058023E-5</v>
      </c>
      <c r="J3917" s="794">
        <v>5.6016851010517017E-2</v>
      </c>
      <c r="K3917" s="771"/>
    </row>
    <row r="3918" spans="1:11" ht="18.75" customHeight="1" outlineLevel="2">
      <c r="A3918" s="791" t="s">
        <v>776</v>
      </c>
      <c r="B3918" s="791" t="s">
        <v>1040</v>
      </c>
      <c r="C3918" s="791" t="s">
        <v>778</v>
      </c>
      <c r="D3918" s="792" t="s">
        <v>779</v>
      </c>
      <c r="E3918" s="793" t="s">
        <v>763</v>
      </c>
      <c r="F3918" s="793" t="s">
        <v>942</v>
      </c>
      <c r="G3918" s="793" t="s">
        <v>794</v>
      </c>
      <c r="H3918" s="793" t="s">
        <v>913</v>
      </c>
      <c r="I3918" s="794">
        <v>4.4011294452539787E-6</v>
      </c>
      <c r="J3918" s="794">
        <v>5.0858425333527094E-2</v>
      </c>
      <c r="K3918" s="771"/>
    </row>
    <row r="3919" spans="1:11" ht="18.75" customHeight="1" outlineLevel="2">
      <c r="A3919" s="791" t="s">
        <v>776</v>
      </c>
      <c r="B3919" s="791" t="s">
        <v>1040</v>
      </c>
      <c r="C3919" s="791" t="s">
        <v>778</v>
      </c>
      <c r="D3919" s="792" t="s">
        <v>779</v>
      </c>
      <c r="E3919" s="793" t="s">
        <v>763</v>
      </c>
      <c r="F3919" s="793" t="s">
        <v>943</v>
      </c>
      <c r="G3919" s="793" t="s">
        <v>944</v>
      </c>
      <c r="H3919" s="793" t="s">
        <v>913</v>
      </c>
      <c r="I3919" s="794">
        <v>6.1232288492769732E-7</v>
      </c>
      <c r="J3919" s="794">
        <v>2.6454453602387162E-3</v>
      </c>
      <c r="K3919" s="771"/>
    </row>
    <row r="3920" spans="1:11" ht="18.75" customHeight="1" outlineLevel="2">
      <c r="A3920" s="791" t="s">
        <v>776</v>
      </c>
      <c r="B3920" s="791" t="s">
        <v>1040</v>
      </c>
      <c r="C3920" s="791" t="s">
        <v>778</v>
      </c>
      <c r="D3920" s="792" t="s">
        <v>779</v>
      </c>
      <c r="E3920" s="793" t="s">
        <v>764</v>
      </c>
      <c r="F3920" s="793" t="s">
        <v>945</v>
      </c>
      <c r="G3920" s="793" t="s">
        <v>244</v>
      </c>
      <c r="H3920" s="793" t="s">
        <v>905</v>
      </c>
      <c r="I3920" s="794">
        <v>0.15064828344450773</v>
      </c>
      <c r="J3920" s="794">
        <v>5421.9485335183181</v>
      </c>
      <c r="K3920" s="771"/>
    </row>
    <row r="3921" spans="1:11" ht="18.75" customHeight="1" outlineLevel="2">
      <c r="A3921" s="791" t="s">
        <v>776</v>
      </c>
      <c r="B3921" s="791" t="s">
        <v>1040</v>
      </c>
      <c r="C3921" s="791" t="s">
        <v>778</v>
      </c>
      <c r="D3921" s="792" t="s">
        <v>779</v>
      </c>
      <c r="E3921" s="793" t="s">
        <v>764</v>
      </c>
      <c r="F3921" s="793" t="s">
        <v>946</v>
      </c>
      <c r="G3921" s="793" t="s">
        <v>244</v>
      </c>
      <c r="H3921" s="793" t="s">
        <v>905</v>
      </c>
      <c r="I3921" s="794">
        <v>7.8606376705081581E-4</v>
      </c>
      <c r="J3921" s="794">
        <v>14.911182325835407</v>
      </c>
      <c r="K3921" s="771"/>
    </row>
    <row r="3922" spans="1:11" ht="18.75" customHeight="1" outlineLevel="2">
      <c r="A3922" s="791" t="s">
        <v>776</v>
      </c>
      <c r="B3922" s="791" t="s">
        <v>1040</v>
      </c>
      <c r="C3922" s="791" t="s">
        <v>778</v>
      </c>
      <c r="D3922" s="792" t="s">
        <v>779</v>
      </c>
      <c r="E3922" s="793" t="s">
        <v>947</v>
      </c>
      <c r="F3922" s="793" t="s">
        <v>949</v>
      </c>
      <c r="G3922" s="793" t="s">
        <v>782</v>
      </c>
      <c r="H3922" s="793" t="s">
        <v>804</v>
      </c>
      <c r="I3922" s="794">
        <v>3.3825418093079483E-4</v>
      </c>
      <c r="J3922" s="794">
        <v>19.72712883957702</v>
      </c>
      <c r="K3922" s="771"/>
    </row>
    <row r="3923" spans="1:11" ht="18.75" customHeight="1" outlineLevel="2">
      <c r="A3923" s="791" t="s">
        <v>776</v>
      </c>
      <c r="B3923" s="791" t="s">
        <v>1040</v>
      </c>
      <c r="C3923" s="791" t="s">
        <v>778</v>
      </c>
      <c r="D3923" s="792" t="s">
        <v>779</v>
      </c>
      <c r="E3923" s="793" t="s">
        <v>947</v>
      </c>
      <c r="F3923" s="793" t="s">
        <v>950</v>
      </c>
      <c r="G3923" s="793" t="s">
        <v>782</v>
      </c>
      <c r="H3923" s="793" t="s">
        <v>804</v>
      </c>
      <c r="I3923" s="794">
        <v>2.9084089977263289E-6</v>
      </c>
      <c r="J3923" s="794">
        <v>3.2125199125849539E-2</v>
      </c>
      <c r="K3923" s="771"/>
    </row>
    <row r="3924" spans="1:11" ht="18.75" customHeight="1" outlineLevel="2">
      <c r="A3924" s="791" t="s">
        <v>776</v>
      </c>
      <c r="B3924" s="791" t="s">
        <v>1040</v>
      </c>
      <c r="C3924" s="791" t="s">
        <v>778</v>
      </c>
      <c r="D3924" s="792" t="s">
        <v>779</v>
      </c>
      <c r="E3924" s="793" t="s">
        <v>947</v>
      </c>
      <c r="F3924" s="793" t="s">
        <v>951</v>
      </c>
      <c r="G3924" s="793" t="s">
        <v>782</v>
      </c>
      <c r="H3924" s="793" t="s">
        <v>804</v>
      </c>
      <c r="I3924" s="794">
        <v>4.2179442939981796E-5</v>
      </c>
      <c r="J3924" s="794">
        <v>0.52918973751422227</v>
      </c>
      <c r="K3924" s="771"/>
    </row>
    <row r="3925" spans="1:11" ht="18.75" customHeight="1" outlineLevel="2">
      <c r="A3925" s="791" t="s">
        <v>776</v>
      </c>
      <c r="B3925" s="791" t="s">
        <v>1040</v>
      </c>
      <c r="C3925" s="791" t="s">
        <v>778</v>
      </c>
      <c r="D3925" s="792" t="s">
        <v>779</v>
      </c>
      <c r="E3925" s="793" t="s">
        <v>947</v>
      </c>
      <c r="F3925" s="793" t="s">
        <v>952</v>
      </c>
      <c r="G3925" s="793" t="s">
        <v>782</v>
      </c>
      <c r="H3925" s="793" t="s">
        <v>804</v>
      </c>
      <c r="I3925" s="794">
        <v>9.6321106231933627E-4</v>
      </c>
      <c r="J3925" s="794">
        <v>49.379986014538687</v>
      </c>
      <c r="K3925" s="771"/>
    </row>
    <row r="3926" spans="1:11" ht="18.75" customHeight="1" outlineLevel="2">
      <c r="A3926" s="791" t="s">
        <v>776</v>
      </c>
      <c r="B3926" s="791" t="s">
        <v>1040</v>
      </c>
      <c r="C3926" s="791" t="s">
        <v>778</v>
      </c>
      <c r="D3926" s="792" t="s">
        <v>779</v>
      </c>
      <c r="E3926" s="793" t="s">
        <v>947</v>
      </c>
      <c r="F3926" s="793" t="s">
        <v>953</v>
      </c>
      <c r="G3926" s="793" t="s">
        <v>782</v>
      </c>
      <c r="H3926" s="793" t="s">
        <v>804</v>
      </c>
      <c r="I3926" s="794">
        <v>7.3119958023052072E-4</v>
      </c>
      <c r="J3926" s="794">
        <v>53.728771433977805</v>
      </c>
      <c r="K3926" s="771"/>
    </row>
    <row r="3927" spans="1:11" ht="18.75" customHeight="1" outlineLevel="2">
      <c r="A3927" s="791" t="s">
        <v>776</v>
      </c>
      <c r="B3927" s="791" t="s">
        <v>1040</v>
      </c>
      <c r="C3927" s="791" t="s">
        <v>778</v>
      </c>
      <c r="D3927" s="792" t="s">
        <v>779</v>
      </c>
      <c r="E3927" s="793" t="s">
        <v>947</v>
      </c>
      <c r="F3927" s="793" t="s">
        <v>954</v>
      </c>
      <c r="G3927" s="793" t="s">
        <v>782</v>
      </c>
      <c r="H3927" s="793" t="s">
        <v>804</v>
      </c>
      <c r="I3927" s="794">
        <v>8.2610294784803254E-5</v>
      </c>
      <c r="J3927" s="794">
        <v>2.966802270536987</v>
      </c>
      <c r="K3927" s="771"/>
    </row>
    <row r="3928" spans="1:11" ht="18.75" customHeight="1" outlineLevel="2">
      <c r="A3928" s="791" t="s">
        <v>776</v>
      </c>
      <c r="B3928" s="791" t="s">
        <v>1040</v>
      </c>
      <c r="C3928" s="791" t="s">
        <v>778</v>
      </c>
      <c r="D3928" s="792" t="s">
        <v>779</v>
      </c>
      <c r="E3928" s="793" t="s">
        <v>947</v>
      </c>
      <c r="F3928" s="793" t="s">
        <v>955</v>
      </c>
      <c r="G3928" s="793" t="s">
        <v>782</v>
      </c>
      <c r="H3928" s="793" t="s">
        <v>804</v>
      </c>
      <c r="I3928" s="794">
        <v>4.3939654683069842E-5</v>
      </c>
      <c r="J3928" s="794">
        <v>2.0202643272558669</v>
      </c>
      <c r="K3928" s="771"/>
    </row>
    <row r="3929" spans="1:11" ht="18.75" customHeight="1" outlineLevel="2">
      <c r="A3929" s="791" t="s">
        <v>776</v>
      </c>
      <c r="B3929" s="791" t="s">
        <v>1040</v>
      </c>
      <c r="C3929" s="791" t="s">
        <v>778</v>
      </c>
      <c r="D3929" s="792" t="s">
        <v>779</v>
      </c>
      <c r="E3929" s="793" t="s">
        <v>947</v>
      </c>
      <c r="F3929" s="793" t="s">
        <v>956</v>
      </c>
      <c r="G3929" s="793" t="s">
        <v>782</v>
      </c>
      <c r="H3929" s="793" t="s">
        <v>804</v>
      </c>
      <c r="I3929" s="794">
        <v>2.3353759821485639E-4</v>
      </c>
      <c r="J3929" s="794">
        <v>5.5478416809226676</v>
      </c>
      <c r="K3929" s="771"/>
    </row>
    <row r="3930" spans="1:11" ht="18.75" customHeight="1" outlineLevel="2">
      <c r="A3930" s="791" t="s">
        <v>776</v>
      </c>
      <c r="B3930" s="791" t="s">
        <v>1040</v>
      </c>
      <c r="C3930" s="791" t="s">
        <v>778</v>
      </c>
      <c r="D3930" s="792" t="s">
        <v>779</v>
      </c>
      <c r="E3930" s="793" t="s">
        <v>947</v>
      </c>
      <c r="F3930" s="793" t="s">
        <v>957</v>
      </c>
      <c r="G3930" s="793" t="s">
        <v>782</v>
      </c>
      <c r="H3930" s="793" t="s">
        <v>804</v>
      </c>
      <c r="I3930" s="794">
        <v>6.6948544994423263E-4</v>
      </c>
      <c r="J3930" s="794">
        <v>23.740684884045145</v>
      </c>
      <c r="K3930" s="771"/>
    </row>
    <row r="3931" spans="1:11" ht="18.75" customHeight="1" outlineLevel="2">
      <c r="A3931" s="791" t="s">
        <v>776</v>
      </c>
      <c r="B3931" s="791" t="s">
        <v>1040</v>
      </c>
      <c r="C3931" s="791" t="s">
        <v>778</v>
      </c>
      <c r="D3931" s="792" t="s">
        <v>779</v>
      </c>
      <c r="E3931" s="793" t="s">
        <v>947</v>
      </c>
      <c r="F3931" s="793" t="s">
        <v>958</v>
      </c>
      <c r="G3931" s="793" t="s">
        <v>782</v>
      </c>
      <c r="H3931" s="793" t="s">
        <v>804</v>
      </c>
      <c r="I3931" s="794">
        <v>4.7330414113459887E-4</v>
      </c>
      <c r="J3931" s="794">
        <v>26.065797248665007</v>
      </c>
      <c r="K3931" s="771"/>
    </row>
    <row r="3932" spans="1:11" ht="18.75" customHeight="1" outlineLevel="2">
      <c r="A3932" s="791" t="s">
        <v>776</v>
      </c>
      <c r="B3932" s="791" t="s">
        <v>1040</v>
      </c>
      <c r="C3932" s="791" t="s">
        <v>778</v>
      </c>
      <c r="D3932" s="792" t="s">
        <v>779</v>
      </c>
      <c r="E3932" s="793" t="s">
        <v>947</v>
      </c>
      <c r="F3932" s="793" t="s">
        <v>959</v>
      </c>
      <c r="G3932" s="793" t="s">
        <v>782</v>
      </c>
      <c r="H3932" s="793" t="s">
        <v>804</v>
      </c>
      <c r="I3932" s="794">
        <v>2.5948730710882184E-3</v>
      </c>
      <c r="J3932" s="794">
        <v>200.14555659157028</v>
      </c>
      <c r="K3932" s="771"/>
    </row>
    <row r="3933" spans="1:11" ht="18.75" customHeight="1" outlineLevel="2">
      <c r="A3933" s="791" t="s">
        <v>776</v>
      </c>
      <c r="B3933" s="791" t="s">
        <v>1040</v>
      </c>
      <c r="C3933" s="791" t="s">
        <v>778</v>
      </c>
      <c r="D3933" s="792" t="s">
        <v>779</v>
      </c>
      <c r="E3933" s="793" t="s">
        <v>947</v>
      </c>
      <c r="F3933" s="793" t="s">
        <v>960</v>
      </c>
      <c r="G3933" s="793" t="s">
        <v>782</v>
      </c>
      <c r="H3933" s="793" t="s">
        <v>804</v>
      </c>
      <c r="I3933" s="794">
        <v>5.4883526698413971E-5</v>
      </c>
      <c r="J3933" s="794">
        <v>1.6642343952249121</v>
      </c>
      <c r="K3933" s="771"/>
    </row>
    <row r="3934" spans="1:11" ht="18.75" customHeight="1" outlineLevel="2">
      <c r="A3934" s="791" t="s">
        <v>776</v>
      </c>
      <c r="B3934" s="791" t="s">
        <v>1040</v>
      </c>
      <c r="C3934" s="791" t="s">
        <v>778</v>
      </c>
      <c r="D3934" s="792" t="s">
        <v>779</v>
      </c>
      <c r="E3934" s="793" t="s">
        <v>947</v>
      </c>
      <c r="F3934" s="793" t="s">
        <v>961</v>
      </c>
      <c r="G3934" s="793" t="s">
        <v>782</v>
      </c>
      <c r="H3934" s="793" t="s">
        <v>804</v>
      </c>
      <c r="I3934" s="794">
        <v>2.1613728314793404E-5</v>
      </c>
      <c r="J3934" s="794">
        <v>1.0190142882050295</v>
      </c>
      <c r="K3934" s="771"/>
    </row>
    <row r="3935" spans="1:11" ht="18.75" customHeight="1" outlineLevel="2">
      <c r="A3935" s="791" t="s">
        <v>776</v>
      </c>
      <c r="B3935" s="791" t="s">
        <v>1040</v>
      </c>
      <c r="C3935" s="791" t="s">
        <v>778</v>
      </c>
      <c r="D3935" s="792" t="s">
        <v>779</v>
      </c>
      <c r="E3935" s="793" t="s">
        <v>947</v>
      </c>
      <c r="F3935" s="793" t="s">
        <v>962</v>
      </c>
      <c r="G3935" s="793" t="s">
        <v>782</v>
      </c>
      <c r="H3935" s="793" t="s">
        <v>804</v>
      </c>
      <c r="I3935" s="794">
        <v>7.6570666740016769E-4</v>
      </c>
      <c r="J3935" s="794">
        <v>45.748144224710927</v>
      </c>
      <c r="K3935" s="771"/>
    </row>
    <row r="3936" spans="1:11" ht="18.75" customHeight="1" outlineLevel="2">
      <c r="A3936" s="791" t="s">
        <v>776</v>
      </c>
      <c r="B3936" s="791" t="s">
        <v>1040</v>
      </c>
      <c r="C3936" s="791" t="s">
        <v>778</v>
      </c>
      <c r="D3936" s="792" t="s">
        <v>779</v>
      </c>
      <c r="E3936" s="793" t="s">
        <v>947</v>
      </c>
      <c r="F3936" s="793" t="s">
        <v>963</v>
      </c>
      <c r="G3936" s="793" t="s">
        <v>782</v>
      </c>
      <c r="H3936" s="793" t="s">
        <v>804</v>
      </c>
      <c r="I3936" s="794">
        <v>6.5828890775685789E-4</v>
      </c>
      <c r="J3936" s="794">
        <v>49.797458190051337</v>
      </c>
      <c r="K3936" s="771"/>
    </row>
    <row r="3937" spans="1:11" ht="18.75" customHeight="1" outlineLevel="2">
      <c r="A3937" s="791" t="s">
        <v>776</v>
      </c>
      <c r="B3937" s="791" t="s">
        <v>1040</v>
      </c>
      <c r="C3937" s="791" t="s">
        <v>778</v>
      </c>
      <c r="D3937" s="792" t="s">
        <v>779</v>
      </c>
      <c r="E3937" s="793" t="s">
        <v>947</v>
      </c>
      <c r="F3937" s="793" t="s">
        <v>964</v>
      </c>
      <c r="G3937" s="793" t="s">
        <v>782</v>
      </c>
      <c r="H3937" s="793" t="s">
        <v>804</v>
      </c>
      <c r="I3937" s="794">
        <v>2.40347449988629E-3</v>
      </c>
      <c r="J3937" s="794">
        <v>171.29619417121833</v>
      </c>
      <c r="K3937" s="771"/>
    </row>
    <row r="3938" spans="1:11" ht="18.75" customHeight="1" outlineLevel="2">
      <c r="A3938" s="791" t="s">
        <v>776</v>
      </c>
      <c r="B3938" s="791" t="s">
        <v>1040</v>
      </c>
      <c r="C3938" s="791" t="s">
        <v>778</v>
      </c>
      <c r="D3938" s="792" t="s">
        <v>779</v>
      </c>
      <c r="E3938" s="793" t="s">
        <v>947</v>
      </c>
      <c r="F3938" s="793" t="s">
        <v>965</v>
      </c>
      <c r="G3938" s="793" t="s">
        <v>782</v>
      </c>
      <c r="H3938" s="793" t="s">
        <v>804</v>
      </c>
      <c r="I3938" s="794">
        <v>1.6544346766598537E-4</v>
      </c>
      <c r="J3938" s="794">
        <v>8.0546471794336991</v>
      </c>
      <c r="K3938" s="771"/>
    </row>
    <row r="3939" spans="1:11" ht="18.75" customHeight="1" outlineLevel="2">
      <c r="A3939" s="791" t="s">
        <v>776</v>
      </c>
      <c r="B3939" s="791" t="s">
        <v>1040</v>
      </c>
      <c r="C3939" s="791" t="s">
        <v>778</v>
      </c>
      <c r="D3939" s="792" t="s">
        <v>779</v>
      </c>
      <c r="E3939" s="793" t="s">
        <v>947</v>
      </c>
      <c r="F3939" s="793" t="s">
        <v>966</v>
      </c>
      <c r="G3939" s="793" t="s">
        <v>782</v>
      </c>
      <c r="H3939" s="793" t="s">
        <v>804</v>
      </c>
      <c r="I3939" s="794">
        <v>1.3911674098895769E-3</v>
      </c>
      <c r="J3939" s="794">
        <v>64.070379124471216</v>
      </c>
      <c r="K3939" s="771"/>
    </row>
    <row r="3940" spans="1:11" ht="18.75" customHeight="1" outlineLevel="2">
      <c r="A3940" s="791" t="s">
        <v>776</v>
      </c>
      <c r="B3940" s="791" t="s">
        <v>1040</v>
      </c>
      <c r="C3940" s="791" t="s">
        <v>778</v>
      </c>
      <c r="D3940" s="792" t="s">
        <v>779</v>
      </c>
      <c r="E3940" s="793" t="s">
        <v>947</v>
      </c>
      <c r="F3940" s="793" t="s">
        <v>967</v>
      </c>
      <c r="G3940" s="793" t="s">
        <v>782</v>
      </c>
      <c r="H3940" s="793" t="s">
        <v>804</v>
      </c>
      <c r="I3940" s="794">
        <v>3.3990477939582361E-3</v>
      </c>
      <c r="J3940" s="794">
        <v>217.82706365676933</v>
      </c>
      <c r="K3940" s="771"/>
    </row>
    <row r="3941" spans="1:11" ht="18.75" customHeight="1" outlineLevel="2">
      <c r="A3941" s="791" t="s">
        <v>776</v>
      </c>
      <c r="B3941" s="791" t="s">
        <v>1040</v>
      </c>
      <c r="C3941" s="791" t="s">
        <v>778</v>
      </c>
      <c r="D3941" s="792" t="s">
        <v>779</v>
      </c>
      <c r="E3941" s="793" t="s">
        <v>947</v>
      </c>
      <c r="F3941" s="793" t="s">
        <v>968</v>
      </c>
      <c r="G3941" s="793" t="s">
        <v>782</v>
      </c>
      <c r="H3941" s="793" t="s">
        <v>804</v>
      </c>
      <c r="I3941" s="794">
        <v>7.444750511804113E-3</v>
      </c>
      <c r="J3941" s="794">
        <v>146.13218885141893</v>
      </c>
      <c r="K3941" s="771"/>
    </row>
    <row r="3942" spans="1:11" ht="18.75" customHeight="1" outlineLevel="2">
      <c r="A3942" s="791" t="s">
        <v>776</v>
      </c>
      <c r="B3942" s="791" t="s">
        <v>1040</v>
      </c>
      <c r="C3942" s="791" t="s">
        <v>778</v>
      </c>
      <c r="D3942" s="792" t="s">
        <v>779</v>
      </c>
      <c r="E3942" s="793" t="s">
        <v>947</v>
      </c>
      <c r="F3942" s="793" t="s">
        <v>969</v>
      </c>
      <c r="G3942" s="793" t="s">
        <v>782</v>
      </c>
      <c r="H3942" s="793" t="s">
        <v>804</v>
      </c>
      <c r="I3942" s="794">
        <v>2.7372578896391348E-3</v>
      </c>
      <c r="J3942" s="794">
        <v>199.26568307029831</v>
      </c>
      <c r="K3942" s="771"/>
    </row>
    <row r="3943" spans="1:11" ht="18.75" customHeight="1" outlineLevel="2">
      <c r="A3943" s="791" t="s">
        <v>776</v>
      </c>
      <c r="B3943" s="791" t="s">
        <v>1040</v>
      </c>
      <c r="C3943" s="791" t="s">
        <v>778</v>
      </c>
      <c r="D3943" s="792" t="s">
        <v>779</v>
      </c>
      <c r="E3943" s="793" t="s">
        <v>947</v>
      </c>
      <c r="F3943" s="793" t="s">
        <v>970</v>
      </c>
      <c r="G3943" s="793" t="s">
        <v>782</v>
      </c>
      <c r="H3943" s="793" t="s">
        <v>804</v>
      </c>
      <c r="I3943" s="794">
        <v>4.9840145513734974E-3</v>
      </c>
      <c r="J3943" s="794">
        <v>114.70630209732053</v>
      </c>
      <c r="K3943" s="771"/>
    </row>
    <row r="3944" spans="1:11" ht="18.75" customHeight="1" outlineLevel="2">
      <c r="A3944" s="791" t="s">
        <v>776</v>
      </c>
      <c r="B3944" s="791" t="s">
        <v>1040</v>
      </c>
      <c r="C3944" s="791" t="s">
        <v>778</v>
      </c>
      <c r="D3944" s="792" t="s">
        <v>779</v>
      </c>
      <c r="E3944" s="793" t="s">
        <v>947</v>
      </c>
      <c r="F3944" s="793" t="s">
        <v>971</v>
      </c>
      <c r="G3944" s="793" t="s">
        <v>782</v>
      </c>
      <c r="H3944" s="793" t="s">
        <v>804</v>
      </c>
      <c r="I3944" s="794">
        <v>2.9257133141318578E-4</v>
      </c>
      <c r="J3944" s="794">
        <v>21.381454874317182</v>
      </c>
      <c r="K3944" s="771"/>
    </row>
    <row r="3945" spans="1:11" ht="18.75" customHeight="1" outlineLevel="2">
      <c r="A3945" s="791" t="s">
        <v>776</v>
      </c>
      <c r="B3945" s="791" t="s">
        <v>1040</v>
      </c>
      <c r="C3945" s="791" t="s">
        <v>778</v>
      </c>
      <c r="D3945" s="792" t="s">
        <v>779</v>
      </c>
      <c r="E3945" s="793" t="s">
        <v>947</v>
      </c>
      <c r="F3945" s="793" t="s">
        <v>972</v>
      </c>
      <c r="G3945" s="793" t="s">
        <v>782</v>
      </c>
      <c r="H3945" s="793" t="s">
        <v>804</v>
      </c>
      <c r="I3945" s="794">
        <v>1.5195912578947727E-5</v>
      </c>
      <c r="J3945" s="794">
        <v>0.35079103383759286</v>
      </c>
      <c r="K3945" s="771"/>
    </row>
    <row r="3946" spans="1:11" ht="18.75" customHeight="1" outlineLevel="2">
      <c r="A3946" s="791" t="s">
        <v>776</v>
      </c>
      <c r="B3946" s="791" t="s">
        <v>1040</v>
      </c>
      <c r="C3946" s="791" t="s">
        <v>778</v>
      </c>
      <c r="D3946" s="792" t="s">
        <v>779</v>
      </c>
      <c r="E3946" s="793" t="s">
        <v>947</v>
      </c>
      <c r="F3946" s="793" t="s">
        <v>973</v>
      </c>
      <c r="G3946" s="793" t="s">
        <v>782</v>
      </c>
      <c r="H3946" s="793" t="s">
        <v>804</v>
      </c>
      <c r="I3946" s="794">
        <v>4.1486235475793771E-4</v>
      </c>
      <c r="J3946" s="794">
        <v>22.302954502964543</v>
      </c>
      <c r="K3946" s="771"/>
    </row>
    <row r="3947" spans="1:11" ht="18.75" customHeight="1" outlineLevel="2">
      <c r="A3947" s="791" t="s">
        <v>776</v>
      </c>
      <c r="B3947" s="791" t="s">
        <v>1040</v>
      </c>
      <c r="C3947" s="791" t="s">
        <v>778</v>
      </c>
      <c r="D3947" s="792" t="s">
        <v>779</v>
      </c>
      <c r="E3947" s="793" t="s">
        <v>947</v>
      </c>
      <c r="F3947" s="793" t="s">
        <v>974</v>
      </c>
      <c r="G3947" s="793" t="s">
        <v>785</v>
      </c>
      <c r="H3947" s="793" t="s">
        <v>727</v>
      </c>
      <c r="I3947" s="794">
        <v>2.4878961008703809E-4</v>
      </c>
      <c r="J3947" s="794">
        <v>6.0188826076403936</v>
      </c>
      <c r="K3947" s="771"/>
    </row>
    <row r="3948" spans="1:11" ht="18.75" customHeight="1" outlineLevel="2">
      <c r="A3948" s="791" t="s">
        <v>776</v>
      </c>
      <c r="B3948" s="791" t="s">
        <v>1040</v>
      </c>
      <c r="C3948" s="791" t="s">
        <v>778</v>
      </c>
      <c r="D3948" s="792" t="s">
        <v>779</v>
      </c>
      <c r="E3948" s="793" t="s">
        <v>947</v>
      </c>
      <c r="F3948" s="793" t="s">
        <v>975</v>
      </c>
      <c r="G3948" s="793" t="s">
        <v>785</v>
      </c>
      <c r="H3948" s="793" t="s">
        <v>727</v>
      </c>
      <c r="I3948" s="794">
        <v>1.2381342468786131E-3</v>
      </c>
      <c r="J3948" s="794">
        <v>87.319536870718395</v>
      </c>
      <c r="K3948" s="771"/>
    </row>
    <row r="3949" spans="1:11" ht="18.75" customHeight="1" outlineLevel="2">
      <c r="A3949" s="791" t="s">
        <v>776</v>
      </c>
      <c r="B3949" s="791" t="s">
        <v>1040</v>
      </c>
      <c r="C3949" s="791" t="s">
        <v>778</v>
      </c>
      <c r="D3949" s="792" t="s">
        <v>779</v>
      </c>
      <c r="E3949" s="793" t="s">
        <v>947</v>
      </c>
      <c r="F3949" s="793" t="s">
        <v>976</v>
      </c>
      <c r="G3949" s="793" t="s">
        <v>785</v>
      </c>
      <c r="H3949" s="793" t="s">
        <v>727</v>
      </c>
      <c r="I3949" s="794">
        <v>7.2733846279132697E-4</v>
      </c>
      <c r="J3949" s="794">
        <v>38.13937087267243</v>
      </c>
      <c r="K3949" s="771"/>
    </row>
    <row r="3950" spans="1:11" ht="18.75" customHeight="1" outlineLevel="2">
      <c r="A3950" s="791" t="s">
        <v>776</v>
      </c>
      <c r="B3950" s="791" t="s">
        <v>1040</v>
      </c>
      <c r="C3950" s="791" t="s">
        <v>778</v>
      </c>
      <c r="D3950" s="792" t="s">
        <v>779</v>
      </c>
      <c r="E3950" s="793" t="s">
        <v>947</v>
      </c>
      <c r="F3950" s="793" t="s">
        <v>977</v>
      </c>
      <c r="G3950" s="793" t="s">
        <v>785</v>
      </c>
      <c r="H3950" s="793" t="s">
        <v>727</v>
      </c>
      <c r="I3950" s="794">
        <v>8.6093352436346761E-4</v>
      </c>
      <c r="J3950" s="794">
        <v>38.674813992530368</v>
      </c>
      <c r="K3950" s="771"/>
    </row>
    <row r="3951" spans="1:11" ht="18.75" customHeight="1" outlineLevel="2">
      <c r="A3951" s="791" t="s">
        <v>776</v>
      </c>
      <c r="B3951" s="791" t="s">
        <v>1040</v>
      </c>
      <c r="C3951" s="791" t="s">
        <v>778</v>
      </c>
      <c r="D3951" s="792" t="s">
        <v>779</v>
      </c>
      <c r="E3951" s="793" t="s">
        <v>947</v>
      </c>
      <c r="F3951" s="793" t="s">
        <v>978</v>
      </c>
      <c r="G3951" s="793" t="s">
        <v>785</v>
      </c>
      <c r="H3951" s="793" t="s">
        <v>727</v>
      </c>
      <c r="I3951" s="794">
        <v>5.4527605856604884E-5</v>
      </c>
      <c r="J3951" s="794">
        <v>1.4915395259768869</v>
      </c>
      <c r="K3951" s="771"/>
    </row>
    <row r="3952" spans="1:11" ht="18.75" customHeight="1" outlineLevel="2">
      <c r="A3952" s="791" t="s">
        <v>776</v>
      </c>
      <c r="B3952" s="791" t="s">
        <v>1040</v>
      </c>
      <c r="C3952" s="791" t="s">
        <v>778</v>
      </c>
      <c r="D3952" s="792" t="s">
        <v>779</v>
      </c>
      <c r="E3952" s="793" t="s">
        <v>947</v>
      </c>
      <c r="F3952" s="793" t="s">
        <v>979</v>
      </c>
      <c r="G3952" s="793" t="s">
        <v>785</v>
      </c>
      <c r="H3952" s="793" t="s">
        <v>727</v>
      </c>
      <c r="I3952" s="794">
        <v>1.3641339056786396E-2</v>
      </c>
      <c r="J3952" s="794">
        <v>448.34162265949044</v>
      </c>
      <c r="K3952" s="771"/>
    </row>
    <row r="3953" spans="1:11" ht="18.75" customHeight="1" outlineLevel="2">
      <c r="A3953" s="791" t="s">
        <v>776</v>
      </c>
      <c r="B3953" s="791" t="s">
        <v>1040</v>
      </c>
      <c r="C3953" s="791" t="s">
        <v>778</v>
      </c>
      <c r="D3953" s="792" t="s">
        <v>779</v>
      </c>
      <c r="E3953" s="793" t="s">
        <v>947</v>
      </c>
      <c r="F3953" s="793" t="s">
        <v>980</v>
      </c>
      <c r="G3953" s="793" t="s">
        <v>785</v>
      </c>
      <c r="H3953" s="793" t="s">
        <v>727</v>
      </c>
      <c r="I3953" s="794">
        <v>6.7887445221521633E-4</v>
      </c>
      <c r="J3953" s="794">
        <v>55.03435718616025</v>
      </c>
      <c r="K3953" s="771"/>
    </row>
    <row r="3954" spans="1:11" ht="18.75" customHeight="1" outlineLevel="2">
      <c r="A3954" s="791" t="s">
        <v>776</v>
      </c>
      <c r="B3954" s="791" t="s">
        <v>1040</v>
      </c>
      <c r="C3954" s="791" t="s">
        <v>778</v>
      </c>
      <c r="D3954" s="792" t="s">
        <v>779</v>
      </c>
      <c r="E3954" s="793" t="s">
        <v>947</v>
      </c>
      <c r="F3954" s="793" t="s">
        <v>981</v>
      </c>
      <c r="G3954" s="793" t="s">
        <v>813</v>
      </c>
      <c r="H3954" s="793" t="s">
        <v>814</v>
      </c>
      <c r="I3954" s="794">
        <v>2.4205043883619353E-6</v>
      </c>
      <c r="J3954" s="794">
        <v>6.0667229383580067E-2</v>
      </c>
      <c r="K3954" s="771"/>
    </row>
    <row r="3955" spans="1:11" ht="18.75" customHeight="1" outlineLevel="2">
      <c r="A3955" s="791" t="s">
        <v>776</v>
      </c>
      <c r="B3955" s="791" t="s">
        <v>1040</v>
      </c>
      <c r="C3955" s="791" t="s">
        <v>778</v>
      </c>
      <c r="D3955" s="792" t="s">
        <v>779</v>
      </c>
      <c r="E3955" s="793" t="s">
        <v>947</v>
      </c>
      <c r="F3955" s="793" t="s">
        <v>983</v>
      </c>
      <c r="G3955" s="793" t="s">
        <v>813</v>
      </c>
      <c r="H3955" s="793" t="s">
        <v>814</v>
      </c>
      <c r="I3955" s="794">
        <v>1.9142899022900933E-2</v>
      </c>
      <c r="J3955" s="794">
        <v>425.26234479851456</v>
      </c>
      <c r="K3955" s="771"/>
    </row>
    <row r="3956" spans="1:11" ht="18.75" customHeight="1" outlineLevel="2">
      <c r="A3956" s="791" t="s">
        <v>776</v>
      </c>
      <c r="B3956" s="791" t="s">
        <v>1040</v>
      </c>
      <c r="C3956" s="791" t="s">
        <v>778</v>
      </c>
      <c r="D3956" s="792" t="s">
        <v>779</v>
      </c>
      <c r="E3956" s="793" t="s">
        <v>947</v>
      </c>
      <c r="F3956" s="793" t="s">
        <v>984</v>
      </c>
      <c r="G3956" s="793" t="s">
        <v>813</v>
      </c>
      <c r="H3956" s="793" t="s">
        <v>814</v>
      </c>
      <c r="I3956" s="794">
        <v>5.0342437946641477E-3</v>
      </c>
      <c r="J3956" s="794">
        <v>87.787665803856044</v>
      </c>
      <c r="K3956" s="771"/>
    </row>
    <row r="3957" spans="1:11" ht="18.75" customHeight="1" outlineLevel="2">
      <c r="A3957" s="791" t="s">
        <v>776</v>
      </c>
      <c r="B3957" s="791" t="s">
        <v>1040</v>
      </c>
      <c r="C3957" s="791" t="s">
        <v>778</v>
      </c>
      <c r="D3957" s="792" t="s">
        <v>779</v>
      </c>
      <c r="E3957" s="793" t="s">
        <v>947</v>
      </c>
      <c r="F3957" s="793" t="s">
        <v>985</v>
      </c>
      <c r="G3957" s="793" t="s">
        <v>813</v>
      </c>
      <c r="H3957" s="793" t="s">
        <v>814</v>
      </c>
      <c r="I3957" s="794">
        <v>1.1898980986702837E-2</v>
      </c>
      <c r="J3957" s="794">
        <v>579.71733598499418</v>
      </c>
      <c r="K3957" s="771"/>
    </row>
    <row r="3958" spans="1:11" ht="18.75" customHeight="1" outlineLevel="2">
      <c r="A3958" s="791" t="s">
        <v>776</v>
      </c>
      <c r="B3958" s="791" t="s">
        <v>1040</v>
      </c>
      <c r="C3958" s="791" t="s">
        <v>778</v>
      </c>
      <c r="D3958" s="792" t="s">
        <v>779</v>
      </c>
      <c r="E3958" s="793" t="s">
        <v>947</v>
      </c>
      <c r="F3958" s="793" t="s">
        <v>986</v>
      </c>
      <c r="G3958" s="793" t="s">
        <v>813</v>
      </c>
      <c r="H3958" s="793" t="s">
        <v>814</v>
      </c>
      <c r="I3958" s="794">
        <v>2.0406242793093634E-3</v>
      </c>
      <c r="J3958" s="794">
        <v>68.305297045295632</v>
      </c>
      <c r="K3958" s="771"/>
    </row>
    <row r="3959" spans="1:11" ht="18.75" customHeight="1" outlineLevel="2">
      <c r="A3959" s="791" t="s">
        <v>776</v>
      </c>
      <c r="B3959" s="791" t="s">
        <v>1040</v>
      </c>
      <c r="C3959" s="791" t="s">
        <v>778</v>
      </c>
      <c r="D3959" s="792" t="s">
        <v>779</v>
      </c>
      <c r="E3959" s="793" t="s">
        <v>947</v>
      </c>
      <c r="F3959" s="793" t="s">
        <v>987</v>
      </c>
      <c r="G3959" s="793" t="s">
        <v>813</v>
      </c>
      <c r="H3959" s="793" t="s">
        <v>814</v>
      </c>
      <c r="I3959" s="794">
        <v>5.7371859469934604E-5</v>
      </c>
      <c r="J3959" s="794">
        <v>1.7344213004758249</v>
      </c>
      <c r="K3959" s="771"/>
    </row>
    <row r="3960" spans="1:11" ht="18.75" customHeight="1" outlineLevel="2">
      <c r="A3960" s="791" t="s">
        <v>776</v>
      </c>
      <c r="B3960" s="791" t="s">
        <v>1040</v>
      </c>
      <c r="C3960" s="791" t="s">
        <v>778</v>
      </c>
      <c r="D3960" s="792" t="s">
        <v>779</v>
      </c>
      <c r="E3960" s="793" t="s">
        <v>947</v>
      </c>
      <c r="F3960" s="793" t="s">
        <v>988</v>
      </c>
      <c r="G3960" s="793" t="s">
        <v>791</v>
      </c>
      <c r="H3960" s="793" t="s">
        <v>826</v>
      </c>
      <c r="I3960" s="794">
        <v>5.4772238990975378E-6</v>
      </c>
      <c r="J3960" s="794">
        <v>4.681605627497646E-2</v>
      </c>
      <c r="K3960" s="771"/>
    </row>
    <row r="3961" spans="1:11" ht="18.75" customHeight="1" outlineLevel="2">
      <c r="A3961" s="791" t="s">
        <v>776</v>
      </c>
      <c r="B3961" s="791" t="s">
        <v>1040</v>
      </c>
      <c r="C3961" s="791" t="s">
        <v>778</v>
      </c>
      <c r="D3961" s="792" t="s">
        <v>779</v>
      </c>
      <c r="E3961" s="793" t="s">
        <v>947</v>
      </c>
      <c r="F3961" s="793" t="s">
        <v>989</v>
      </c>
      <c r="G3961" s="793" t="s">
        <v>791</v>
      </c>
      <c r="H3961" s="793" t="s">
        <v>826</v>
      </c>
      <c r="I3961" s="794">
        <v>3.3131875147428769E-2</v>
      </c>
      <c r="J3961" s="794">
        <v>1943.9045807454806</v>
      </c>
      <c r="K3961" s="771"/>
    </row>
    <row r="3962" spans="1:11" ht="18.75" customHeight="1" outlineLevel="2">
      <c r="A3962" s="791" t="s">
        <v>776</v>
      </c>
      <c r="B3962" s="791" t="s">
        <v>1040</v>
      </c>
      <c r="C3962" s="791" t="s">
        <v>778</v>
      </c>
      <c r="D3962" s="792" t="s">
        <v>779</v>
      </c>
      <c r="E3962" s="793" t="s">
        <v>947</v>
      </c>
      <c r="F3962" s="793" t="s">
        <v>990</v>
      </c>
      <c r="G3962" s="793" t="s">
        <v>791</v>
      </c>
      <c r="H3962" s="793" t="s">
        <v>826</v>
      </c>
      <c r="I3962" s="794">
        <v>1.5813510096195911E-3</v>
      </c>
      <c r="J3962" s="794">
        <v>174.28762486636742</v>
      </c>
      <c r="K3962" s="771"/>
    </row>
    <row r="3963" spans="1:11" ht="18.75" customHeight="1" outlineLevel="2">
      <c r="A3963" s="791" t="s">
        <v>776</v>
      </c>
      <c r="B3963" s="791" t="s">
        <v>1040</v>
      </c>
      <c r="C3963" s="791" t="s">
        <v>778</v>
      </c>
      <c r="D3963" s="792" t="s">
        <v>779</v>
      </c>
      <c r="E3963" s="793" t="s">
        <v>947</v>
      </c>
      <c r="F3963" s="793" t="s">
        <v>991</v>
      </c>
      <c r="G3963" s="793" t="s">
        <v>791</v>
      </c>
      <c r="H3963" s="793" t="s">
        <v>826</v>
      </c>
      <c r="I3963" s="794">
        <v>1.2560786298188112E-5</v>
      </c>
      <c r="J3963" s="794">
        <v>0.96469448626429022</v>
      </c>
      <c r="K3963" s="771"/>
    </row>
    <row r="3964" spans="1:11" ht="18.75" customHeight="1" outlineLevel="2">
      <c r="A3964" s="791" t="s">
        <v>776</v>
      </c>
      <c r="B3964" s="791" t="s">
        <v>1040</v>
      </c>
      <c r="C3964" s="791" t="s">
        <v>778</v>
      </c>
      <c r="D3964" s="792" t="s">
        <v>779</v>
      </c>
      <c r="E3964" s="793" t="s">
        <v>947</v>
      </c>
      <c r="F3964" s="793" t="s">
        <v>992</v>
      </c>
      <c r="G3964" s="793" t="s">
        <v>791</v>
      </c>
      <c r="H3964" s="793" t="s">
        <v>826</v>
      </c>
      <c r="I3964" s="794">
        <v>2.448545768405827E-6</v>
      </c>
      <c r="J3964" s="794">
        <v>0.2026528269352478</v>
      </c>
      <c r="K3964" s="771"/>
    </row>
    <row r="3965" spans="1:11" ht="18.75" customHeight="1" outlineLevel="2">
      <c r="A3965" s="791" t="s">
        <v>776</v>
      </c>
      <c r="B3965" s="791" t="s">
        <v>1040</v>
      </c>
      <c r="C3965" s="791" t="s">
        <v>778</v>
      </c>
      <c r="D3965" s="792" t="s">
        <v>779</v>
      </c>
      <c r="E3965" s="793" t="s">
        <v>947</v>
      </c>
      <c r="F3965" s="793" t="s">
        <v>993</v>
      </c>
      <c r="G3965" s="793" t="s">
        <v>791</v>
      </c>
      <c r="H3965" s="793" t="s">
        <v>826</v>
      </c>
      <c r="I3965" s="794">
        <v>1.6074671648373494E-4</v>
      </c>
      <c r="J3965" s="794">
        <v>14.780351122932087</v>
      </c>
      <c r="K3965" s="771"/>
    </row>
    <row r="3966" spans="1:11" ht="18.75" customHeight="1" outlineLevel="2">
      <c r="A3966" s="791" t="s">
        <v>776</v>
      </c>
      <c r="B3966" s="791" t="s">
        <v>1040</v>
      </c>
      <c r="C3966" s="791" t="s">
        <v>778</v>
      </c>
      <c r="D3966" s="792" t="s">
        <v>779</v>
      </c>
      <c r="E3966" s="793" t="s">
        <v>947</v>
      </c>
      <c r="F3966" s="793" t="s">
        <v>994</v>
      </c>
      <c r="G3966" s="793" t="s">
        <v>791</v>
      </c>
      <c r="H3966" s="793" t="s">
        <v>826</v>
      </c>
      <c r="I3966" s="794">
        <v>3.3985978826636952E-7</v>
      </c>
      <c r="J3966" s="794">
        <v>4.0892679613114026E-2</v>
      </c>
      <c r="K3966" s="771"/>
    </row>
    <row r="3967" spans="1:11" ht="18.75" customHeight="1" outlineLevel="2">
      <c r="A3967" s="791" t="s">
        <v>776</v>
      </c>
      <c r="B3967" s="791" t="s">
        <v>1040</v>
      </c>
      <c r="C3967" s="791" t="s">
        <v>778</v>
      </c>
      <c r="D3967" s="792" t="s">
        <v>779</v>
      </c>
      <c r="E3967" s="793" t="s">
        <v>947</v>
      </c>
      <c r="F3967" s="793" t="s">
        <v>995</v>
      </c>
      <c r="G3967" s="793" t="s">
        <v>791</v>
      </c>
      <c r="H3967" s="793" t="s">
        <v>826</v>
      </c>
      <c r="I3967" s="794">
        <v>1.4468219195771931E-4</v>
      </c>
      <c r="J3967" s="794">
        <v>13.666393131181195</v>
      </c>
      <c r="K3967" s="771"/>
    </row>
    <row r="3968" spans="1:11" ht="18.75" customHeight="1" outlineLevel="2">
      <c r="A3968" s="791" t="s">
        <v>776</v>
      </c>
      <c r="B3968" s="791" t="s">
        <v>1040</v>
      </c>
      <c r="C3968" s="791" t="s">
        <v>778</v>
      </c>
      <c r="D3968" s="792" t="s">
        <v>779</v>
      </c>
      <c r="E3968" s="793" t="s">
        <v>947</v>
      </c>
      <c r="F3968" s="793" t="s">
        <v>996</v>
      </c>
      <c r="G3968" s="793" t="s">
        <v>791</v>
      </c>
      <c r="H3968" s="793" t="s">
        <v>826</v>
      </c>
      <c r="I3968" s="794">
        <v>4.2777849731620457E-4</v>
      </c>
      <c r="J3968" s="794">
        <v>38.03131508812821</v>
      </c>
      <c r="K3968" s="771"/>
    </row>
    <row r="3969" spans="1:11" ht="18.75" customHeight="1" outlineLevel="2">
      <c r="A3969" s="791" t="s">
        <v>776</v>
      </c>
      <c r="B3969" s="791" t="s">
        <v>1040</v>
      </c>
      <c r="C3969" s="791" t="s">
        <v>778</v>
      </c>
      <c r="D3969" s="792" t="s">
        <v>779</v>
      </c>
      <c r="E3969" s="793" t="s">
        <v>947</v>
      </c>
      <c r="F3969" s="793" t="s">
        <v>997</v>
      </c>
      <c r="G3969" s="793" t="s">
        <v>791</v>
      </c>
      <c r="H3969" s="793" t="s">
        <v>826</v>
      </c>
      <c r="I3969" s="794">
        <v>6.487766473267754E-4</v>
      </c>
      <c r="J3969" s="794">
        <v>28.04320797139626</v>
      </c>
      <c r="K3969" s="771"/>
    </row>
    <row r="3970" spans="1:11" ht="18.75" customHeight="1" outlineLevel="2">
      <c r="A3970" s="791" t="s">
        <v>776</v>
      </c>
      <c r="B3970" s="791" t="s">
        <v>1040</v>
      </c>
      <c r="C3970" s="791" t="s">
        <v>778</v>
      </c>
      <c r="D3970" s="792" t="s">
        <v>779</v>
      </c>
      <c r="E3970" s="793" t="s">
        <v>947</v>
      </c>
      <c r="F3970" s="793" t="s">
        <v>998</v>
      </c>
      <c r="G3970" s="793" t="s">
        <v>794</v>
      </c>
      <c r="H3970" s="793" t="s">
        <v>828</v>
      </c>
      <c r="I3970" s="794">
        <v>2.6962871287753796E-3</v>
      </c>
      <c r="J3970" s="794">
        <v>98.595080973175641</v>
      </c>
      <c r="K3970" s="771"/>
    </row>
    <row r="3971" spans="1:11" ht="18.75" customHeight="1" outlineLevel="2">
      <c r="A3971" s="791" t="s">
        <v>776</v>
      </c>
      <c r="B3971" s="791" t="s">
        <v>1040</v>
      </c>
      <c r="C3971" s="791" t="s">
        <v>778</v>
      </c>
      <c r="D3971" s="792" t="s">
        <v>779</v>
      </c>
      <c r="E3971" s="793" t="s">
        <v>947</v>
      </c>
      <c r="F3971" s="793" t="s">
        <v>999</v>
      </c>
      <c r="G3971" s="793" t="s">
        <v>794</v>
      </c>
      <c r="H3971" s="793" t="s">
        <v>828</v>
      </c>
      <c r="I3971" s="794">
        <v>6.3586759397999868E-4</v>
      </c>
      <c r="J3971" s="794">
        <v>23.270237396844205</v>
      </c>
      <c r="K3971" s="771"/>
    </row>
    <row r="3972" spans="1:11" ht="18.75" customHeight="1" outlineLevel="2">
      <c r="A3972" s="791" t="s">
        <v>776</v>
      </c>
      <c r="B3972" s="791" t="s">
        <v>1040</v>
      </c>
      <c r="C3972" s="791" t="s">
        <v>778</v>
      </c>
      <c r="D3972" s="792" t="s">
        <v>779</v>
      </c>
      <c r="E3972" s="793" t="s">
        <v>947</v>
      </c>
      <c r="F3972" s="793" t="s">
        <v>1000</v>
      </c>
      <c r="G3972" s="793" t="s">
        <v>794</v>
      </c>
      <c r="H3972" s="793" t="s">
        <v>828</v>
      </c>
      <c r="I3972" s="794">
        <v>1.7846132144131079E-3</v>
      </c>
      <c r="J3972" s="794">
        <v>64.560426956073727</v>
      </c>
      <c r="K3972" s="771"/>
    </row>
    <row r="3973" spans="1:11" ht="18.75" customHeight="1" outlineLevel="2">
      <c r="A3973" s="791" t="s">
        <v>776</v>
      </c>
      <c r="B3973" s="791" t="s">
        <v>1040</v>
      </c>
      <c r="C3973" s="791" t="s">
        <v>778</v>
      </c>
      <c r="D3973" s="792" t="s">
        <v>779</v>
      </c>
      <c r="E3973" s="793" t="s">
        <v>947</v>
      </c>
      <c r="F3973" s="793" t="s">
        <v>1001</v>
      </c>
      <c r="G3973" s="793" t="s">
        <v>794</v>
      </c>
      <c r="H3973" s="793" t="s">
        <v>828</v>
      </c>
      <c r="I3973" s="794">
        <v>1.5069568827612871E-3</v>
      </c>
      <c r="J3973" s="794">
        <v>32.779306836683347</v>
      </c>
      <c r="K3973" s="771"/>
    </row>
    <row r="3974" spans="1:11" ht="18.75" customHeight="1" outlineLevel="2">
      <c r="A3974" s="791" t="s">
        <v>776</v>
      </c>
      <c r="B3974" s="791" t="s">
        <v>1040</v>
      </c>
      <c r="C3974" s="791" t="s">
        <v>778</v>
      </c>
      <c r="D3974" s="792" t="s">
        <v>779</v>
      </c>
      <c r="E3974" s="793" t="s">
        <v>947</v>
      </c>
      <c r="F3974" s="793" t="s">
        <v>1002</v>
      </c>
      <c r="G3974" s="793" t="s">
        <v>794</v>
      </c>
      <c r="H3974" s="793" t="s">
        <v>828</v>
      </c>
      <c r="I3974" s="794">
        <v>7.4962656959842082E-5</v>
      </c>
      <c r="J3974" s="794">
        <v>3.1525466639498818</v>
      </c>
      <c r="K3974" s="771"/>
    </row>
    <row r="3975" spans="1:11" ht="18.75" customHeight="1" outlineLevel="2">
      <c r="A3975" s="791" t="s">
        <v>776</v>
      </c>
      <c r="B3975" s="791" t="s">
        <v>1040</v>
      </c>
      <c r="C3975" s="791" t="s">
        <v>778</v>
      </c>
      <c r="D3975" s="792" t="s">
        <v>779</v>
      </c>
      <c r="E3975" s="793" t="s">
        <v>947</v>
      </c>
      <c r="F3975" s="793" t="s">
        <v>1003</v>
      </c>
      <c r="G3975" s="793" t="s">
        <v>794</v>
      </c>
      <c r="H3975" s="793" t="s">
        <v>828</v>
      </c>
      <c r="I3975" s="794">
        <v>8.6723247320835662E-5</v>
      </c>
      <c r="J3975" s="794">
        <v>2.7902568420686591</v>
      </c>
      <c r="K3975" s="771"/>
    </row>
    <row r="3976" spans="1:11" ht="18.75" customHeight="1" outlineLevel="2">
      <c r="A3976" s="791" t="s">
        <v>776</v>
      </c>
      <c r="B3976" s="791" t="s">
        <v>1040</v>
      </c>
      <c r="C3976" s="791" t="s">
        <v>778</v>
      </c>
      <c r="D3976" s="792" t="s">
        <v>779</v>
      </c>
      <c r="E3976" s="793" t="s">
        <v>947</v>
      </c>
      <c r="F3976" s="793" t="s">
        <v>1004</v>
      </c>
      <c r="G3976" s="793" t="s">
        <v>833</v>
      </c>
      <c r="H3976" s="793" t="s">
        <v>834</v>
      </c>
      <c r="I3976" s="794">
        <v>6.6968236152469916E-3</v>
      </c>
      <c r="J3976" s="794">
        <v>438.8955652957211</v>
      </c>
      <c r="K3976" s="771"/>
    </row>
    <row r="3977" spans="1:11" ht="18.75" customHeight="1" outlineLevel="2">
      <c r="A3977" s="791" t="s">
        <v>776</v>
      </c>
      <c r="B3977" s="791" t="s">
        <v>1040</v>
      </c>
      <c r="C3977" s="791" t="s">
        <v>778</v>
      </c>
      <c r="D3977" s="792" t="s">
        <v>779</v>
      </c>
      <c r="E3977" s="793" t="s">
        <v>947</v>
      </c>
      <c r="F3977" s="793" t="s">
        <v>1007</v>
      </c>
      <c r="G3977" s="793" t="s">
        <v>244</v>
      </c>
      <c r="H3977" s="793" t="s">
        <v>911</v>
      </c>
      <c r="I3977" s="794">
        <v>6.6139955972890284E-5</v>
      </c>
      <c r="J3977" s="794">
        <v>1.4745358107251625</v>
      </c>
      <c r="K3977" s="771"/>
    </row>
    <row r="3978" spans="1:11" ht="18.75" customHeight="1" outlineLevel="2">
      <c r="A3978" s="791" t="s">
        <v>776</v>
      </c>
      <c r="B3978" s="791" t="s">
        <v>1041</v>
      </c>
      <c r="C3978" s="791" t="s">
        <v>778</v>
      </c>
      <c r="D3978" s="792" t="s">
        <v>779</v>
      </c>
      <c r="E3978" s="793" t="s">
        <v>780</v>
      </c>
      <c r="F3978" s="793" t="s">
        <v>781</v>
      </c>
      <c r="G3978" s="793" t="s">
        <v>782</v>
      </c>
      <c r="H3978" s="793" t="s">
        <v>783</v>
      </c>
      <c r="I3978" s="794">
        <v>3.1376679047588956E-3</v>
      </c>
      <c r="J3978" s="794">
        <v>4.6155813745057908E-2</v>
      </c>
      <c r="K3978" s="771"/>
    </row>
    <row r="3979" spans="1:11" ht="18.75" customHeight="1" outlineLevel="2">
      <c r="A3979" s="791" t="s">
        <v>776</v>
      </c>
      <c r="B3979" s="791" t="s">
        <v>1041</v>
      </c>
      <c r="C3979" s="791" t="s">
        <v>778</v>
      </c>
      <c r="D3979" s="792" t="s">
        <v>779</v>
      </c>
      <c r="E3979" s="793" t="s">
        <v>780</v>
      </c>
      <c r="F3979" s="793" t="s">
        <v>784</v>
      </c>
      <c r="G3979" s="793" t="s">
        <v>785</v>
      </c>
      <c r="H3979" s="793" t="s">
        <v>783</v>
      </c>
      <c r="I3979" s="794">
        <v>0.97233709960646908</v>
      </c>
      <c r="J3979" s="794">
        <v>157.90178776660792</v>
      </c>
      <c r="K3979" s="771"/>
    </row>
    <row r="3980" spans="1:11" ht="18.75" customHeight="1" outlineLevel="2">
      <c r="A3980" s="791" t="s">
        <v>776</v>
      </c>
      <c r="B3980" s="791" t="s">
        <v>1041</v>
      </c>
      <c r="C3980" s="791" t="s">
        <v>778</v>
      </c>
      <c r="D3980" s="792" t="s">
        <v>779</v>
      </c>
      <c r="E3980" s="793" t="s">
        <v>780</v>
      </c>
      <c r="F3980" s="793" t="s">
        <v>786</v>
      </c>
      <c r="G3980" s="793" t="s">
        <v>785</v>
      </c>
      <c r="H3980" s="793" t="s">
        <v>783</v>
      </c>
      <c r="I3980" s="794">
        <v>7.8963397210192997E-4</v>
      </c>
      <c r="J3980" s="794">
        <v>0.13377075455533105</v>
      </c>
      <c r="K3980" s="771"/>
    </row>
    <row r="3981" spans="1:11" ht="18.75" customHeight="1" outlineLevel="2">
      <c r="A3981" s="791" t="s">
        <v>776</v>
      </c>
      <c r="B3981" s="791" t="s">
        <v>1041</v>
      </c>
      <c r="C3981" s="791" t="s">
        <v>778</v>
      </c>
      <c r="D3981" s="792" t="s">
        <v>779</v>
      </c>
      <c r="E3981" s="793" t="s">
        <v>780</v>
      </c>
      <c r="F3981" s="793" t="s">
        <v>787</v>
      </c>
      <c r="G3981" s="793" t="s">
        <v>785</v>
      </c>
      <c r="H3981" s="793" t="s">
        <v>783</v>
      </c>
      <c r="I3981" s="794">
        <v>3.9681187284049363E-4</v>
      </c>
      <c r="J3981" s="794">
        <v>7.2895974995521751E-2</v>
      </c>
      <c r="K3981" s="771"/>
    </row>
    <row r="3982" spans="1:11" ht="18.75" customHeight="1" outlineLevel="2">
      <c r="A3982" s="791" t="s">
        <v>776</v>
      </c>
      <c r="B3982" s="791" t="s">
        <v>1041</v>
      </c>
      <c r="C3982" s="791" t="s">
        <v>778</v>
      </c>
      <c r="D3982" s="792" t="s">
        <v>779</v>
      </c>
      <c r="E3982" s="793" t="s">
        <v>780</v>
      </c>
      <c r="F3982" s="793" t="s">
        <v>788</v>
      </c>
      <c r="G3982" s="793" t="s">
        <v>785</v>
      </c>
      <c r="H3982" s="793" t="s">
        <v>783</v>
      </c>
      <c r="I3982" s="794">
        <v>1.4552488809904502E-3</v>
      </c>
      <c r="J3982" s="794">
        <v>0.23180809987832274</v>
      </c>
      <c r="K3982" s="771"/>
    </row>
    <row r="3983" spans="1:11" ht="18.75" customHeight="1" outlineLevel="2">
      <c r="A3983" s="791" t="s">
        <v>776</v>
      </c>
      <c r="B3983" s="791" t="s">
        <v>1041</v>
      </c>
      <c r="C3983" s="791" t="s">
        <v>778</v>
      </c>
      <c r="D3983" s="792" t="s">
        <v>779</v>
      </c>
      <c r="E3983" s="793" t="s">
        <v>780</v>
      </c>
      <c r="F3983" s="793" t="s">
        <v>789</v>
      </c>
      <c r="G3983" s="793" t="s">
        <v>785</v>
      </c>
      <c r="H3983" s="793" t="s">
        <v>783</v>
      </c>
      <c r="I3983" s="794">
        <v>3.6321160201906724E-3</v>
      </c>
      <c r="J3983" s="794">
        <v>0.8934695503579777</v>
      </c>
      <c r="K3983" s="771"/>
    </row>
    <row r="3984" spans="1:11" ht="18.75" customHeight="1" outlineLevel="2">
      <c r="A3984" s="791" t="s">
        <v>776</v>
      </c>
      <c r="B3984" s="791" t="s">
        <v>1041</v>
      </c>
      <c r="C3984" s="791" t="s">
        <v>778</v>
      </c>
      <c r="D3984" s="792" t="s">
        <v>779</v>
      </c>
      <c r="E3984" s="793" t="s">
        <v>780</v>
      </c>
      <c r="F3984" s="793" t="s">
        <v>790</v>
      </c>
      <c r="G3984" s="793" t="s">
        <v>791</v>
      </c>
      <c r="H3984" s="793" t="s">
        <v>783</v>
      </c>
      <c r="I3984" s="794">
        <v>7.5883558820039453E-3</v>
      </c>
      <c r="J3984" s="794">
        <v>0.10079543355810586</v>
      </c>
      <c r="K3984" s="771"/>
    </row>
    <row r="3985" spans="1:11" ht="18.75" customHeight="1" outlineLevel="2">
      <c r="A3985" s="791" t="s">
        <v>776</v>
      </c>
      <c r="B3985" s="791" t="s">
        <v>1041</v>
      </c>
      <c r="C3985" s="791" t="s">
        <v>778</v>
      </c>
      <c r="D3985" s="792" t="s">
        <v>779</v>
      </c>
      <c r="E3985" s="793" t="s">
        <v>780</v>
      </c>
      <c r="F3985" s="793" t="s">
        <v>792</v>
      </c>
      <c r="G3985" s="793" t="s">
        <v>791</v>
      </c>
      <c r="H3985" s="793" t="s">
        <v>783</v>
      </c>
      <c r="I3985" s="794">
        <v>5.6327133664350729E-2</v>
      </c>
      <c r="J3985" s="794">
        <v>10.939274523045102</v>
      </c>
      <c r="K3985" s="771"/>
    </row>
    <row r="3986" spans="1:11" ht="18.75" customHeight="1" outlineLevel="2">
      <c r="A3986" s="791" t="s">
        <v>776</v>
      </c>
      <c r="B3986" s="791" t="s">
        <v>1041</v>
      </c>
      <c r="C3986" s="791" t="s">
        <v>778</v>
      </c>
      <c r="D3986" s="792" t="s">
        <v>779</v>
      </c>
      <c r="E3986" s="793" t="s">
        <v>780</v>
      </c>
      <c r="F3986" s="793" t="s">
        <v>793</v>
      </c>
      <c r="G3986" s="793" t="s">
        <v>794</v>
      </c>
      <c r="H3986" s="793" t="s">
        <v>783</v>
      </c>
      <c r="I3986" s="794">
        <v>0.67124211400476641</v>
      </c>
      <c r="J3986" s="794">
        <v>17.420517427126065</v>
      </c>
      <c r="K3986" s="771"/>
    </row>
    <row r="3987" spans="1:11" ht="18.75" customHeight="1" outlineLevel="2">
      <c r="A3987" s="791" t="s">
        <v>776</v>
      </c>
      <c r="B3987" s="791" t="s">
        <v>1041</v>
      </c>
      <c r="C3987" s="791" t="s">
        <v>778</v>
      </c>
      <c r="D3987" s="792" t="s">
        <v>779</v>
      </c>
      <c r="E3987" s="793" t="s">
        <v>780</v>
      </c>
      <c r="F3987" s="793" t="s">
        <v>795</v>
      </c>
      <c r="G3987" s="793" t="s">
        <v>794</v>
      </c>
      <c r="H3987" s="793" t="s">
        <v>783</v>
      </c>
      <c r="I3987" s="794">
        <v>2.0298262471165961E-2</v>
      </c>
      <c r="J3987" s="794">
        <v>0.83168516761156053</v>
      </c>
      <c r="K3987" s="771"/>
    </row>
    <row r="3988" spans="1:11" ht="18.75" customHeight="1" outlineLevel="2">
      <c r="A3988" s="791" t="s">
        <v>776</v>
      </c>
      <c r="B3988" s="791" t="s">
        <v>1041</v>
      </c>
      <c r="C3988" s="791" t="s">
        <v>778</v>
      </c>
      <c r="D3988" s="792" t="s">
        <v>779</v>
      </c>
      <c r="E3988" s="793" t="s">
        <v>780</v>
      </c>
      <c r="F3988" s="793" t="s">
        <v>796</v>
      </c>
      <c r="G3988" s="793" t="s">
        <v>794</v>
      </c>
      <c r="H3988" s="793" t="s">
        <v>783</v>
      </c>
      <c r="I3988" s="794">
        <v>1.0550542903386549E-2</v>
      </c>
      <c r="J3988" s="794">
        <v>1.2158291877045848</v>
      </c>
      <c r="K3988" s="771"/>
    </row>
    <row r="3989" spans="1:11" ht="18.75" customHeight="1" outlineLevel="2">
      <c r="A3989" s="791" t="s">
        <v>776</v>
      </c>
      <c r="B3989" s="791" t="s">
        <v>1041</v>
      </c>
      <c r="C3989" s="791" t="s">
        <v>778</v>
      </c>
      <c r="D3989" s="792" t="s">
        <v>779</v>
      </c>
      <c r="E3989" s="793" t="s">
        <v>780</v>
      </c>
      <c r="F3989" s="793" t="s">
        <v>797</v>
      </c>
      <c r="G3989" s="793" t="s">
        <v>794</v>
      </c>
      <c r="H3989" s="793" t="s">
        <v>783</v>
      </c>
      <c r="I3989" s="794">
        <v>0.20632137167931131</v>
      </c>
      <c r="J3989" s="794">
        <v>43.175935220759108</v>
      </c>
      <c r="K3989" s="771"/>
    </row>
    <row r="3990" spans="1:11" ht="18.75" customHeight="1" outlineLevel="2">
      <c r="A3990" s="791" t="s">
        <v>776</v>
      </c>
      <c r="B3990" s="791" t="s">
        <v>1041</v>
      </c>
      <c r="C3990" s="791" t="s">
        <v>778</v>
      </c>
      <c r="D3990" s="792" t="s">
        <v>779</v>
      </c>
      <c r="E3990" s="793" t="s">
        <v>662</v>
      </c>
      <c r="F3990" s="793" t="s">
        <v>803</v>
      </c>
      <c r="G3990" s="793" t="s">
        <v>782</v>
      </c>
      <c r="H3990" s="793" t="s">
        <v>804</v>
      </c>
      <c r="I3990" s="794">
        <v>9.6987030759372751E-3</v>
      </c>
      <c r="J3990" s="794">
        <v>6.017848916651757</v>
      </c>
      <c r="K3990" s="771"/>
    </row>
    <row r="3991" spans="1:11" ht="18.75" customHeight="1" outlineLevel="2">
      <c r="A3991" s="791" t="s">
        <v>776</v>
      </c>
      <c r="B3991" s="791" t="s">
        <v>1041</v>
      </c>
      <c r="C3991" s="791" t="s">
        <v>778</v>
      </c>
      <c r="D3991" s="792" t="s">
        <v>779</v>
      </c>
      <c r="E3991" s="793" t="s">
        <v>662</v>
      </c>
      <c r="F3991" s="793" t="s">
        <v>805</v>
      </c>
      <c r="G3991" s="793" t="s">
        <v>782</v>
      </c>
      <c r="H3991" s="793" t="s">
        <v>804</v>
      </c>
      <c r="I3991" s="794">
        <v>8.0488952594382781E-4</v>
      </c>
      <c r="J3991" s="794">
        <v>0.38981323190098693</v>
      </c>
      <c r="K3991" s="771"/>
    </row>
    <row r="3992" spans="1:11" ht="18.75" customHeight="1" outlineLevel="2">
      <c r="A3992" s="791" t="s">
        <v>776</v>
      </c>
      <c r="B3992" s="791" t="s">
        <v>1041</v>
      </c>
      <c r="C3992" s="791" t="s">
        <v>778</v>
      </c>
      <c r="D3992" s="792" t="s">
        <v>779</v>
      </c>
      <c r="E3992" s="793" t="s">
        <v>662</v>
      </c>
      <c r="F3992" s="793" t="s">
        <v>806</v>
      </c>
      <c r="G3992" s="793" t="s">
        <v>782</v>
      </c>
      <c r="H3992" s="793" t="s">
        <v>804</v>
      </c>
      <c r="I3992" s="794">
        <v>9.7542019205029305E-4</v>
      </c>
      <c r="J3992" s="794">
        <v>0.46593736388534107</v>
      </c>
      <c r="K3992" s="771"/>
    </row>
    <row r="3993" spans="1:11" ht="18.75" customHeight="1" outlineLevel="2">
      <c r="A3993" s="791" t="s">
        <v>776</v>
      </c>
      <c r="B3993" s="791" t="s">
        <v>1041</v>
      </c>
      <c r="C3993" s="791" t="s">
        <v>778</v>
      </c>
      <c r="D3993" s="792" t="s">
        <v>779</v>
      </c>
      <c r="E3993" s="793" t="s">
        <v>662</v>
      </c>
      <c r="F3993" s="793" t="s">
        <v>807</v>
      </c>
      <c r="G3993" s="793" t="s">
        <v>782</v>
      </c>
      <c r="H3993" s="793" t="s">
        <v>804</v>
      </c>
      <c r="I3993" s="794">
        <v>7.2136570109930324E-6</v>
      </c>
      <c r="J3993" s="794">
        <v>3.2284446823116013E-3</v>
      </c>
      <c r="K3993" s="771"/>
    </row>
    <row r="3994" spans="1:11" ht="18.75" customHeight="1" outlineLevel="2">
      <c r="A3994" s="791" t="s">
        <v>776</v>
      </c>
      <c r="B3994" s="791" t="s">
        <v>1041</v>
      </c>
      <c r="C3994" s="791" t="s">
        <v>778</v>
      </c>
      <c r="D3994" s="792" t="s">
        <v>779</v>
      </c>
      <c r="E3994" s="793" t="s">
        <v>662</v>
      </c>
      <c r="F3994" s="793" t="s">
        <v>808</v>
      </c>
      <c r="G3994" s="793" t="s">
        <v>782</v>
      </c>
      <c r="H3994" s="793" t="s">
        <v>804</v>
      </c>
      <c r="I3994" s="794">
        <v>2.7805150041977048E-2</v>
      </c>
      <c r="J3994" s="794">
        <v>15.5259525661337</v>
      </c>
      <c r="K3994" s="771"/>
    </row>
    <row r="3995" spans="1:11" ht="18.75" customHeight="1" outlineLevel="2">
      <c r="A3995" s="791" t="s">
        <v>776</v>
      </c>
      <c r="B3995" s="791" t="s">
        <v>1041</v>
      </c>
      <c r="C3995" s="791" t="s">
        <v>778</v>
      </c>
      <c r="D3995" s="792" t="s">
        <v>779</v>
      </c>
      <c r="E3995" s="793" t="s">
        <v>662</v>
      </c>
      <c r="F3995" s="793" t="s">
        <v>809</v>
      </c>
      <c r="G3995" s="793" t="s">
        <v>782</v>
      </c>
      <c r="H3995" s="793" t="s">
        <v>804</v>
      </c>
      <c r="I3995" s="794">
        <v>2.0330229073217595E-4</v>
      </c>
      <c r="J3995" s="794">
        <v>9.0987205342082794E-2</v>
      </c>
      <c r="K3995" s="771"/>
    </row>
    <row r="3996" spans="1:11" ht="18.75" customHeight="1" outlineLevel="2">
      <c r="A3996" s="791" t="s">
        <v>776</v>
      </c>
      <c r="B3996" s="791" t="s">
        <v>1041</v>
      </c>
      <c r="C3996" s="791" t="s">
        <v>778</v>
      </c>
      <c r="D3996" s="792" t="s">
        <v>779</v>
      </c>
      <c r="E3996" s="793" t="s">
        <v>662</v>
      </c>
      <c r="F3996" s="793" t="s">
        <v>810</v>
      </c>
      <c r="G3996" s="793" t="s">
        <v>785</v>
      </c>
      <c r="H3996" s="793" t="s">
        <v>727</v>
      </c>
      <c r="I3996" s="794">
        <v>9.6300360707274313E-4</v>
      </c>
      <c r="J3996" s="794">
        <v>0.43098839600626787</v>
      </c>
      <c r="K3996" s="771"/>
    </row>
    <row r="3997" spans="1:11" ht="18.75" customHeight="1" outlineLevel="2">
      <c r="A3997" s="791" t="s">
        <v>776</v>
      </c>
      <c r="B3997" s="791" t="s">
        <v>1041</v>
      </c>
      <c r="C3997" s="791" t="s">
        <v>778</v>
      </c>
      <c r="D3997" s="792" t="s">
        <v>779</v>
      </c>
      <c r="E3997" s="793" t="s">
        <v>662</v>
      </c>
      <c r="F3997" s="793" t="s">
        <v>811</v>
      </c>
      <c r="G3997" s="793" t="s">
        <v>785</v>
      </c>
      <c r="H3997" s="793" t="s">
        <v>727</v>
      </c>
      <c r="I3997" s="794">
        <v>7.3690238486715586E-5</v>
      </c>
      <c r="J3997" s="794">
        <v>3.2979831980239821E-2</v>
      </c>
      <c r="K3997" s="771"/>
    </row>
    <row r="3998" spans="1:11" ht="18.75" customHeight="1" outlineLevel="2">
      <c r="A3998" s="791" t="s">
        <v>776</v>
      </c>
      <c r="B3998" s="791" t="s">
        <v>1041</v>
      </c>
      <c r="C3998" s="791" t="s">
        <v>778</v>
      </c>
      <c r="D3998" s="792" t="s">
        <v>779</v>
      </c>
      <c r="E3998" s="793" t="s">
        <v>662</v>
      </c>
      <c r="F3998" s="793" t="s">
        <v>812</v>
      </c>
      <c r="G3998" s="793" t="s">
        <v>813</v>
      </c>
      <c r="H3998" s="793" t="s">
        <v>814</v>
      </c>
      <c r="I3998" s="794">
        <v>2.7096306518950334E-3</v>
      </c>
      <c r="J3998" s="794">
        <v>1.4839738020678783</v>
      </c>
      <c r="K3998" s="771"/>
    </row>
    <row r="3999" spans="1:11" ht="18.75" customHeight="1" outlineLevel="2">
      <c r="A3999" s="791" t="s">
        <v>776</v>
      </c>
      <c r="B3999" s="791" t="s">
        <v>1041</v>
      </c>
      <c r="C3999" s="791" t="s">
        <v>778</v>
      </c>
      <c r="D3999" s="792" t="s">
        <v>779</v>
      </c>
      <c r="E3999" s="793" t="s">
        <v>662</v>
      </c>
      <c r="F3999" s="793" t="s">
        <v>815</v>
      </c>
      <c r="G3999" s="793" t="s">
        <v>813</v>
      </c>
      <c r="H3999" s="793" t="s">
        <v>814</v>
      </c>
      <c r="I3999" s="794">
        <v>4.035935384858657E-2</v>
      </c>
      <c r="J3999" s="794">
        <v>21.690952175793438</v>
      </c>
      <c r="K3999" s="771"/>
    </row>
    <row r="4000" spans="1:11" ht="18.75" customHeight="1" outlineLevel="2">
      <c r="A4000" s="791" t="s">
        <v>776</v>
      </c>
      <c r="B4000" s="791" t="s">
        <v>1041</v>
      </c>
      <c r="C4000" s="791" t="s">
        <v>778</v>
      </c>
      <c r="D4000" s="792" t="s">
        <v>779</v>
      </c>
      <c r="E4000" s="793" t="s">
        <v>662</v>
      </c>
      <c r="F4000" s="793" t="s">
        <v>816</v>
      </c>
      <c r="G4000" s="793" t="s">
        <v>813</v>
      </c>
      <c r="H4000" s="793" t="s">
        <v>814</v>
      </c>
      <c r="I4000" s="794">
        <v>3.8136744535129018E-2</v>
      </c>
      <c r="J4000" s="794">
        <v>19.813831876622846</v>
      </c>
      <c r="K4000" s="771"/>
    </row>
    <row r="4001" spans="1:11" ht="18.75" customHeight="1" outlineLevel="2">
      <c r="A4001" s="791" t="s">
        <v>776</v>
      </c>
      <c r="B4001" s="791" t="s">
        <v>1041</v>
      </c>
      <c r="C4001" s="791" t="s">
        <v>778</v>
      </c>
      <c r="D4001" s="792" t="s">
        <v>779</v>
      </c>
      <c r="E4001" s="793" t="s">
        <v>662</v>
      </c>
      <c r="F4001" s="793" t="s">
        <v>817</v>
      </c>
      <c r="G4001" s="793" t="s">
        <v>813</v>
      </c>
      <c r="H4001" s="793" t="s">
        <v>814</v>
      </c>
      <c r="I4001" s="794">
        <v>0.3816210246288036</v>
      </c>
      <c r="J4001" s="794">
        <v>208.90055126926401</v>
      </c>
      <c r="K4001" s="771"/>
    </row>
    <row r="4002" spans="1:11" ht="18.75" customHeight="1" outlineLevel="2">
      <c r="A4002" s="791" t="s">
        <v>776</v>
      </c>
      <c r="B4002" s="791" t="s">
        <v>1041</v>
      </c>
      <c r="C4002" s="791" t="s">
        <v>778</v>
      </c>
      <c r="D4002" s="792" t="s">
        <v>779</v>
      </c>
      <c r="E4002" s="793" t="s">
        <v>662</v>
      </c>
      <c r="F4002" s="793" t="s">
        <v>818</v>
      </c>
      <c r="G4002" s="793" t="s">
        <v>813</v>
      </c>
      <c r="H4002" s="793" t="s">
        <v>814</v>
      </c>
      <c r="I4002" s="794">
        <v>4.6848839315859848E-2</v>
      </c>
      <c r="J4002" s="794">
        <v>27.517130656839157</v>
      </c>
      <c r="K4002" s="771"/>
    </row>
    <row r="4003" spans="1:11" ht="18.75" customHeight="1" outlineLevel="2">
      <c r="A4003" s="791" t="s">
        <v>776</v>
      </c>
      <c r="B4003" s="791" t="s">
        <v>1041</v>
      </c>
      <c r="C4003" s="791" t="s">
        <v>778</v>
      </c>
      <c r="D4003" s="792" t="s">
        <v>779</v>
      </c>
      <c r="E4003" s="793" t="s">
        <v>662</v>
      </c>
      <c r="F4003" s="793" t="s">
        <v>819</v>
      </c>
      <c r="G4003" s="793" t="s">
        <v>813</v>
      </c>
      <c r="H4003" s="793" t="s">
        <v>814</v>
      </c>
      <c r="I4003" s="794">
        <v>0.36110320763169101</v>
      </c>
      <c r="J4003" s="794">
        <v>182.55118404906798</v>
      </c>
      <c r="K4003" s="771"/>
    </row>
    <row r="4004" spans="1:11" ht="18.75" customHeight="1" outlineLevel="2">
      <c r="A4004" s="791" t="s">
        <v>776</v>
      </c>
      <c r="B4004" s="791" t="s">
        <v>1041</v>
      </c>
      <c r="C4004" s="791" t="s">
        <v>778</v>
      </c>
      <c r="D4004" s="792" t="s">
        <v>779</v>
      </c>
      <c r="E4004" s="793" t="s">
        <v>662</v>
      </c>
      <c r="F4004" s="793" t="s">
        <v>820</v>
      </c>
      <c r="G4004" s="793" t="s">
        <v>813</v>
      </c>
      <c r="H4004" s="793" t="s">
        <v>814</v>
      </c>
      <c r="I4004" s="794">
        <v>3.3021215387139286E-2</v>
      </c>
      <c r="J4004" s="794">
        <v>17.709965397869226</v>
      </c>
      <c r="K4004" s="771"/>
    </row>
    <row r="4005" spans="1:11" ht="18.75" customHeight="1" outlineLevel="2">
      <c r="A4005" s="791" t="s">
        <v>776</v>
      </c>
      <c r="B4005" s="791" t="s">
        <v>1041</v>
      </c>
      <c r="C4005" s="791" t="s">
        <v>778</v>
      </c>
      <c r="D4005" s="792" t="s">
        <v>779</v>
      </c>
      <c r="E4005" s="793" t="s">
        <v>662</v>
      </c>
      <c r="F4005" s="793" t="s">
        <v>821</v>
      </c>
      <c r="G4005" s="793" t="s">
        <v>813</v>
      </c>
      <c r="H4005" s="793" t="s">
        <v>814</v>
      </c>
      <c r="I4005" s="794">
        <v>0.31870738498773471</v>
      </c>
      <c r="J4005" s="794">
        <v>170.45912670196395</v>
      </c>
      <c r="K4005" s="771"/>
    </row>
    <row r="4006" spans="1:11" ht="18.75" customHeight="1" outlineLevel="2">
      <c r="A4006" s="791" t="s">
        <v>776</v>
      </c>
      <c r="B4006" s="791" t="s">
        <v>1041</v>
      </c>
      <c r="C4006" s="791" t="s">
        <v>778</v>
      </c>
      <c r="D4006" s="792" t="s">
        <v>779</v>
      </c>
      <c r="E4006" s="793" t="s">
        <v>662</v>
      </c>
      <c r="F4006" s="793" t="s">
        <v>824</v>
      </c>
      <c r="G4006" s="793" t="s">
        <v>813</v>
      </c>
      <c r="H4006" s="793" t="s">
        <v>814</v>
      </c>
      <c r="I4006" s="794">
        <v>1.8228816068318975E-4</v>
      </c>
      <c r="J4006" s="794">
        <v>9.0958262727961564E-2</v>
      </c>
      <c r="K4006" s="771"/>
    </row>
    <row r="4007" spans="1:11" ht="18.75" customHeight="1" outlineLevel="2">
      <c r="A4007" s="791" t="s">
        <v>776</v>
      </c>
      <c r="B4007" s="791" t="s">
        <v>1041</v>
      </c>
      <c r="C4007" s="791" t="s">
        <v>778</v>
      </c>
      <c r="D4007" s="792" t="s">
        <v>779</v>
      </c>
      <c r="E4007" s="793" t="s">
        <v>662</v>
      </c>
      <c r="F4007" s="793" t="s">
        <v>825</v>
      </c>
      <c r="G4007" s="793" t="s">
        <v>791</v>
      </c>
      <c r="H4007" s="793" t="s">
        <v>826</v>
      </c>
      <c r="I4007" s="794">
        <v>9.4237243217277155E-4</v>
      </c>
      <c r="J4007" s="794">
        <v>0.57307804446988198</v>
      </c>
      <c r="K4007" s="771"/>
    </row>
    <row r="4008" spans="1:11" ht="18.75" customHeight="1" outlineLevel="2">
      <c r="A4008" s="791" t="s">
        <v>776</v>
      </c>
      <c r="B4008" s="791" t="s">
        <v>1041</v>
      </c>
      <c r="C4008" s="791" t="s">
        <v>778</v>
      </c>
      <c r="D4008" s="792" t="s">
        <v>779</v>
      </c>
      <c r="E4008" s="793" t="s">
        <v>662</v>
      </c>
      <c r="F4008" s="793" t="s">
        <v>827</v>
      </c>
      <c r="G4008" s="793" t="s">
        <v>794</v>
      </c>
      <c r="H4008" s="793" t="s">
        <v>828</v>
      </c>
      <c r="I4008" s="794">
        <v>5.9154831144471445E-3</v>
      </c>
      <c r="J4008" s="794">
        <v>2.9288135998598506</v>
      </c>
      <c r="K4008" s="771"/>
    </row>
    <row r="4009" spans="1:11" ht="18.75" customHeight="1" outlineLevel="2">
      <c r="A4009" s="791" t="s">
        <v>776</v>
      </c>
      <c r="B4009" s="791" t="s">
        <v>1041</v>
      </c>
      <c r="C4009" s="791" t="s">
        <v>778</v>
      </c>
      <c r="D4009" s="792" t="s">
        <v>779</v>
      </c>
      <c r="E4009" s="793" t="s">
        <v>662</v>
      </c>
      <c r="F4009" s="793" t="s">
        <v>829</v>
      </c>
      <c r="G4009" s="793" t="s">
        <v>794</v>
      </c>
      <c r="H4009" s="793" t="s">
        <v>828</v>
      </c>
      <c r="I4009" s="794">
        <v>3.7750197928996067E-2</v>
      </c>
      <c r="J4009" s="794">
        <v>19.538476675060814</v>
      </c>
      <c r="K4009" s="771"/>
    </row>
    <row r="4010" spans="1:11" ht="18.75" customHeight="1" outlineLevel="2">
      <c r="A4010" s="791" t="s">
        <v>776</v>
      </c>
      <c r="B4010" s="791" t="s">
        <v>1041</v>
      </c>
      <c r="C4010" s="791" t="s">
        <v>778</v>
      </c>
      <c r="D4010" s="792" t="s">
        <v>779</v>
      </c>
      <c r="E4010" s="793" t="s">
        <v>662</v>
      </c>
      <c r="F4010" s="793" t="s">
        <v>830</v>
      </c>
      <c r="G4010" s="793" t="s">
        <v>794</v>
      </c>
      <c r="H4010" s="793" t="s">
        <v>828</v>
      </c>
      <c r="I4010" s="794">
        <v>1.5141565209219361E-5</v>
      </c>
      <c r="J4010" s="794">
        <v>6.7765510228448896E-3</v>
      </c>
      <c r="K4010" s="771"/>
    </row>
    <row r="4011" spans="1:11" ht="18.75" customHeight="1" outlineLevel="2">
      <c r="A4011" s="791" t="s">
        <v>776</v>
      </c>
      <c r="B4011" s="791" t="s">
        <v>1041</v>
      </c>
      <c r="C4011" s="791" t="s">
        <v>778</v>
      </c>
      <c r="D4011" s="792" t="s">
        <v>779</v>
      </c>
      <c r="E4011" s="793" t="s">
        <v>662</v>
      </c>
      <c r="F4011" s="793" t="s">
        <v>831</v>
      </c>
      <c r="G4011" s="793" t="s">
        <v>794</v>
      </c>
      <c r="H4011" s="793" t="s">
        <v>828</v>
      </c>
      <c r="I4011" s="794">
        <v>2.6411629983381029E-4</v>
      </c>
      <c r="J4011" s="794">
        <v>0.11820438552612456</v>
      </c>
      <c r="K4011" s="771"/>
    </row>
    <row r="4012" spans="1:11" ht="18.75" customHeight="1" outlineLevel="2">
      <c r="A4012" s="791" t="s">
        <v>776</v>
      </c>
      <c r="B4012" s="791" t="s">
        <v>1041</v>
      </c>
      <c r="C4012" s="791" t="s">
        <v>778</v>
      </c>
      <c r="D4012" s="792" t="s">
        <v>779</v>
      </c>
      <c r="E4012" s="793" t="s">
        <v>662</v>
      </c>
      <c r="F4012" s="793" t="s">
        <v>832</v>
      </c>
      <c r="G4012" s="793" t="s">
        <v>833</v>
      </c>
      <c r="H4012" s="793" t="s">
        <v>834</v>
      </c>
      <c r="I4012" s="794">
        <v>8.4079585193372348E-3</v>
      </c>
      <c r="J4012" s="794">
        <v>4.8541484602982479</v>
      </c>
      <c r="K4012" s="771"/>
    </row>
    <row r="4013" spans="1:11" ht="18.75" customHeight="1" outlineLevel="2">
      <c r="A4013" s="791" t="s">
        <v>776</v>
      </c>
      <c r="B4013" s="791" t="s">
        <v>1041</v>
      </c>
      <c r="C4013" s="791" t="s">
        <v>778</v>
      </c>
      <c r="D4013" s="792" t="s">
        <v>779</v>
      </c>
      <c r="E4013" s="793" t="s">
        <v>662</v>
      </c>
      <c r="F4013" s="793" t="s">
        <v>837</v>
      </c>
      <c r="G4013" s="793" t="s">
        <v>799</v>
      </c>
      <c r="H4013" s="793" t="s">
        <v>800</v>
      </c>
      <c r="I4013" s="794">
        <v>6.8362304304303928E-2</v>
      </c>
      <c r="J4013" s="794">
        <v>91.092781009707579</v>
      </c>
      <c r="K4013" s="771"/>
    </row>
    <row r="4014" spans="1:11" ht="18.75" customHeight="1" outlineLevel="2">
      <c r="A4014" s="791" t="s">
        <v>776</v>
      </c>
      <c r="B4014" s="791" t="s">
        <v>1041</v>
      </c>
      <c r="C4014" s="791" t="s">
        <v>778</v>
      </c>
      <c r="D4014" s="792" t="s">
        <v>779</v>
      </c>
      <c r="E4014" s="793" t="s">
        <v>662</v>
      </c>
      <c r="F4014" s="793" t="s">
        <v>839</v>
      </c>
      <c r="G4014" s="793" t="s">
        <v>782</v>
      </c>
      <c r="H4014" s="793" t="s">
        <v>804</v>
      </c>
      <c r="I4014" s="794">
        <v>3.2625177453539434E-3</v>
      </c>
      <c r="J4014" s="794">
        <v>5.3345510680777153</v>
      </c>
      <c r="K4014" s="771"/>
    </row>
    <row r="4015" spans="1:11" ht="18.75" customHeight="1" outlineLevel="2">
      <c r="A4015" s="791" t="s">
        <v>776</v>
      </c>
      <c r="B4015" s="791" t="s">
        <v>1041</v>
      </c>
      <c r="C4015" s="791" t="s">
        <v>778</v>
      </c>
      <c r="D4015" s="792" t="s">
        <v>779</v>
      </c>
      <c r="E4015" s="793" t="s">
        <v>662</v>
      </c>
      <c r="F4015" s="793" t="s">
        <v>840</v>
      </c>
      <c r="G4015" s="793" t="s">
        <v>782</v>
      </c>
      <c r="H4015" s="793" t="s">
        <v>804</v>
      </c>
      <c r="I4015" s="794">
        <v>2.6068893378200802E-5</v>
      </c>
      <c r="J4015" s="794">
        <v>3.9817781890892606E-2</v>
      </c>
      <c r="K4015" s="771"/>
    </row>
    <row r="4016" spans="1:11" ht="18.75" customHeight="1" outlineLevel="2">
      <c r="A4016" s="791" t="s">
        <v>776</v>
      </c>
      <c r="B4016" s="791" t="s">
        <v>1041</v>
      </c>
      <c r="C4016" s="791" t="s">
        <v>778</v>
      </c>
      <c r="D4016" s="792" t="s">
        <v>779</v>
      </c>
      <c r="E4016" s="793" t="s">
        <v>662</v>
      </c>
      <c r="F4016" s="793" t="s">
        <v>841</v>
      </c>
      <c r="G4016" s="793" t="s">
        <v>782</v>
      </c>
      <c r="H4016" s="793" t="s">
        <v>804</v>
      </c>
      <c r="I4016" s="794">
        <v>7.0486264111258379E-3</v>
      </c>
      <c r="J4016" s="794">
        <v>10.021603118642236</v>
      </c>
      <c r="K4016" s="771"/>
    </row>
    <row r="4017" spans="1:11" ht="18.75" customHeight="1" outlineLevel="2">
      <c r="A4017" s="791" t="s">
        <v>776</v>
      </c>
      <c r="B4017" s="791" t="s">
        <v>1041</v>
      </c>
      <c r="C4017" s="791" t="s">
        <v>778</v>
      </c>
      <c r="D4017" s="792" t="s">
        <v>779</v>
      </c>
      <c r="E4017" s="793" t="s">
        <v>662</v>
      </c>
      <c r="F4017" s="793" t="s">
        <v>842</v>
      </c>
      <c r="G4017" s="793" t="s">
        <v>782</v>
      </c>
      <c r="H4017" s="793" t="s">
        <v>804</v>
      </c>
      <c r="I4017" s="794">
        <v>5.7519408927554855E-3</v>
      </c>
      <c r="J4017" s="794">
        <v>9.4351690620996944</v>
      </c>
      <c r="K4017" s="771"/>
    </row>
    <row r="4018" spans="1:11" ht="18.75" customHeight="1" outlineLevel="2">
      <c r="A4018" s="791" t="s">
        <v>776</v>
      </c>
      <c r="B4018" s="791" t="s">
        <v>1041</v>
      </c>
      <c r="C4018" s="791" t="s">
        <v>778</v>
      </c>
      <c r="D4018" s="792" t="s">
        <v>779</v>
      </c>
      <c r="E4018" s="793" t="s">
        <v>662</v>
      </c>
      <c r="F4018" s="793" t="s">
        <v>843</v>
      </c>
      <c r="G4018" s="793" t="s">
        <v>782</v>
      </c>
      <c r="H4018" s="793" t="s">
        <v>804</v>
      </c>
      <c r="I4018" s="794">
        <v>1.2863367103972248E-2</v>
      </c>
      <c r="J4018" s="794">
        <v>18.829698731323635</v>
      </c>
      <c r="K4018" s="771"/>
    </row>
    <row r="4019" spans="1:11" ht="18.75" customHeight="1" outlineLevel="2">
      <c r="A4019" s="791" t="s">
        <v>776</v>
      </c>
      <c r="B4019" s="791" t="s">
        <v>1041</v>
      </c>
      <c r="C4019" s="791" t="s">
        <v>778</v>
      </c>
      <c r="D4019" s="792" t="s">
        <v>779</v>
      </c>
      <c r="E4019" s="793" t="s">
        <v>662</v>
      </c>
      <c r="F4019" s="793" t="s">
        <v>844</v>
      </c>
      <c r="G4019" s="793" t="s">
        <v>782</v>
      </c>
      <c r="H4019" s="793" t="s">
        <v>804</v>
      </c>
      <c r="I4019" s="794">
        <v>5.5803666219402743E-3</v>
      </c>
      <c r="J4019" s="794">
        <v>7.9286950058612629</v>
      </c>
      <c r="K4019" s="771"/>
    </row>
    <row r="4020" spans="1:11" ht="18.75" customHeight="1" outlineLevel="2">
      <c r="A4020" s="791" t="s">
        <v>776</v>
      </c>
      <c r="B4020" s="791" t="s">
        <v>1041</v>
      </c>
      <c r="C4020" s="791" t="s">
        <v>778</v>
      </c>
      <c r="D4020" s="792" t="s">
        <v>779</v>
      </c>
      <c r="E4020" s="793" t="s">
        <v>662</v>
      </c>
      <c r="F4020" s="793" t="s">
        <v>845</v>
      </c>
      <c r="G4020" s="793" t="s">
        <v>782</v>
      </c>
      <c r="H4020" s="793" t="s">
        <v>804</v>
      </c>
      <c r="I4020" s="794">
        <v>3.0391509811862247E-4</v>
      </c>
      <c r="J4020" s="794">
        <v>0.41322893020568857</v>
      </c>
      <c r="K4020" s="771"/>
    </row>
    <row r="4021" spans="1:11" ht="18.75" customHeight="1" outlineLevel="2">
      <c r="A4021" s="791" t="s">
        <v>776</v>
      </c>
      <c r="B4021" s="791" t="s">
        <v>1041</v>
      </c>
      <c r="C4021" s="791" t="s">
        <v>778</v>
      </c>
      <c r="D4021" s="792" t="s">
        <v>779</v>
      </c>
      <c r="E4021" s="793" t="s">
        <v>662</v>
      </c>
      <c r="F4021" s="793" t="s">
        <v>846</v>
      </c>
      <c r="G4021" s="793" t="s">
        <v>782</v>
      </c>
      <c r="H4021" s="793" t="s">
        <v>804</v>
      </c>
      <c r="I4021" s="794">
        <v>1.0576717300309636E-2</v>
      </c>
      <c r="J4021" s="794">
        <v>16.592324648525707</v>
      </c>
      <c r="K4021" s="771"/>
    </row>
    <row r="4022" spans="1:11" ht="18.75" customHeight="1" outlineLevel="2">
      <c r="A4022" s="791" t="s">
        <v>776</v>
      </c>
      <c r="B4022" s="791" t="s">
        <v>1041</v>
      </c>
      <c r="C4022" s="791" t="s">
        <v>778</v>
      </c>
      <c r="D4022" s="792" t="s">
        <v>779</v>
      </c>
      <c r="E4022" s="793" t="s">
        <v>662</v>
      </c>
      <c r="F4022" s="793" t="s">
        <v>847</v>
      </c>
      <c r="G4022" s="793" t="s">
        <v>782</v>
      </c>
      <c r="H4022" s="793" t="s">
        <v>804</v>
      </c>
      <c r="I4022" s="794">
        <v>5.0427495269738058E-3</v>
      </c>
      <c r="J4022" s="794">
        <v>6.1537943622784317</v>
      </c>
      <c r="K4022" s="771"/>
    </row>
    <row r="4023" spans="1:11" ht="18.75" customHeight="1" outlineLevel="2">
      <c r="A4023" s="791" t="s">
        <v>776</v>
      </c>
      <c r="B4023" s="791" t="s">
        <v>1041</v>
      </c>
      <c r="C4023" s="791" t="s">
        <v>778</v>
      </c>
      <c r="D4023" s="792" t="s">
        <v>779</v>
      </c>
      <c r="E4023" s="793" t="s">
        <v>662</v>
      </c>
      <c r="F4023" s="793" t="s">
        <v>848</v>
      </c>
      <c r="G4023" s="793" t="s">
        <v>782</v>
      </c>
      <c r="H4023" s="793" t="s">
        <v>804</v>
      </c>
      <c r="I4023" s="794">
        <v>2.3826142658925249E-2</v>
      </c>
      <c r="J4023" s="794">
        <v>34.574781000268331</v>
      </c>
      <c r="K4023" s="771"/>
    </row>
    <row r="4024" spans="1:11" ht="18.75" customHeight="1" outlineLevel="2">
      <c r="A4024" s="791" t="s">
        <v>776</v>
      </c>
      <c r="B4024" s="791" t="s">
        <v>1041</v>
      </c>
      <c r="C4024" s="791" t="s">
        <v>778</v>
      </c>
      <c r="D4024" s="792" t="s">
        <v>779</v>
      </c>
      <c r="E4024" s="793" t="s">
        <v>662</v>
      </c>
      <c r="F4024" s="793" t="s">
        <v>849</v>
      </c>
      <c r="G4024" s="793" t="s">
        <v>782</v>
      </c>
      <c r="H4024" s="793" t="s">
        <v>804</v>
      </c>
      <c r="I4024" s="794">
        <v>1.2078113012852458E-2</v>
      </c>
      <c r="J4024" s="794">
        <v>16.603760786428545</v>
      </c>
      <c r="K4024" s="771"/>
    </row>
    <row r="4025" spans="1:11" ht="18.75" customHeight="1" outlineLevel="2">
      <c r="A4025" s="791" t="s">
        <v>776</v>
      </c>
      <c r="B4025" s="791" t="s">
        <v>1041</v>
      </c>
      <c r="C4025" s="791" t="s">
        <v>778</v>
      </c>
      <c r="D4025" s="792" t="s">
        <v>779</v>
      </c>
      <c r="E4025" s="793" t="s">
        <v>662</v>
      </c>
      <c r="F4025" s="793" t="s">
        <v>850</v>
      </c>
      <c r="G4025" s="793" t="s">
        <v>782</v>
      </c>
      <c r="H4025" s="793" t="s">
        <v>804</v>
      </c>
      <c r="I4025" s="794">
        <v>9.5540002535264882E-4</v>
      </c>
      <c r="J4025" s="794">
        <v>1.3374115569681297</v>
      </c>
      <c r="K4025" s="771"/>
    </row>
    <row r="4026" spans="1:11" ht="18.75" customHeight="1" outlineLevel="2">
      <c r="A4026" s="791" t="s">
        <v>776</v>
      </c>
      <c r="B4026" s="791" t="s">
        <v>1041</v>
      </c>
      <c r="C4026" s="791" t="s">
        <v>778</v>
      </c>
      <c r="D4026" s="792" t="s">
        <v>779</v>
      </c>
      <c r="E4026" s="793" t="s">
        <v>662</v>
      </c>
      <c r="F4026" s="793" t="s">
        <v>851</v>
      </c>
      <c r="G4026" s="793" t="s">
        <v>782</v>
      </c>
      <c r="H4026" s="793" t="s">
        <v>804</v>
      </c>
      <c r="I4026" s="794">
        <v>1.5677466618783133E-3</v>
      </c>
      <c r="J4026" s="794">
        <v>2.2458482113972855</v>
      </c>
      <c r="K4026" s="771"/>
    </row>
    <row r="4027" spans="1:11" ht="18.75" customHeight="1" outlineLevel="2">
      <c r="A4027" s="791" t="s">
        <v>776</v>
      </c>
      <c r="B4027" s="791" t="s">
        <v>1041</v>
      </c>
      <c r="C4027" s="791" t="s">
        <v>778</v>
      </c>
      <c r="D4027" s="792" t="s">
        <v>779</v>
      </c>
      <c r="E4027" s="793" t="s">
        <v>662</v>
      </c>
      <c r="F4027" s="793" t="s">
        <v>852</v>
      </c>
      <c r="G4027" s="793" t="s">
        <v>782</v>
      </c>
      <c r="H4027" s="793" t="s">
        <v>804</v>
      </c>
      <c r="I4027" s="794">
        <v>6.8677788725138831E-4</v>
      </c>
      <c r="J4027" s="794">
        <v>2.0068499506869322</v>
      </c>
      <c r="K4027" s="771"/>
    </row>
    <row r="4028" spans="1:11" ht="18.75" customHeight="1" outlineLevel="2">
      <c r="A4028" s="791" t="s">
        <v>776</v>
      </c>
      <c r="B4028" s="791" t="s">
        <v>1041</v>
      </c>
      <c r="C4028" s="791" t="s">
        <v>778</v>
      </c>
      <c r="D4028" s="792" t="s">
        <v>779</v>
      </c>
      <c r="E4028" s="793" t="s">
        <v>662</v>
      </c>
      <c r="F4028" s="793" t="s">
        <v>853</v>
      </c>
      <c r="G4028" s="793" t="s">
        <v>782</v>
      </c>
      <c r="H4028" s="793" t="s">
        <v>804</v>
      </c>
      <c r="I4028" s="794">
        <v>5.5257890384022073E-4</v>
      </c>
      <c r="J4028" s="794">
        <v>4.7599002995668549</v>
      </c>
      <c r="K4028" s="771"/>
    </row>
    <row r="4029" spans="1:11" ht="18.75" customHeight="1" outlineLevel="2">
      <c r="A4029" s="791" t="s">
        <v>776</v>
      </c>
      <c r="B4029" s="791" t="s">
        <v>1041</v>
      </c>
      <c r="C4029" s="791" t="s">
        <v>778</v>
      </c>
      <c r="D4029" s="792" t="s">
        <v>779</v>
      </c>
      <c r="E4029" s="793" t="s">
        <v>662</v>
      </c>
      <c r="F4029" s="793" t="s">
        <v>854</v>
      </c>
      <c r="G4029" s="793" t="s">
        <v>782</v>
      </c>
      <c r="H4029" s="793" t="s">
        <v>804</v>
      </c>
      <c r="I4029" s="794">
        <v>7.5172426699486993E-3</v>
      </c>
      <c r="J4029" s="794">
        <v>11.349645325806033</v>
      </c>
      <c r="K4029" s="771"/>
    </row>
    <row r="4030" spans="1:11" ht="18.75" customHeight="1" outlineLevel="2">
      <c r="A4030" s="791" t="s">
        <v>776</v>
      </c>
      <c r="B4030" s="791" t="s">
        <v>1041</v>
      </c>
      <c r="C4030" s="791" t="s">
        <v>778</v>
      </c>
      <c r="D4030" s="792" t="s">
        <v>779</v>
      </c>
      <c r="E4030" s="793" t="s">
        <v>662</v>
      </c>
      <c r="F4030" s="793" t="s">
        <v>855</v>
      </c>
      <c r="G4030" s="793" t="s">
        <v>782</v>
      </c>
      <c r="H4030" s="793" t="s">
        <v>804</v>
      </c>
      <c r="I4030" s="794">
        <v>5.3687336490914443E-3</v>
      </c>
      <c r="J4030" s="794">
        <v>7.9102478066065176</v>
      </c>
      <c r="K4030" s="771"/>
    </row>
    <row r="4031" spans="1:11" ht="18.75" customHeight="1" outlineLevel="2">
      <c r="A4031" s="791" t="s">
        <v>776</v>
      </c>
      <c r="B4031" s="791" t="s">
        <v>1041</v>
      </c>
      <c r="C4031" s="791" t="s">
        <v>778</v>
      </c>
      <c r="D4031" s="792" t="s">
        <v>779</v>
      </c>
      <c r="E4031" s="793" t="s">
        <v>662</v>
      </c>
      <c r="F4031" s="793" t="s">
        <v>856</v>
      </c>
      <c r="G4031" s="793" t="s">
        <v>782</v>
      </c>
      <c r="H4031" s="793" t="s">
        <v>804</v>
      </c>
      <c r="I4031" s="794">
        <v>2.1080793582305807E-3</v>
      </c>
      <c r="J4031" s="794">
        <v>2.5919060533706264</v>
      </c>
      <c r="K4031" s="771"/>
    </row>
    <row r="4032" spans="1:11" ht="18.75" customHeight="1" outlineLevel="2">
      <c r="A4032" s="791" t="s">
        <v>776</v>
      </c>
      <c r="B4032" s="791" t="s">
        <v>1041</v>
      </c>
      <c r="C4032" s="791" t="s">
        <v>778</v>
      </c>
      <c r="D4032" s="792" t="s">
        <v>779</v>
      </c>
      <c r="E4032" s="793" t="s">
        <v>662</v>
      </c>
      <c r="F4032" s="793" t="s">
        <v>857</v>
      </c>
      <c r="G4032" s="793" t="s">
        <v>782</v>
      </c>
      <c r="H4032" s="793" t="s">
        <v>804</v>
      </c>
      <c r="I4032" s="794">
        <v>1.7556205238031242E-3</v>
      </c>
      <c r="J4032" s="794">
        <v>1.8939111665019208</v>
      </c>
      <c r="K4032" s="771"/>
    </row>
    <row r="4033" spans="1:11" ht="18.75" customHeight="1" outlineLevel="2">
      <c r="A4033" s="791" t="s">
        <v>776</v>
      </c>
      <c r="B4033" s="791" t="s">
        <v>1041</v>
      </c>
      <c r="C4033" s="791" t="s">
        <v>778</v>
      </c>
      <c r="D4033" s="792" t="s">
        <v>779</v>
      </c>
      <c r="E4033" s="793" t="s">
        <v>662</v>
      </c>
      <c r="F4033" s="793" t="s">
        <v>858</v>
      </c>
      <c r="G4033" s="793" t="s">
        <v>785</v>
      </c>
      <c r="H4033" s="793" t="s">
        <v>727</v>
      </c>
      <c r="I4033" s="794">
        <v>2.3775730375574566E-2</v>
      </c>
      <c r="J4033" s="794">
        <v>47.772888869036407</v>
      </c>
      <c r="K4033" s="771"/>
    </row>
    <row r="4034" spans="1:11" ht="18.75" customHeight="1" outlineLevel="2">
      <c r="A4034" s="791" t="s">
        <v>776</v>
      </c>
      <c r="B4034" s="791" t="s">
        <v>1041</v>
      </c>
      <c r="C4034" s="791" t="s">
        <v>778</v>
      </c>
      <c r="D4034" s="792" t="s">
        <v>779</v>
      </c>
      <c r="E4034" s="793" t="s">
        <v>662</v>
      </c>
      <c r="F4034" s="793" t="s">
        <v>859</v>
      </c>
      <c r="G4034" s="793" t="s">
        <v>785</v>
      </c>
      <c r="H4034" s="793" t="s">
        <v>727</v>
      </c>
      <c r="I4034" s="794">
        <v>1.7078341476746462E-2</v>
      </c>
      <c r="J4034" s="794">
        <v>180.79648494812912</v>
      </c>
      <c r="K4034" s="771"/>
    </row>
    <row r="4035" spans="1:11" ht="18.75" customHeight="1" outlineLevel="2">
      <c r="A4035" s="791" t="s">
        <v>776</v>
      </c>
      <c r="B4035" s="791" t="s">
        <v>1041</v>
      </c>
      <c r="C4035" s="791" t="s">
        <v>778</v>
      </c>
      <c r="D4035" s="792" t="s">
        <v>779</v>
      </c>
      <c r="E4035" s="793" t="s">
        <v>662</v>
      </c>
      <c r="F4035" s="793" t="s">
        <v>860</v>
      </c>
      <c r="G4035" s="793" t="s">
        <v>785</v>
      </c>
      <c r="H4035" s="793" t="s">
        <v>727</v>
      </c>
      <c r="I4035" s="794">
        <v>1.4169194683837578E-2</v>
      </c>
      <c r="J4035" s="794">
        <v>38.84990148214851</v>
      </c>
      <c r="K4035" s="771"/>
    </row>
    <row r="4036" spans="1:11" ht="18.75" customHeight="1" outlineLevel="2">
      <c r="A4036" s="791" t="s">
        <v>776</v>
      </c>
      <c r="B4036" s="791" t="s">
        <v>1041</v>
      </c>
      <c r="C4036" s="791" t="s">
        <v>778</v>
      </c>
      <c r="D4036" s="792" t="s">
        <v>779</v>
      </c>
      <c r="E4036" s="793" t="s">
        <v>662</v>
      </c>
      <c r="F4036" s="793" t="s">
        <v>861</v>
      </c>
      <c r="G4036" s="793" t="s">
        <v>785</v>
      </c>
      <c r="H4036" s="793" t="s">
        <v>727</v>
      </c>
      <c r="I4036" s="794">
        <v>5.4502354462516285E-2</v>
      </c>
      <c r="J4036" s="794">
        <v>72.970765538340444</v>
      </c>
      <c r="K4036" s="771"/>
    </row>
    <row r="4037" spans="1:11" ht="18.75" customHeight="1" outlineLevel="2">
      <c r="A4037" s="791" t="s">
        <v>776</v>
      </c>
      <c r="B4037" s="791" t="s">
        <v>1041</v>
      </c>
      <c r="C4037" s="791" t="s">
        <v>778</v>
      </c>
      <c r="D4037" s="792" t="s">
        <v>779</v>
      </c>
      <c r="E4037" s="793" t="s">
        <v>662</v>
      </c>
      <c r="F4037" s="793" t="s">
        <v>862</v>
      </c>
      <c r="G4037" s="793" t="s">
        <v>785</v>
      </c>
      <c r="H4037" s="793" t="s">
        <v>727</v>
      </c>
      <c r="I4037" s="794">
        <v>1.5380014355878533E-3</v>
      </c>
      <c r="J4037" s="794">
        <v>3.3482119879838863</v>
      </c>
      <c r="K4037" s="771"/>
    </row>
    <row r="4038" spans="1:11" ht="18.75" customHeight="1" outlineLevel="2">
      <c r="A4038" s="791" t="s">
        <v>776</v>
      </c>
      <c r="B4038" s="791" t="s">
        <v>1041</v>
      </c>
      <c r="C4038" s="791" t="s">
        <v>778</v>
      </c>
      <c r="D4038" s="792" t="s">
        <v>779</v>
      </c>
      <c r="E4038" s="793" t="s">
        <v>662</v>
      </c>
      <c r="F4038" s="793" t="s">
        <v>863</v>
      </c>
      <c r="G4038" s="793" t="s">
        <v>785</v>
      </c>
      <c r="H4038" s="793" t="s">
        <v>727</v>
      </c>
      <c r="I4038" s="794">
        <v>7.5647710459508062E-4</v>
      </c>
      <c r="J4038" s="794">
        <v>1.1263570146991608</v>
      </c>
      <c r="K4038" s="771"/>
    </row>
    <row r="4039" spans="1:11" ht="18.75" customHeight="1" outlineLevel="2">
      <c r="A4039" s="791" t="s">
        <v>776</v>
      </c>
      <c r="B4039" s="791" t="s">
        <v>1041</v>
      </c>
      <c r="C4039" s="791" t="s">
        <v>778</v>
      </c>
      <c r="D4039" s="792" t="s">
        <v>779</v>
      </c>
      <c r="E4039" s="793" t="s">
        <v>662</v>
      </c>
      <c r="F4039" s="793" t="s">
        <v>864</v>
      </c>
      <c r="G4039" s="793" t="s">
        <v>785</v>
      </c>
      <c r="H4039" s="793" t="s">
        <v>727</v>
      </c>
      <c r="I4039" s="794">
        <v>1.1194930256713713E-3</v>
      </c>
      <c r="J4039" s="794">
        <v>15.967132725616684</v>
      </c>
      <c r="K4039" s="771"/>
    </row>
    <row r="4040" spans="1:11" ht="18.75" customHeight="1" outlineLevel="2">
      <c r="A4040" s="791" t="s">
        <v>776</v>
      </c>
      <c r="B4040" s="791" t="s">
        <v>1041</v>
      </c>
      <c r="C4040" s="791" t="s">
        <v>778</v>
      </c>
      <c r="D4040" s="792" t="s">
        <v>779</v>
      </c>
      <c r="E4040" s="793" t="s">
        <v>662</v>
      </c>
      <c r="F4040" s="793" t="s">
        <v>865</v>
      </c>
      <c r="G4040" s="793" t="s">
        <v>813</v>
      </c>
      <c r="H4040" s="793" t="s">
        <v>814</v>
      </c>
      <c r="I4040" s="794">
        <v>0.23366553662922462</v>
      </c>
      <c r="J4040" s="794">
        <v>250.3072875338419</v>
      </c>
      <c r="K4040" s="771"/>
    </row>
    <row r="4041" spans="1:11" ht="18.75" customHeight="1" outlineLevel="2">
      <c r="A4041" s="791" t="s">
        <v>776</v>
      </c>
      <c r="B4041" s="791" t="s">
        <v>1041</v>
      </c>
      <c r="C4041" s="791" t="s">
        <v>778</v>
      </c>
      <c r="D4041" s="792" t="s">
        <v>779</v>
      </c>
      <c r="E4041" s="793" t="s">
        <v>662</v>
      </c>
      <c r="F4041" s="793" t="s">
        <v>866</v>
      </c>
      <c r="G4041" s="793" t="s">
        <v>813</v>
      </c>
      <c r="H4041" s="793" t="s">
        <v>814</v>
      </c>
      <c r="I4041" s="794">
        <v>0.39265335468250423</v>
      </c>
      <c r="J4041" s="794">
        <v>533.61649611603264</v>
      </c>
      <c r="K4041" s="771"/>
    </row>
    <row r="4042" spans="1:11" ht="18.75" customHeight="1" outlineLevel="2">
      <c r="A4042" s="791" t="s">
        <v>776</v>
      </c>
      <c r="B4042" s="791" t="s">
        <v>1041</v>
      </c>
      <c r="C4042" s="791" t="s">
        <v>778</v>
      </c>
      <c r="D4042" s="792" t="s">
        <v>779</v>
      </c>
      <c r="E4042" s="793" t="s">
        <v>662</v>
      </c>
      <c r="F4042" s="793" t="s">
        <v>867</v>
      </c>
      <c r="G4042" s="793" t="s">
        <v>813</v>
      </c>
      <c r="H4042" s="793" t="s">
        <v>814</v>
      </c>
      <c r="I4042" s="794">
        <v>2.0115018754049249E-2</v>
      </c>
      <c r="J4042" s="794">
        <v>21.539377334731469</v>
      </c>
      <c r="K4042" s="771"/>
    </row>
    <row r="4043" spans="1:11" ht="18.75" customHeight="1" outlineLevel="2">
      <c r="A4043" s="791" t="s">
        <v>776</v>
      </c>
      <c r="B4043" s="791" t="s">
        <v>1041</v>
      </c>
      <c r="C4043" s="791" t="s">
        <v>778</v>
      </c>
      <c r="D4043" s="792" t="s">
        <v>779</v>
      </c>
      <c r="E4043" s="793" t="s">
        <v>662</v>
      </c>
      <c r="F4043" s="793" t="s">
        <v>868</v>
      </c>
      <c r="G4043" s="793" t="s">
        <v>813</v>
      </c>
      <c r="H4043" s="793" t="s">
        <v>814</v>
      </c>
      <c r="I4043" s="794">
        <v>0.25022683800432721</v>
      </c>
      <c r="J4043" s="794">
        <v>316.52184254195606</v>
      </c>
      <c r="K4043" s="771"/>
    </row>
    <row r="4044" spans="1:11" ht="18.75" customHeight="1" outlineLevel="2">
      <c r="A4044" s="791" t="s">
        <v>776</v>
      </c>
      <c r="B4044" s="791" t="s">
        <v>1041</v>
      </c>
      <c r="C4044" s="791" t="s">
        <v>778</v>
      </c>
      <c r="D4044" s="792" t="s">
        <v>779</v>
      </c>
      <c r="E4044" s="793" t="s">
        <v>662</v>
      </c>
      <c r="F4044" s="793" t="s">
        <v>869</v>
      </c>
      <c r="G4044" s="793" t="s">
        <v>813</v>
      </c>
      <c r="H4044" s="793" t="s">
        <v>814</v>
      </c>
      <c r="I4044" s="794">
        <v>1.0957778708714898E-3</v>
      </c>
      <c r="J4044" s="794">
        <v>1.3913878296058191</v>
      </c>
      <c r="K4044" s="771"/>
    </row>
    <row r="4045" spans="1:11" ht="18.75" customHeight="1" outlineLevel="2">
      <c r="A4045" s="791" t="s">
        <v>776</v>
      </c>
      <c r="B4045" s="791" t="s">
        <v>1041</v>
      </c>
      <c r="C4045" s="791" t="s">
        <v>778</v>
      </c>
      <c r="D4045" s="792" t="s">
        <v>779</v>
      </c>
      <c r="E4045" s="793" t="s">
        <v>662</v>
      </c>
      <c r="F4045" s="793" t="s">
        <v>870</v>
      </c>
      <c r="G4045" s="793" t="s">
        <v>813</v>
      </c>
      <c r="H4045" s="793" t="s">
        <v>814</v>
      </c>
      <c r="I4045" s="794">
        <v>8.7174086191928127E-3</v>
      </c>
      <c r="J4045" s="794">
        <v>12.359894245707537</v>
      </c>
      <c r="K4045" s="771"/>
    </row>
    <row r="4046" spans="1:11" ht="18.75" customHeight="1" outlineLevel="2">
      <c r="A4046" s="791" t="s">
        <v>776</v>
      </c>
      <c r="B4046" s="791" t="s">
        <v>1041</v>
      </c>
      <c r="C4046" s="791" t="s">
        <v>778</v>
      </c>
      <c r="D4046" s="792" t="s">
        <v>779</v>
      </c>
      <c r="E4046" s="793" t="s">
        <v>662</v>
      </c>
      <c r="F4046" s="793" t="s">
        <v>871</v>
      </c>
      <c r="G4046" s="793" t="s">
        <v>813</v>
      </c>
      <c r="H4046" s="793" t="s">
        <v>814</v>
      </c>
      <c r="I4046" s="794">
        <v>2.0869407046101057E-3</v>
      </c>
      <c r="J4046" s="794">
        <v>2.6544539636175983</v>
      </c>
      <c r="K4046" s="771"/>
    </row>
    <row r="4047" spans="1:11" ht="18.75" customHeight="1" outlineLevel="2">
      <c r="A4047" s="791" t="s">
        <v>776</v>
      </c>
      <c r="B4047" s="791" t="s">
        <v>1041</v>
      </c>
      <c r="C4047" s="791" t="s">
        <v>778</v>
      </c>
      <c r="D4047" s="792" t="s">
        <v>779</v>
      </c>
      <c r="E4047" s="793" t="s">
        <v>662</v>
      </c>
      <c r="F4047" s="793" t="s">
        <v>872</v>
      </c>
      <c r="G4047" s="793" t="s">
        <v>813</v>
      </c>
      <c r="H4047" s="793" t="s">
        <v>814</v>
      </c>
      <c r="I4047" s="794">
        <v>0.29793031556665978</v>
      </c>
      <c r="J4047" s="794">
        <v>507.18351042943993</v>
      </c>
      <c r="K4047" s="771"/>
    </row>
    <row r="4048" spans="1:11" ht="18.75" customHeight="1" outlineLevel="2">
      <c r="A4048" s="791" t="s">
        <v>776</v>
      </c>
      <c r="B4048" s="791" t="s">
        <v>1041</v>
      </c>
      <c r="C4048" s="791" t="s">
        <v>778</v>
      </c>
      <c r="D4048" s="792" t="s">
        <v>779</v>
      </c>
      <c r="E4048" s="793" t="s">
        <v>662</v>
      </c>
      <c r="F4048" s="793" t="s">
        <v>875</v>
      </c>
      <c r="G4048" s="793" t="s">
        <v>813</v>
      </c>
      <c r="H4048" s="793" t="s">
        <v>814</v>
      </c>
      <c r="I4048" s="794">
        <v>3.4816447992682353E-2</v>
      </c>
      <c r="J4048" s="794">
        <v>50.838192422069334</v>
      </c>
      <c r="K4048" s="771"/>
    </row>
    <row r="4049" spans="1:11" ht="18.75" customHeight="1" outlineLevel="2">
      <c r="A4049" s="791" t="s">
        <v>776</v>
      </c>
      <c r="B4049" s="791" t="s">
        <v>1041</v>
      </c>
      <c r="C4049" s="791" t="s">
        <v>778</v>
      </c>
      <c r="D4049" s="792" t="s">
        <v>779</v>
      </c>
      <c r="E4049" s="793" t="s">
        <v>662</v>
      </c>
      <c r="F4049" s="793" t="s">
        <v>876</v>
      </c>
      <c r="G4049" s="793" t="s">
        <v>813</v>
      </c>
      <c r="H4049" s="793" t="s">
        <v>814</v>
      </c>
      <c r="I4049" s="794">
        <v>4.4841123787937788E-2</v>
      </c>
      <c r="J4049" s="794">
        <v>67.79574827646023</v>
      </c>
      <c r="K4049" s="771"/>
    </row>
    <row r="4050" spans="1:11" ht="18.75" customHeight="1" outlineLevel="2">
      <c r="A4050" s="791" t="s">
        <v>776</v>
      </c>
      <c r="B4050" s="791" t="s">
        <v>1041</v>
      </c>
      <c r="C4050" s="791" t="s">
        <v>778</v>
      </c>
      <c r="D4050" s="792" t="s">
        <v>779</v>
      </c>
      <c r="E4050" s="793" t="s">
        <v>662</v>
      </c>
      <c r="F4050" s="793" t="s">
        <v>877</v>
      </c>
      <c r="G4050" s="793" t="s">
        <v>813</v>
      </c>
      <c r="H4050" s="793" t="s">
        <v>814</v>
      </c>
      <c r="I4050" s="794">
        <v>5.9161120261078552E-2</v>
      </c>
      <c r="J4050" s="794">
        <v>76.738101400718207</v>
      </c>
      <c r="K4050" s="771"/>
    </row>
    <row r="4051" spans="1:11" ht="18.75" customHeight="1" outlineLevel="2">
      <c r="A4051" s="791" t="s">
        <v>776</v>
      </c>
      <c r="B4051" s="791" t="s">
        <v>1041</v>
      </c>
      <c r="C4051" s="791" t="s">
        <v>778</v>
      </c>
      <c r="D4051" s="792" t="s">
        <v>779</v>
      </c>
      <c r="E4051" s="793" t="s">
        <v>662</v>
      </c>
      <c r="F4051" s="793" t="s">
        <v>878</v>
      </c>
      <c r="G4051" s="793" t="s">
        <v>813</v>
      </c>
      <c r="H4051" s="793" t="s">
        <v>814</v>
      </c>
      <c r="I4051" s="794">
        <v>3.0187675853778351E-2</v>
      </c>
      <c r="J4051" s="794">
        <v>36.43478959448251</v>
      </c>
      <c r="K4051" s="771"/>
    </row>
    <row r="4052" spans="1:11" ht="18.75" customHeight="1" outlineLevel="2">
      <c r="A4052" s="791" t="s">
        <v>776</v>
      </c>
      <c r="B4052" s="791" t="s">
        <v>1041</v>
      </c>
      <c r="C4052" s="791" t="s">
        <v>778</v>
      </c>
      <c r="D4052" s="792" t="s">
        <v>779</v>
      </c>
      <c r="E4052" s="793" t="s">
        <v>662</v>
      </c>
      <c r="F4052" s="793" t="s">
        <v>879</v>
      </c>
      <c r="G4052" s="793" t="s">
        <v>813</v>
      </c>
      <c r="H4052" s="793" t="s">
        <v>814</v>
      </c>
      <c r="I4052" s="794">
        <v>0.46562588102410518</v>
      </c>
      <c r="J4052" s="794">
        <v>681.44469451605471</v>
      </c>
      <c r="K4052" s="771"/>
    </row>
    <row r="4053" spans="1:11" ht="18.75" customHeight="1" outlineLevel="2">
      <c r="A4053" s="791" t="s">
        <v>776</v>
      </c>
      <c r="B4053" s="791" t="s">
        <v>1041</v>
      </c>
      <c r="C4053" s="791" t="s">
        <v>778</v>
      </c>
      <c r="D4053" s="792" t="s">
        <v>779</v>
      </c>
      <c r="E4053" s="793" t="s">
        <v>662</v>
      </c>
      <c r="F4053" s="793" t="s">
        <v>880</v>
      </c>
      <c r="G4053" s="793" t="s">
        <v>813</v>
      </c>
      <c r="H4053" s="793" t="s">
        <v>814</v>
      </c>
      <c r="I4053" s="794">
        <v>0.60925519450320498</v>
      </c>
      <c r="J4053" s="794">
        <v>921.34687738896537</v>
      </c>
      <c r="K4053" s="771"/>
    </row>
    <row r="4054" spans="1:11" ht="18.75" customHeight="1" outlineLevel="2">
      <c r="A4054" s="791" t="s">
        <v>776</v>
      </c>
      <c r="B4054" s="791" t="s">
        <v>1041</v>
      </c>
      <c r="C4054" s="791" t="s">
        <v>778</v>
      </c>
      <c r="D4054" s="792" t="s">
        <v>779</v>
      </c>
      <c r="E4054" s="793" t="s">
        <v>662</v>
      </c>
      <c r="F4054" s="793" t="s">
        <v>881</v>
      </c>
      <c r="G4054" s="793" t="s">
        <v>813</v>
      </c>
      <c r="H4054" s="793" t="s">
        <v>814</v>
      </c>
      <c r="I4054" s="794">
        <v>6.8175015101355749E-2</v>
      </c>
      <c r="J4054" s="794">
        <v>153.84086170201391</v>
      </c>
      <c r="K4054" s="771"/>
    </row>
    <row r="4055" spans="1:11" ht="18.75" customHeight="1" outlineLevel="2">
      <c r="A4055" s="791" t="s">
        <v>776</v>
      </c>
      <c r="B4055" s="791" t="s">
        <v>1041</v>
      </c>
      <c r="C4055" s="791" t="s">
        <v>778</v>
      </c>
      <c r="D4055" s="792" t="s">
        <v>779</v>
      </c>
      <c r="E4055" s="793" t="s">
        <v>662</v>
      </c>
      <c r="F4055" s="793" t="s">
        <v>882</v>
      </c>
      <c r="G4055" s="793" t="s">
        <v>813</v>
      </c>
      <c r="H4055" s="793" t="s">
        <v>814</v>
      </c>
      <c r="I4055" s="794">
        <v>1.8765356136160247</v>
      </c>
      <c r="J4055" s="794">
        <v>2974.1670310214845</v>
      </c>
      <c r="K4055" s="771"/>
    </row>
    <row r="4056" spans="1:11" ht="18.75" customHeight="1" outlineLevel="2">
      <c r="A4056" s="791" t="s">
        <v>776</v>
      </c>
      <c r="B4056" s="791" t="s">
        <v>1041</v>
      </c>
      <c r="C4056" s="791" t="s">
        <v>778</v>
      </c>
      <c r="D4056" s="792" t="s">
        <v>779</v>
      </c>
      <c r="E4056" s="793" t="s">
        <v>662</v>
      </c>
      <c r="F4056" s="793" t="s">
        <v>883</v>
      </c>
      <c r="G4056" s="793" t="s">
        <v>813</v>
      </c>
      <c r="H4056" s="793" t="s">
        <v>814</v>
      </c>
      <c r="I4056" s="794">
        <v>2.1197980777114718E-2</v>
      </c>
      <c r="J4056" s="794">
        <v>24.222923111484821</v>
      </c>
      <c r="K4056" s="771"/>
    </row>
    <row r="4057" spans="1:11" ht="18.75" customHeight="1" outlineLevel="2">
      <c r="A4057" s="791" t="s">
        <v>776</v>
      </c>
      <c r="B4057" s="791" t="s">
        <v>1041</v>
      </c>
      <c r="C4057" s="791" t="s">
        <v>778</v>
      </c>
      <c r="D4057" s="792" t="s">
        <v>779</v>
      </c>
      <c r="E4057" s="793" t="s">
        <v>662</v>
      </c>
      <c r="F4057" s="793" t="s">
        <v>884</v>
      </c>
      <c r="G4057" s="793" t="s">
        <v>813</v>
      </c>
      <c r="H4057" s="793" t="s">
        <v>814</v>
      </c>
      <c r="I4057" s="794">
        <v>7.8747504882176675E-2</v>
      </c>
      <c r="J4057" s="794">
        <v>91.391203636391936</v>
      </c>
      <c r="K4057" s="771"/>
    </row>
    <row r="4058" spans="1:11" ht="18.75" customHeight="1" outlineLevel="2">
      <c r="A4058" s="791" t="s">
        <v>776</v>
      </c>
      <c r="B4058" s="791" t="s">
        <v>1041</v>
      </c>
      <c r="C4058" s="791" t="s">
        <v>778</v>
      </c>
      <c r="D4058" s="792" t="s">
        <v>779</v>
      </c>
      <c r="E4058" s="793" t="s">
        <v>662</v>
      </c>
      <c r="F4058" s="793" t="s">
        <v>885</v>
      </c>
      <c r="G4058" s="793" t="s">
        <v>791</v>
      </c>
      <c r="H4058" s="793" t="s">
        <v>826</v>
      </c>
      <c r="I4058" s="794">
        <v>9.4385551522140954E-4</v>
      </c>
      <c r="J4058" s="794">
        <v>1.3940578931502021</v>
      </c>
      <c r="K4058" s="771"/>
    </row>
    <row r="4059" spans="1:11" ht="18.75" customHeight="1" outlineLevel="2">
      <c r="A4059" s="791" t="s">
        <v>776</v>
      </c>
      <c r="B4059" s="791" t="s">
        <v>1041</v>
      </c>
      <c r="C4059" s="791" t="s">
        <v>778</v>
      </c>
      <c r="D4059" s="792" t="s">
        <v>779</v>
      </c>
      <c r="E4059" s="793" t="s">
        <v>662</v>
      </c>
      <c r="F4059" s="793" t="s">
        <v>886</v>
      </c>
      <c r="G4059" s="793" t="s">
        <v>791</v>
      </c>
      <c r="H4059" s="793" t="s">
        <v>826</v>
      </c>
      <c r="I4059" s="794">
        <v>1.2352167110285313E-3</v>
      </c>
      <c r="J4059" s="794">
        <v>5.3945058126420058</v>
      </c>
      <c r="K4059" s="771"/>
    </row>
    <row r="4060" spans="1:11" ht="18.75" customHeight="1" outlineLevel="2">
      <c r="A4060" s="791" t="s">
        <v>776</v>
      </c>
      <c r="B4060" s="791" t="s">
        <v>1041</v>
      </c>
      <c r="C4060" s="791" t="s">
        <v>778</v>
      </c>
      <c r="D4060" s="792" t="s">
        <v>779</v>
      </c>
      <c r="E4060" s="793" t="s">
        <v>662</v>
      </c>
      <c r="F4060" s="793" t="s">
        <v>887</v>
      </c>
      <c r="G4060" s="793" t="s">
        <v>791</v>
      </c>
      <c r="H4060" s="793" t="s">
        <v>826</v>
      </c>
      <c r="I4060" s="794">
        <v>4.6084082502935427E-5</v>
      </c>
      <c r="J4060" s="794">
        <v>4.3273277053399874E-2</v>
      </c>
      <c r="K4060" s="771"/>
    </row>
    <row r="4061" spans="1:11" ht="18.75" customHeight="1" outlineLevel="2">
      <c r="A4061" s="791" t="s">
        <v>776</v>
      </c>
      <c r="B4061" s="791" t="s">
        <v>1041</v>
      </c>
      <c r="C4061" s="791" t="s">
        <v>778</v>
      </c>
      <c r="D4061" s="792" t="s">
        <v>779</v>
      </c>
      <c r="E4061" s="793" t="s">
        <v>662</v>
      </c>
      <c r="F4061" s="793" t="s">
        <v>888</v>
      </c>
      <c r="G4061" s="793" t="s">
        <v>791</v>
      </c>
      <c r="H4061" s="793" t="s">
        <v>826</v>
      </c>
      <c r="I4061" s="794">
        <v>4.1336673534782056E-3</v>
      </c>
      <c r="J4061" s="794">
        <v>3.8738120072189499</v>
      </c>
      <c r="K4061" s="771"/>
    </row>
    <row r="4062" spans="1:11" ht="18.75" customHeight="1" outlineLevel="2">
      <c r="A4062" s="791" t="s">
        <v>776</v>
      </c>
      <c r="B4062" s="791" t="s">
        <v>1041</v>
      </c>
      <c r="C4062" s="791" t="s">
        <v>778</v>
      </c>
      <c r="D4062" s="792" t="s">
        <v>779</v>
      </c>
      <c r="E4062" s="793" t="s">
        <v>662</v>
      </c>
      <c r="F4062" s="793" t="s">
        <v>889</v>
      </c>
      <c r="G4062" s="793" t="s">
        <v>791</v>
      </c>
      <c r="H4062" s="793" t="s">
        <v>826</v>
      </c>
      <c r="I4062" s="794">
        <v>7.9410231647098883E-4</v>
      </c>
      <c r="J4062" s="794">
        <v>1.1461278440488096</v>
      </c>
      <c r="K4062" s="771"/>
    </row>
    <row r="4063" spans="1:11" ht="18.75" customHeight="1" outlineLevel="2">
      <c r="A4063" s="791" t="s">
        <v>776</v>
      </c>
      <c r="B4063" s="791" t="s">
        <v>1041</v>
      </c>
      <c r="C4063" s="791" t="s">
        <v>778</v>
      </c>
      <c r="D4063" s="792" t="s">
        <v>779</v>
      </c>
      <c r="E4063" s="793" t="s">
        <v>662</v>
      </c>
      <c r="F4063" s="793" t="s">
        <v>890</v>
      </c>
      <c r="G4063" s="793" t="s">
        <v>791</v>
      </c>
      <c r="H4063" s="793" t="s">
        <v>826</v>
      </c>
      <c r="I4063" s="794">
        <v>1.1350122700178461E-2</v>
      </c>
      <c r="J4063" s="794">
        <v>12.699031680524881</v>
      </c>
      <c r="K4063" s="771"/>
    </row>
    <row r="4064" spans="1:11" ht="18.75" customHeight="1" outlineLevel="2">
      <c r="A4064" s="791" t="s">
        <v>776</v>
      </c>
      <c r="B4064" s="791" t="s">
        <v>1041</v>
      </c>
      <c r="C4064" s="791" t="s">
        <v>778</v>
      </c>
      <c r="D4064" s="792" t="s">
        <v>779</v>
      </c>
      <c r="E4064" s="793" t="s">
        <v>662</v>
      </c>
      <c r="F4064" s="793" t="s">
        <v>891</v>
      </c>
      <c r="G4064" s="793" t="s">
        <v>791</v>
      </c>
      <c r="H4064" s="793" t="s">
        <v>826</v>
      </c>
      <c r="I4064" s="794">
        <v>5.8116909393551242E-2</v>
      </c>
      <c r="J4064" s="794">
        <v>28.469922963736483</v>
      </c>
      <c r="K4064" s="771"/>
    </row>
    <row r="4065" spans="1:11" ht="18.75" customHeight="1" outlineLevel="2">
      <c r="A4065" s="791" t="s">
        <v>776</v>
      </c>
      <c r="B4065" s="791" t="s">
        <v>1041</v>
      </c>
      <c r="C4065" s="791" t="s">
        <v>778</v>
      </c>
      <c r="D4065" s="792" t="s">
        <v>779</v>
      </c>
      <c r="E4065" s="793" t="s">
        <v>662</v>
      </c>
      <c r="F4065" s="793" t="s">
        <v>892</v>
      </c>
      <c r="G4065" s="793" t="s">
        <v>791</v>
      </c>
      <c r="H4065" s="793" t="s">
        <v>826</v>
      </c>
      <c r="I4065" s="794">
        <v>6.5464579767524188E-3</v>
      </c>
      <c r="J4065" s="794">
        <v>6.1349273826275281</v>
      </c>
      <c r="K4065" s="771"/>
    </row>
    <row r="4066" spans="1:11" ht="18.75" customHeight="1" outlineLevel="2">
      <c r="A4066" s="791" t="s">
        <v>776</v>
      </c>
      <c r="B4066" s="791" t="s">
        <v>1041</v>
      </c>
      <c r="C4066" s="791" t="s">
        <v>778</v>
      </c>
      <c r="D4066" s="792" t="s">
        <v>779</v>
      </c>
      <c r="E4066" s="793" t="s">
        <v>662</v>
      </c>
      <c r="F4066" s="793" t="s">
        <v>893</v>
      </c>
      <c r="G4066" s="793" t="s">
        <v>791</v>
      </c>
      <c r="H4066" s="793" t="s">
        <v>826</v>
      </c>
      <c r="I4066" s="794">
        <v>8.5936629959238852E-3</v>
      </c>
      <c r="J4066" s="794">
        <v>8.7547624733610885</v>
      </c>
      <c r="K4066" s="771"/>
    </row>
    <row r="4067" spans="1:11" ht="18.75" customHeight="1" outlineLevel="2">
      <c r="A4067" s="791" t="s">
        <v>776</v>
      </c>
      <c r="B4067" s="791" t="s">
        <v>1041</v>
      </c>
      <c r="C4067" s="791" t="s">
        <v>778</v>
      </c>
      <c r="D4067" s="792" t="s">
        <v>779</v>
      </c>
      <c r="E4067" s="793" t="s">
        <v>662</v>
      </c>
      <c r="F4067" s="793" t="s">
        <v>894</v>
      </c>
      <c r="G4067" s="793" t="s">
        <v>791</v>
      </c>
      <c r="H4067" s="793" t="s">
        <v>826</v>
      </c>
      <c r="I4067" s="794">
        <v>1.0291953142664728E-3</v>
      </c>
      <c r="J4067" s="794">
        <v>9.3562670571758026</v>
      </c>
      <c r="K4067" s="771"/>
    </row>
    <row r="4068" spans="1:11" ht="18.75" customHeight="1" outlineLevel="2">
      <c r="A4068" s="791" t="s">
        <v>776</v>
      </c>
      <c r="B4068" s="791" t="s">
        <v>1041</v>
      </c>
      <c r="C4068" s="791" t="s">
        <v>778</v>
      </c>
      <c r="D4068" s="792" t="s">
        <v>779</v>
      </c>
      <c r="E4068" s="793" t="s">
        <v>662</v>
      </c>
      <c r="F4068" s="793" t="s">
        <v>895</v>
      </c>
      <c r="G4068" s="793" t="s">
        <v>794</v>
      </c>
      <c r="H4068" s="793" t="s">
        <v>828</v>
      </c>
      <c r="I4068" s="794">
        <v>0.43351461149238518</v>
      </c>
      <c r="J4068" s="794">
        <v>602.63892365569109</v>
      </c>
      <c r="K4068" s="771"/>
    </row>
    <row r="4069" spans="1:11" ht="18.75" customHeight="1" outlineLevel="2">
      <c r="A4069" s="791" t="s">
        <v>776</v>
      </c>
      <c r="B4069" s="791" t="s">
        <v>1041</v>
      </c>
      <c r="C4069" s="791" t="s">
        <v>778</v>
      </c>
      <c r="D4069" s="792" t="s">
        <v>779</v>
      </c>
      <c r="E4069" s="793" t="s">
        <v>662</v>
      </c>
      <c r="F4069" s="793" t="s">
        <v>896</v>
      </c>
      <c r="G4069" s="793" t="s">
        <v>794</v>
      </c>
      <c r="H4069" s="793" t="s">
        <v>828</v>
      </c>
      <c r="I4069" s="794">
        <v>0.10182963680319523</v>
      </c>
      <c r="J4069" s="794">
        <v>150.7748664277521</v>
      </c>
      <c r="K4069" s="771"/>
    </row>
    <row r="4070" spans="1:11" ht="18.75" customHeight="1" outlineLevel="2">
      <c r="A4070" s="791" t="s">
        <v>776</v>
      </c>
      <c r="B4070" s="791" t="s">
        <v>1041</v>
      </c>
      <c r="C4070" s="791" t="s">
        <v>778</v>
      </c>
      <c r="D4070" s="792" t="s">
        <v>779</v>
      </c>
      <c r="E4070" s="793" t="s">
        <v>662</v>
      </c>
      <c r="F4070" s="793" t="s">
        <v>897</v>
      </c>
      <c r="G4070" s="793" t="s">
        <v>794</v>
      </c>
      <c r="H4070" s="793" t="s">
        <v>828</v>
      </c>
      <c r="I4070" s="794">
        <v>4.6975898457592445E-2</v>
      </c>
      <c r="J4070" s="794">
        <v>79.724774677142065</v>
      </c>
      <c r="K4070" s="771"/>
    </row>
    <row r="4071" spans="1:11" ht="18.75" customHeight="1" outlineLevel="2">
      <c r="A4071" s="791" t="s">
        <v>776</v>
      </c>
      <c r="B4071" s="791" t="s">
        <v>1041</v>
      </c>
      <c r="C4071" s="791" t="s">
        <v>778</v>
      </c>
      <c r="D4071" s="792" t="s">
        <v>779</v>
      </c>
      <c r="E4071" s="793" t="s">
        <v>662</v>
      </c>
      <c r="F4071" s="793" t="s">
        <v>898</v>
      </c>
      <c r="G4071" s="793" t="s">
        <v>794</v>
      </c>
      <c r="H4071" s="793" t="s">
        <v>828</v>
      </c>
      <c r="I4071" s="794">
        <v>0.10824219218880755</v>
      </c>
      <c r="J4071" s="794">
        <v>171.38688420346062</v>
      </c>
      <c r="K4071" s="771"/>
    </row>
    <row r="4072" spans="1:11" ht="18.75" customHeight="1" outlineLevel="2">
      <c r="A4072" s="791" t="s">
        <v>776</v>
      </c>
      <c r="B4072" s="791" t="s">
        <v>1041</v>
      </c>
      <c r="C4072" s="791" t="s">
        <v>778</v>
      </c>
      <c r="D4072" s="792" t="s">
        <v>779</v>
      </c>
      <c r="E4072" s="793" t="s">
        <v>662</v>
      </c>
      <c r="F4072" s="793" t="s">
        <v>899</v>
      </c>
      <c r="G4072" s="793" t="s">
        <v>794</v>
      </c>
      <c r="H4072" s="793" t="s">
        <v>828</v>
      </c>
      <c r="I4072" s="794">
        <v>0.19068195826439058</v>
      </c>
      <c r="J4072" s="794">
        <v>270.78645477107955</v>
      </c>
      <c r="K4072" s="771"/>
    </row>
    <row r="4073" spans="1:11" ht="18.75" customHeight="1" outlineLevel="2">
      <c r="A4073" s="791" t="s">
        <v>776</v>
      </c>
      <c r="B4073" s="791" t="s">
        <v>1041</v>
      </c>
      <c r="C4073" s="791" t="s">
        <v>778</v>
      </c>
      <c r="D4073" s="792" t="s">
        <v>779</v>
      </c>
      <c r="E4073" s="793" t="s">
        <v>662</v>
      </c>
      <c r="F4073" s="793" t="s">
        <v>900</v>
      </c>
      <c r="G4073" s="793" t="s">
        <v>794</v>
      </c>
      <c r="H4073" s="793" t="s">
        <v>828</v>
      </c>
      <c r="I4073" s="794">
        <v>8.8337977378920522E-3</v>
      </c>
      <c r="J4073" s="794">
        <v>12.704857166064684</v>
      </c>
      <c r="K4073" s="771"/>
    </row>
    <row r="4074" spans="1:11" ht="18.75" customHeight="1" outlineLevel="2">
      <c r="A4074" s="791" t="s">
        <v>776</v>
      </c>
      <c r="B4074" s="791" t="s">
        <v>1041</v>
      </c>
      <c r="C4074" s="791" t="s">
        <v>778</v>
      </c>
      <c r="D4074" s="792" t="s">
        <v>779</v>
      </c>
      <c r="E4074" s="793" t="s">
        <v>662</v>
      </c>
      <c r="F4074" s="793" t="s">
        <v>901</v>
      </c>
      <c r="G4074" s="793" t="s">
        <v>833</v>
      </c>
      <c r="H4074" s="793" t="s">
        <v>834</v>
      </c>
      <c r="I4074" s="794">
        <v>1.117943317792418E-2</v>
      </c>
      <c r="J4074" s="794">
        <v>11.697762561354951</v>
      </c>
      <c r="K4074" s="771"/>
    </row>
    <row r="4075" spans="1:11" ht="18.75" customHeight="1" outlineLevel="2">
      <c r="A4075" s="791" t="s">
        <v>776</v>
      </c>
      <c r="B4075" s="791" t="s">
        <v>1041</v>
      </c>
      <c r="C4075" s="791" t="s">
        <v>778</v>
      </c>
      <c r="D4075" s="792" t="s">
        <v>779</v>
      </c>
      <c r="E4075" s="793" t="s">
        <v>662</v>
      </c>
      <c r="F4075" s="793" t="s">
        <v>902</v>
      </c>
      <c r="G4075" s="793" t="s">
        <v>833</v>
      </c>
      <c r="H4075" s="793" t="s">
        <v>834</v>
      </c>
      <c r="I4075" s="794">
        <v>9.7309960024627733E-5</v>
      </c>
      <c r="J4075" s="794">
        <v>0.12467057219259012</v>
      </c>
      <c r="K4075" s="771"/>
    </row>
    <row r="4076" spans="1:11" ht="18.75" customHeight="1" outlineLevel="2">
      <c r="A4076" s="791" t="s">
        <v>776</v>
      </c>
      <c r="B4076" s="791" t="s">
        <v>1041</v>
      </c>
      <c r="C4076" s="791" t="s">
        <v>778</v>
      </c>
      <c r="D4076" s="792" t="s">
        <v>779</v>
      </c>
      <c r="E4076" s="793" t="s">
        <v>662</v>
      </c>
      <c r="F4076" s="793" t="s">
        <v>903</v>
      </c>
      <c r="G4076" s="793" t="s">
        <v>904</v>
      </c>
      <c r="H4076" s="793" t="s">
        <v>905</v>
      </c>
      <c r="I4076" s="794">
        <v>10.012271909589675</v>
      </c>
      <c r="J4076" s="794">
        <v>8518.6263410769061</v>
      </c>
      <c r="K4076" s="771"/>
    </row>
    <row r="4077" spans="1:11" ht="18.75" customHeight="1" outlineLevel="2">
      <c r="A4077" s="791" t="s">
        <v>776</v>
      </c>
      <c r="B4077" s="791" t="s">
        <v>1041</v>
      </c>
      <c r="C4077" s="791" t="s">
        <v>778</v>
      </c>
      <c r="D4077" s="792" t="s">
        <v>779</v>
      </c>
      <c r="E4077" s="793" t="s">
        <v>662</v>
      </c>
      <c r="F4077" s="793" t="s">
        <v>906</v>
      </c>
      <c r="G4077" s="793" t="s">
        <v>904</v>
      </c>
      <c r="H4077" s="793" t="s">
        <v>905</v>
      </c>
      <c r="I4077" s="794">
        <v>4.2142925720631457</v>
      </c>
      <c r="J4077" s="794">
        <v>3595.256715219125</v>
      </c>
      <c r="K4077" s="771"/>
    </row>
    <row r="4078" spans="1:11" ht="18.75" customHeight="1" outlineLevel="2">
      <c r="A4078" s="791" t="s">
        <v>776</v>
      </c>
      <c r="B4078" s="791" t="s">
        <v>1041</v>
      </c>
      <c r="C4078" s="791" t="s">
        <v>778</v>
      </c>
      <c r="D4078" s="792" t="s">
        <v>779</v>
      </c>
      <c r="E4078" s="793" t="s">
        <v>662</v>
      </c>
      <c r="F4078" s="793" t="s">
        <v>907</v>
      </c>
      <c r="G4078" s="793" t="s">
        <v>908</v>
      </c>
      <c r="H4078" s="793" t="s">
        <v>905</v>
      </c>
      <c r="I4078" s="794">
        <v>3.6519403798301941</v>
      </c>
      <c r="J4078" s="794">
        <v>6143.2464335194691</v>
      </c>
      <c r="K4078" s="771"/>
    </row>
    <row r="4079" spans="1:11" ht="18.75" customHeight="1" outlineLevel="2">
      <c r="A4079" s="791" t="s">
        <v>776</v>
      </c>
      <c r="B4079" s="791" t="s">
        <v>1041</v>
      </c>
      <c r="C4079" s="791" t="s">
        <v>778</v>
      </c>
      <c r="D4079" s="792" t="s">
        <v>779</v>
      </c>
      <c r="E4079" s="793" t="s">
        <v>763</v>
      </c>
      <c r="F4079" s="793" t="s">
        <v>914</v>
      </c>
      <c r="G4079" s="793" t="s">
        <v>782</v>
      </c>
      <c r="H4079" s="793" t="s">
        <v>913</v>
      </c>
      <c r="I4079" s="794">
        <v>1.6807233362596698E-4</v>
      </c>
      <c r="J4079" s="794">
        <v>0.78237600263830243</v>
      </c>
      <c r="K4079" s="771"/>
    </row>
    <row r="4080" spans="1:11" ht="18.75" customHeight="1" outlineLevel="2">
      <c r="A4080" s="791" t="s">
        <v>776</v>
      </c>
      <c r="B4080" s="791" t="s">
        <v>1041</v>
      </c>
      <c r="C4080" s="791" t="s">
        <v>778</v>
      </c>
      <c r="D4080" s="792" t="s">
        <v>779</v>
      </c>
      <c r="E4080" s="793" t="s">
        <v>763</v>
      </c>
      <c r="F4080" s="793" t="s">
        <v>915</v>
      </c>
      <c r="G4080" s="793" t="s">
        <v>782</v>
      </c>
      <c r="H4080" s="793" t="s">
        <v>913</v>
      </c>
      <c r="I4080" s="794">
        <v>9.0142602538552654E-5</v>
      </c>
      <c r="J4080" s="794">
        <v>1.3084073016061535</v>
      </c>
      <c r="K4080" s="771"/>
    </row>
    <row r="4081" spans="1:11" ht="18.75" customHeight="1" outlineLevel="2">
      <c r="A4081" s="791" t="s">
        <v>776</v>
      </c>
      <c r="B4081" s="791" t="s">
        <v>1041</v>
      </c>
      <c r="C4081" s="791" t="s">
        <v>778</v>
      </c>
      <c r="D4081" s="792" t="s">
        <v>779</v>
      </c>
      <c r="E4081" s="793" t="s">
        <v>763</v>
      </c>
      <c r="F4081" s="793" t="s">
        <v>916</v>
      </c>
      <c r="G4081" s="793" t="s">
        <v>782</v>
      </c>
      <c r="H4081" s="793" t="s">
        <v>913</v>
      </c>
      <c r="I4081" s="794">
        <v>1.3365048689432843E-4</v>
      </c>
      <c r="J4081" s="794">
        <v>0.23106352375322886</v>
      </c>
      <c r="K4081" s="771"/>
    </row>
    <row r="4082" spans="1:11" ht="18.75" customHeight="1" outlineLevel="2">
      <c r="A4082" s="791" t="s">
        <v>776</v>
      </c>
      <c r="B4082" s="791" t="s">
        <v>1041</v>
      </c>
      <c r="C4082" s="791" t="s">
        <v>778</v>
      </c>
      <c r="D4082" s="792" t="s">
        <v>779</v>
      </c>
      <c r="E4082" s="793" t="s">
        <v>763</v>
      </c>
      <c r="F4082" s="793" t="s">
        <v>917</v>
      </c>
      <c r="G4082" s="793" t="s">
        <v>782</v>
      </c>
      <c r="H4082" s="793" t="s">
        <v>913</v>
      </c>
      <c r="I4082" s="794">
        <v>2.446861312632954E-5</v>
      </c>
      <c r="J4082" s="794">
        <v>0.13395802646635888</v>
      </c>
      <c r="K4082" s="771"/>
    </row>
    <row r="4083" spans="1:11" ht="18.75" customHeight="1" outlineLevel="2">
      <c r="A4083" s="791" t="s">
        <v>776</v>
      </c>
      <c r="B4083" s="791" t="s">
        <v>1041</v>
      </c>
      <c r="C4083" s="791" t="s">
        <v>778</v>
      </c>
      <c r="D4083" s="792" t="s">
        <v>779</v>
      </c>
      <c r="E4083" s="793" t="s">
        <v>763</v>
      </c>
      <c r="F4083" s="793" t="s">
        <v>918</v>
      </c>
      <c r="G4083" s="793" t="s">
        <v>782</v>
      </c>
      <c r="H4083" s="793" t="s">
        <v>913</v>
      </c>
      <c r="I4083" s="794">
        <v>5.4157518445852536E-4</v>
      </c>
      <c r="J4083" s="794">
        <v>2.4195874311470145</v>
      </c>
      <c r="K4083" s="771"/>
    </row>
    <row r="4084" spans="1:11" ht="18.75" customHeight="1" outlineLevel="2">
      <c r="A4084" s="791" t="s">
        <v>776</v>
      </c>
      <c r="B4084" s="791" t="s">
        <v>1041</v>
      </c>
      <c r="C4084" s="791" t="s">
        <v>778</v>
      </c>
      <c r="D4084" s="792" t="s">
        <v>779</v>
      </c>
      <c r="E4084" s="793" t="s">
        <v>763</v>
      </c>
      <c r="F4084" s="793" t="s">
        <v>919</v>
      </c>
      <c r="G4084" s="793" t="s">
        <v>782</v>
      </c>
      <c r="H4084" s="793" t="s">
        <v>913</v>
      </c>
      <c r="I4084" s="794">
        <v>1.0359362469795604E-3</v>
      </c>
      <c r="J4084" s="794">
        <v>1.2153072460905154</v>
      </c>
      <c r="K4084" s="771"/>
    </row>
    <row r="4085" spans="1:11" ht="18.75" customHeight="1" outlineLevel="2">
      <c r="A4085" s="791" t="s">
        <v>776</v>
      </c>
      <c r="B4085" s="791" t="s">
        <v>1041</v>
      </c>
      <c r="C4085" s="791" t="s">
        <v>778</v>
      </c>
      <c r="D4085" s="792" t="s">
        <v>779</v>
      </c>
      <c r="E4085" s="793" t="s">
        <v>763</v>
      </c>
      <c r="F4085" s="793" t="s">
        <v>920</v>
      </c>
      <c r="G4085" s="793" t="s">
        <v>782</v>
      </c>
      <c r="H4085" s="793" t="s">
        <v>913</v>
      </c>
      <c r="I4085" s="794">
        <v>1.1251630889720364E-4</v>
      </c>
      <c r="J4085" s="794">
        <v>2.2385635672209032</v>
      </c>
      <c r="K4085" s="771"/>
    </row>
    <row r="4086" spans="1:11" ht="18.75" customHeight="1" outlineLevel="2">
      <c r="A4086" s="791" t="s">
        <v>776</v>
      </c>
      <c r="B4086" s="791" t="s">
        <v>1041</v>
      </c>
      <c r="C4086" s="791" t="s">
        <v>778</v>
      </c>
      <c r="D4086" s="792" t="s">
        <v>779</v>
      </c>
      <c r="E4086" s="793" t="s">
        <v>763</v>
      </c>
      <c r="F4086" s="793" t="s">
        <v>921</v>
      </c>
      <c r="G4086" s="793" t="s">
        <v>782</v>
      </c>
      <c r="H4086" s="793" t="s">
        <v>913</v>
      </c>
      <c r="I4086" s="794">
        <v>5.2221683302896638E-4</v>
      </c>
      <c r="J4086" s="794">
        <v>0.91214186675406406</v>
      </c>
      <c r="K4086" s="771"/>
    </row>
    <row r="4087" spans="1:11" ht="18.75" customHeight="1" outlineLevel="2">
      <c r="A4087" s="791" t="s">
        <v>776</v>
      </c>
      <c r="B4087" s="791" t="s">
        <v>1041</v>
      </c>
      <c r="C4087" s="791" t="s">
        <v>778</v>
      </c>
      <c r="D4087" s="792" t="s">
        <v>779</v>
      </c>
      <c r="E4087" s="793" t="s">
        <v>763</v>
      </c>
      <c r="F4087" s="793" t="s">
        <v>922</v>
      </c>
      <c r="G4087" s="793" t="s">
        <v>782</v>
      </c>
      <c r="H4087" s="793" t="s">
        <v>913</v>
      </c>
      <c r="I4087" s="794">
        <v>7.8065398955267794E-5</v>
      </c>
      <c r="J4087" s="794">
        <v>0.14950003326520189</v>
      </c>
      <c r="K4087" s="771"/>
    </row>
    <row r="4088" spans="1:11" ht="18.75" customHeight="1" outlineLevel="2">
      <c r="A4088" s="791" t="s">
        <v>776</v>
      </c>
      <c r="B4088" s="791" t="s">
        <v>1041</v>
      </c>
      <c r="C4088" s="791" t="s">
        <v>778</v>
      </c>
      <c r="D4088" s="792" t="s">
        <v>779</v>
      </c>
      <c r="E4088" s="793" t="s">
        <v>763</v>
      </c>
      <c r="F4088" s="793" t="s">
        <v>923</v>
      </c>
      <c r="G4088" s="793" t="s">
        <v>782</v>
      </c>
      <c r="H4088" s="793" t="s">
        <v>913</v>
      </c>
      <c r="I4088" s="794">
        <v>4.278382617022966E-4</v>
      </c>
      <c r="J4088" s="794">
        <v>1.5545399085641021</v>
      </c>
      <c r="K4088" s="771"/>
    </row>
    <row r="4089" spans="1:11" ht="18.75" customHeight="1" outlineLevel="2">
      <c r="A4089" s="791" t="s">
        <v>776</v>
      </c>
      <c r="B4089" s="791" t="s">
        <v>1041</v>
      </c>
      <c r="C4089" s="791" t="s">
        <v>778</v>
      </c>
      <c r="D4089" s="792" t="s">
        <v>779</v>
      </c>
      <c r="E4089" s="793" t="s">
        <v>763</v>
      </c>
      <c r="F4089" s="793" t="s">
        <v>924</v>
      </c>
      <c r="G4089" s="793" t="s">
        <v>782</v>
      </c>
      <c r="H4089" s="793" t="s">
        <v>913</v>
      </c>
      <c r="I4089" s="794">
        <v>3.524690938526874E-4</v>
      </c>
      <c r="J4089" s="794">
        <v>3.7538737210661086</v>
      </c>
      <c r="K4089" s="771"/>
    </row>
    <row r="4090" spans="1:11" ht="18.75" customHeight="1" outlineLevel="2">
      <c r="A4090" s="791" t="s">
        <v>776</v>
      </c>
      <c r="B4090" s="791" t="s">
        <v>1041</v>
      </c>
      <c r="C4090" s="791" t="s">
        <v>778</v>
      </c>
      <c r="D4090" s="792" t="s">
        <v>779</v>
      </c>
      <c r="E4090" s="793" t="s">
        <v>763</v>
      </c>
      <c r="F4090" s="793" t="s">
        <v>925</v>
      </c>
      <c r="G4090" s="793" t="s">
        <v>782</v>
      </c>
      <c r="H4090" s="793" t="s">
        <v>913</v>
      </c>
      <c r="I4090" s="794">
        <v>2.4801310532090841E-5</v>
      </c>
      <c r="J4090" s="794">
        <v>0.39495652639606621</v>
      </c>
      <c r="K4090" s="771"/>
    </row>
    <row r="4091" spans="1:11" ht="18.75" customHeight="1" outlineLevel="2">
      <c r="A4091" s="791" t="s">
        <v>776</v>
      </c>
      <c r="B4091" s="791" t="s">
        <v>1041</v>
      </c>
      <c r="C4091" s="791" t="s">
        <v>778</v>
      </c>
      <c r="D4091" s="792" t="s">
        <v>779</v>
      </c>
      <c r="E4091" s="793" t="s">
        <v>763</v>
      </c>
      <c r="F4091" s="793" t="s">
        <v>926</v>
      </c>
      <c r="G4091" s="793" t="s">
        <v>782</v>
      </c>
      <c r="H4091" s="793" t="s">
        <v>913</v>
      </c>
      <c r="I4091" s="794">
        <v>1.8392577866521772E-3</v>
      </c>
      <c r="J4091" s="794">
        <v>3.3812982905776647</v>
      </c>
      <c r="K4091" s="771"/>
    </row>
    <row r="4092" spans="1:11" ht="18.75" customHeight="1" outlineLevel="2">
      <c r="A4092" s="791" t="s">
        <v>776</v>
      </c>
      <c r="B4092" s="791" t="s">
        <v>1041</v>
      </c>
      <c r="C4092" s="791" t="s">
        <v>778</v>
      </c>
      <c r="D4092" s="792" t="s">
        <v>779</v>
      </c>
      <c r="E4092" s="793" t="s">
        <v>763</v>
      </c>
      <c r="F4092" s="793" t="s">
        <v>927</v>
      </c>
      <c r="G4092" s="793" t="s">
        <v>782</v>
      </c>
      <c r="H4092" s="793" t="s">
        <v>913</v>
      </c>
      <c r="I4092" s="794">
        <v>1.0252005431710394E-3</v>
      </c>
      <c r="J4092" s="794">
        <v>1.4190369042496358</v>
      </c>
      <c r="K4092" s="771"/>
    </row>
    <row r="4093" spans="1:11" ht="18.75" customHeight="1" outlineLevel="2">
      <c r="A4093" s="791" t="s">
        <v>776</v>
      </c>
      <c r="B4093" s="791" t="s">
        <v>1041</v>
      </c>
      <c r="C4093" s="791" t="s">
        <v>778</v>
      </c>
      <c r="D4093" s="792" t="s">
        <v>779</v>
      </c>
      <c r="E4093" s="793" t="s">
        <v>763</v>
      </c>
      <c r="F4093" s="793" t="s">
        <v>928</v>
      </c>
      <c r="G4093" s="793" t="s">
        <v>785</v>
      </c>
      <c r="H4093" s="793" t="s">
        <v>913</v>
      </c>
      <c r="I4093" s="794">
        <v>8.4020724001868177E-3</v>
      </c>
      <c r="J4093" s="794">
        <v>25.864849551677938</v>
      </c>
      <c r="K4093" s="771"/>
    </row>
    <row r="4094" spans="1:11" ht="18.75" customHeight="1" outlineLevel="2">
      <c r="A4094" s="791" t="s">
        <v>776</v>
      </c>
      <c r="B4094" s="791" t="s">
        <v>1041</v>
      </c>
      <c r="C4094" s="791" t="s">
        <v>778</v>
      </c>
      <c r="D4094" s="792" t="s">
        <v>779</v>
      </c>
      <c r="E4094" s="793" t="s">
        <v>763</v>
      </c>
      <c r="F4094" s="793" t="s">
        <v>929</v>
      </c>
      <c r="G4094" s="793" t="s">
        <v>785</v>
      </c>
      <c r="H4094" s="793" t="s">
        <v>913</v>
      </c>
      <c r="I4094" s="794">
        <v>0.1670387817871567</v>
      </c>
      <c r="J4094" s="794">
        <v>2352.6914328834023</v>
      </c>
      <c r="K4094" s="771"/>
    </row>
    <row r="4095" spans="1:11" ht="18.75" customHeight="1" outlineLevel="2">
      <c r="A4095" s="791" t="s">
        <v>776</v>
      </c>
      <c r="B4095" s="791" t="s">
        <v>1041</v>
      </c>
      <c r="C4095" s="791" t="s">
        <v>778</v>
      </c>
      <c r="D4095" s="792" t="s">
        <v>779</v>
      </c>
      <c r="E4095" s="793" t="s">
        <v>763</v>
      </c>
      <c r="F4095" s="793" t="s">
        <v>930</v>
      </c>
      <c r="G4095" s="793" t="s">
        <v>785</v>
      </c>
      <c r="H4095" s="793" t="s">
        <v>913</v>
      </c>
      <c r="I4095" s="794">
        <v>9.9446604695512279E-4</v>
      </c>
      <c r="J4095" s="794">
        <v>17.526640640235371</v>
      </c>
      <c r="K4095" s="771"/>
    </row>
    <row r="4096" spans="1:11" ht="18.75" customHeight="1" outlineLevel="2">
      <c r="A4096" s="791" t="s">
        <v>776</v>
      </c>
      <c r="B4096" s="791" t="s">
        <v>1041</v>
      </c>
      <c r="C4096" s="791" t="s">
        <v>778</v>
      </c>
      <c r="D4096" s="792" t="s">
        <v>779</v>
      </c>
      <c r="E4096" s="793" t="s">
        <v>763</v>
      </c>
      <c r="F4096" s="793" t="s">
        <v>931</v>
      </c>
      <c r="G4096" s="793" t="s">
        <v>785</v>
      </c>
      <c r="H4096" s="793" t="s">
        <v>913</v>
      </c>
      <c r="I4096" s="794">
        <v>3.3266856035353586E-4</v>
      </c>
      <c r="J4096" s="794">
        <v>5.5285288731792619</v>
      </c>
      <c r="K4096" s="771"/>
    </row>
    <row r="4097" spans="1:11" ht="18.75" customHeight="1" outlineLevel="2">
      <c r="A4097" s="791" t="s">
        <v>776</v>
      </c>
      <c r="B4097" s="791" t="s">
        <v>1041</v>
      </c>
      <c r="C4097" s="791" t="s">
        <v>778</v>
      </c>
      <c r="D4097" s="792" t="s">
        <v>779</v>
      </c>
      <c r="E4097" s="793" t="s">
        <v>763</v>
      </c>
      <c r="F4097" s="793" t="s">
        <v>932</v>
      </c>
      <c r="G4097" s="793" t="s">
        <v>785</v>
      </c>
      <c r="H4097" s="793" t="s">
        <v>913</v>
      </c>
      <c r="I4097" s="794">
        <v>3.5520732286293963E-4</v>
      </c>
      <c r="J4097" s="794">
        <v>1.3653817121890273</v>
      </c>
      <c r="K4097" s="771"/>
    </row>
    <row r="4098" spans="1:11" ht="18.75" customHeight="1" outlineLevel="2">
      <c r="A4098" s="791" t="s">
        <v>776</v>
      </c>
      <c r="B4098" s="791" t="s">
        <v>1041</v>
      </c>
      <c r="C4098" s="791" t="s">
        <v>778</v>
      </c>
      <c r="D4098" s="792" t="s">
        <v>779</v>
      </c>
      <c r="E4098" s="793" t="s">
        <v>763</v>
      </c>
      <c r="F4098" s="793" t="s">
        <v>933</v>
      </c>
      <c r="G4098" s="793" t="s">
        <v>785</v>
      </c>
      <c r="H4098" s="793" t="s">
        <v>913</v>
      </c>
      <c r="I4098" s="794">
        <v>4.9857711795535734E-4</v>
      </c>
      <c r="J4098" s="794">
        <v>10.858570613075685</v>
      </c>
      <c r="K4098" s="771"/>
    </row>
    <row r="4099" spans="1:11" ht="18.75" customHeight="1" outlineLevel="2">
      <c r="A4099" s="791" t="s">
        <v>776</v>
      </c>
      <c r="B4099" s="791" t="s">
        <v>1041</v>
      </c>
      <c r="C4099" s="791" t="s">
        <v>778</v>
      </c>
      <c r="D4099" s="792" t="s">
        <v>779</v>
      </c>
      <c r="E4099" s="793" t="s">
        <v>763</v>
      </c>
      <c r="F4099" s="793" t="s">
        <v>934</v>
      </c>
      <c r="G4099" s="793" t="s">
        <v>813</v>
      </c>
      <c r="H4099" s="793" t="s">
        <v>913</v>
      </c>
      <c r="I4099" s="794">
        <v>3.3460047064191038E-3</v>
      </c>
      <c r="J4099" s="794">
        <v>50.70635334991205</v>
      </c>
      <c r="K4099" s="771"/>
    </row>
    <row r="4100" spans="1:11" ht="18.75" customHeight="1" outlineLevel="2">
      <c r="A4100" s="791" t="s">
        <v>776</v>
      </c>
      <c r="B4100" s="791" t="s">
        <v>1041</v>
      </c>
      <c r="C4100" s="791" t="s">
        <v>778</v>
      </c>
      <c r="D4100" s="792" t="s">
        <v>779</v>
      </c>
      <c r="E4100" s="793" t="s">
        <v>763</v>
      </c>
      <c r="F4100" s="793" t="s">
        <v>935</v>
      </c>
      <c r="G4100" s="793" t="s">
        <v>791</v>
      </c>
      <c r="H4100" s="793" t="s">
        <v>913</v>
      </c>
      <c r="I4100" s="794">
        <v>4.3891751235874347E-5</v>
      </c>
      <c r="J4100" s="794">
        <v>5.5307202103767932E-2</v>
      </c>
      <c r="K4100" s="771"/>
    </row>
    <row r="4101" spans="1:11" ht="18.75" customHeight="1" outlineLevel="2">
      <c r="A4101" s="791" t="s">
        <v>776</v>
      </c>
      <c r="B4101" s="791" t="s">
        <v>1041</v>
      </c>
      <c r="C4101" s="791" t="s">
        <v>778</v>
      </c>
      <c r="D4101" s="792" t="s">
        <v>779</v>
      </c>
      <c r="E4101" s="793" t="s">
        <v>763</v>
      </c>
      <c r="F4101" s="793" t="s">
        <v>936</v>
      </c>
      <c r="G4101" s="793" t="s">
        <v>791</v>
      </c>
      <c r="H4101" s="793" t="s">
        <v>913</v>
      </c>
      <c r="I4101" s="794">
        <v>6.3595106469513761E-6</v>
      </c>
      <c r="J4101" s="794">
        <v>0.1077228956899622</v>
      </c>
      <c r="K4101" s="771"/>
    </row>
    <row r="4102" spans="1:11" ht="18.75" customHeight="1" outlineLevel="2">
      <c r="A4102" s="791" t="s">
        <v>776</v>
      </c>
      <c r="B4102" s="791" t="s">
        <v>1041</v>
      </c>
      <c r="C4102" s="791" t="s">
        <v>778</v>
      </c>
      <c r="D4102" s="792" t="s">
        <v>779</v>
      </c>
      <c r="E4102" s="793" t="s">
        <v>763</v>
      </c>
      <c r="F4102" s="793" t="s">
        <v>937</v>
      </c>
      <c r="G4102" s="793" t="s">
        <v>794</v>
      </c>
      <c r="H4102" s="793" t="s">
        <v>913</v>
      </c>
      <c r="I4102" s="794">
        <v>2.3587093525132993E-2</v>
      </c>
      <c r="J4102" s="794">
        <v>57.913930717067444</v>
      </c>
      <c r="K4102" s="771"/>
    </row>
    <row r="4103" spans="1:11" ht="18.75" customHeight="1" outlineLevel="2">
      <c r="A4103" s="791" t="s">
        <v>776</v>
      </c>
      <c r="B4103" s="791" t="s">
        <v>1041</v>
      </c>
      <c r="C4103" s="791" t="s">
        <v>778</v>
      </c>
      <c r="D4103" s="792" t="s">
        <v>779</v>
      </c>
      <c r="E4103" s="793" t="s">
        <v>763</v>
      </c>
      <c r="F4103" s="793" t="s">
        <v>938</v>
      </c>
      <c r="G4103" s="793" t="s">
        <v>794</v>
      </c>
      <c r="H4103" s="793" t="s">
        <v>913</v>
      </c>
      <c r="I4103" s="794">
        <v>2.7754067491865351E-3</v>
      </c>
      <c r="J4103" s="794">
        <v>12.676632843690859</v>
      </c>
      <c r="K4103" s="771"/>
    </row>
    <row r="4104" spans="1:11" ht="18.75" customHeight="1" outlineLevel="2">
      <c r="A4104" s="791" t="s">
        <v>776</v>
      </c>
      <c r="B4104" s="791" t="s">
        <v>1041</v>
      </c>
      <c r="C4104" s="791" t="s">
        <v>778</v>
      </c>
      <c r="D4104" s="792" t="s">
        <v>779</v>
      </c>
      <c r="E4104" s="793" t="s">
        <v>763</v>
      </c>
      <c r="F4104" s="793" t="s">
        <v>939</v>
      </c>
      <c r="G4104" s="793" t="s">
        <v>794</v>
      </c>
      <c r="H4104" s="793" t="s">
        <v>913</v>
      </c>
      <c r="I4104" s="794">
        <v>1.4471217935876663E-3</v>
      </c>
      <c r="J4104" s="794">
        <v>14.802168979700037</v>
      </c>
      <c r="K4104" s="771"/>
    </row>
    <row r="4105" spans="1:11" ht="18.75" customHeight="1" outlineLevel="2">
      <c r="A4105" s="791" t="s">
        <v>776</v>
      </c>
      <c r="B4105" s="791" t="s">
        <v>1041</v>
      </c>
      <c r="C4105" s="791" t="s">
        <v>778</v>
      </c>
      <c r="D4105" s="792" t="s">
        <v>779</v>
      </c>
      <c r="E4105" s="793" t="s">
        <v>763</v>
      </c>
      <c r="F4105" s="793" t="s">
        <v>940</v>
      </c>
      <c r="G4105" s="793" t="s">
        <v>794</v>
      </c>
      <c r="H4105" s="793" t="s">
        <v>913</v>
      </c>
      <c r="I4105" s="794">
        <v>2.3957006603997789E-3</v>
      </c>
      <c r="J4105" s="794">
        <v>18.396936143533768</v>
      </c>
      <c r="K4105" s="771"/>
    </row>
    <row r="4106" spans="1:11" ht="18.75" customHeight="1" outlineLevel="2">
      <c r="A4106" s="791" t="s">
        <v>776</v>
      </c>
      <c r="B4106" s="791" t="s">
        <v>1041</v>
      </c>
      <c r="C4106" s="791" t="s">
        <v>778</v>
      </c>
      <c r="D4106" s="792" t="s">
        <v>779</v>
      </c>
      <c r="E4106" s="793" t="s">
        <v>763</v>
      </c>
      <c r="F4106" s="793" t="s">
        <v>941</v>
      </c>
      <c r="G4106" s="793" t="s">
        <v>794</v>
      </c>
      <c r="H4106" s="793" t="s">
        <v>913</v>
      </c>
      <c r="I4106" s="794">
        <v>8.2929937620462762E-5</v>
      </c>
      <c r="J4106" s="794">
        <v>0.25020849481421564</v>
      </c>
      <c r="K4106" s="771"/>
    </row>
    <row r="4107" spans="1:11" ht="18.75" customHeight="1" outlineLevel="2">
      <c r="A4107" s="791" t="s">
        <v>776</v>
      </c>
      <c r="B4107" s="791" t="s">
        <v>1041</v>
      </c>
      <c r="C4107" s="791" t="s">
        <v>778</v>
      </c>
      <c r="D4107" s="792" t="s">
        <v>779</v>
      </c>
      <c r="E4107" s="793" t="s">
        <v>763</v>
      </c>
      <c r="F4107" s="793" t="s">
        <v>942</v>
      </c>
      <c r="G4107" s="793" t="s">
        <v>794</v>
      </c>
      <c r="H4107" s="793" t="s">
        <v>913</v>
      </c>
      <c r="I4107" s="794">
        <v>1.9658373782041337E-5</v>
      </c>
      <c r="J4107" s="794">
        <v>0.22716767288350187</v>
      </c>
      <c r="K4107" s="771"/>
    </row>
    <row r="4108" spans="1:11" ht="18.75" customHeight="1" outlineLevel="2">
      <c r="A4108" s="791" t="s">
        <v>776</v>
      </c>
      <c r="B4108" s="791" t="s">
        <v>1041</v>
      </c>
      <c r="C4108" s="791" t="s">
        <v>778</v>
      </c>
      <c r="D4108" s="792" t="s">
        <v>779</v>
      </c>
      <c r="E4108" s="793" t="s">
        <v>764</v>
      </c>
      <c r="F4108" s="793" t="s">
        <v>945</v>
      </c>
      <c r="G4108" s="793" t="s">
        <v>244</v>
      </c>
      <c r="H4108" s="793" t="s">
        <v>905</v>
      </c>
      <c r="I4108" s="794">
        <v>0.12969920859319925</v>
      </c>
      <c r="J4108" s="794">
        <v>4667.9764064387246</v>
      </c>
      <c r="K4108" s="771"/>
    </row>
    <row r="4109" spans="1:11" ht="18.75" customHeight="1" outlineLevel="2">
      <c r="A4109" s="791" t="s">
        <v>776</v>
      </c>
      <c r="B4109" s="791" t="s">
        <v>1041</v>
      </c>
      <c r="C4109" s="791" t="s">
        <v>778</v>
      </c>
      <c r="D4109" s="792" t="s">
        <v>779</v>
      </c>
      <c r="E4109" s="793" t="s">
        <v>764</v>
      </c>
      <c r="F4109" s="793" t="s">
        <v>946</v>
      </c>
      <c r="G4109" s="793" t="s">
        <v>244</v>
      </c>
      <c r="H4109" s="793" t="s">
        <v>905</v>
      </c>
      <c r="I4109" s="794">
        <v>8.8859360437559907E-4</v>
      </c>
      <c r="J4109" s="794">
        <v>16.856115551018192</v>
      </c>
      <c r="K4109" s="771"/>
    </row>
    <row r="4110" spans="1:11" ht="18.75" customHeight="1" outlineLevel="2">
      <c r="A4110" s="791" t="s">
        <v>776</v>
      </c>
      <c r="B4110" s="791" t="s">
        <v>1041</v>
      </c>
      <c r="C4110" s="791" t="s">
        <v>778</v>
      </c>
      <c r="D4110" s="792" t="s">
        <v>779</v>
      </c>
      <c r="E4110" s="793" t="s">
        <v>947</v>
      </c>
      <c r="F4110" s="793" t="s">
        <v>949</v>
      </c>
      <c r="G4110" s="793" t="s">
        <v>782</v>
      </c>
      <c r="H4110" s="793" t="s">
        <v>804</v>
      </c>
      <c r="I4110" s="794">
        <v>1.604442271783444E-3</v>
      </c>
      <c r="J4110" s="794">
        <v>93.571745685277648</v>
      </c>
      <c r="K4110" s="771"/>
    </row>
    <row r="4111" spans="1:11" ht="18.75" customHeight="1" outlineLevel="2">
      <c r="A4111" s="791" t="s">
        <v>776</v>
      </c>
      <c r="B4111" s="791" t="s">
        <v>1041</v>
      </c>
      <c r="C4111" s="791" t="s">
        <v>778</v>
      </c>
      <c r="D4111" s="792" t="s">
        <v>779</v>
      </c>
      <c r="E4111" s="793" t="s">
        <v>947</v>
      </c>
      <c r="F4111" s="793" t="s">
        <v>950</v>
      </c>
      <c r="G4111" s="793" t="s">
        <v>782</v>
      </c>
      <c r="H4111" s="793" t="s">
        <v>804</v>
      </c>
      <c r="I4111" s="794">
        <v>1.3795470866386058E-5</v>
      </c>
      <c r="J4111" s="794">
        <v>0.15237957746578706</v>
      </c>
      <c r="K4111" s="771"/>
    </row>
    <row r="4112" spans="1:11" ht="18.75" customHeight="1" outlineLevel="2">
      <c r="A4112" s="791" t="s">
        <v>776</v>
      </c>
      <c r="B4112" s="791" t="s">
        <v>1041</v>
      </c>
      <c r="C4112" s="791" t="s">
        <v>778</v>
      </c>
      <c r="D4112" s="792" t="s">
        <v>779</v>
      </c>
      <c r="E4112" s="793" t="s">
        <v>947</v>
      </c>
      <c r="F4112" s="793" t="s">
        <v>951</v>
      </c>
      <c r="G4112" s="793" t="s">
        <v>782</v>
      </c>
      <c r="H4112" s="793" t="s">
        <v>804</v>
      </c>
      <c r="I4112" s="794">
        <v>2.0006976995486336E-4</v>
      </c>
      <c r="J4112" s="794">
        <v>2.5101071947400659</v>
      </c>
      <c r="K4112" s="771"/>
    </row>
    <row r="4113" spans="1:11" ht="18.75" customHeight="1" outlineLevel="2">
      <c r="A4113" s="791" t="s">
        <v>776</v>
      </c>
      <c r="B4113" s="791" t="s">
        <v>1041</v>
      </c>
      <c r="C4113" s="791" t="s">
        <v>778</v>
      </c>
      <c r="D4113" s="792" t="s">
        <v>779</v>
      </c>
      <c r="E4113" s="793" t="s">
        <v>947</v>
      </c>
      <c r="F4113" s="793" t="s">
        <v>952</v>
      </c>
      <c r="G4113" s="793" t="s">
        <v>782</v>
      </c>
      <c r="H4113" s="793" t="s">
        <v>804</v>
      </c>
      <c r="I4113" s="794">
        <v>4.5688014516172435E-3</v>
      </c>
      <c r="J4113" s="794">
        <v>234.22420504729521</v>
      </c>
      <c r="K4113" s="771"/>
    </row>
    <row r="4114" spans="1:11" ht="18.75" customHeight="1" outlineLevel="2">
      <c r="A4114" s="791" t="s">
        <v>776</v>
      </c>
      <c r="B4114" s="791" t="s">
        <v>1041</v>
      </c>
      <c r="C4114" s="791" t="s">
        <v>778</v>
      </c>
      <c r="D4114" s="792" t="s">
        <v>779</v>
      </c>
      <c r="E4114" s="793" t="s">
        <v>947</v>
      </c>
      <c r="F4114" s="793" t="s">
        <v>953</v>
      </c>
      <c r="G4114" s="793" t="s">
        <v>782</v>
      </c>
      <c r="H4114" s="793" t="s">
        <v>804</v>
      </c>
      <c r="I4114" s="794">
        <v>3.4683005766882797E-3</v>
      </c>
      <c r="J4114" s="794">
        <v>254.85182522117739</v>
      </c>
      <c r="K4114" s="771"/>
    </row>
    <row r="4115" spans="1:11" ht="18.75" customHeight="1" outlineLevel="2">
      <c r="A4115" s="791" t="s">
        <v>776</v>
      </c>
      <c r="B4115" s="791" t="s">
        <v>1041</v>
      </c>
      <c r="C4115" s="791" t="s">
        <v>778</v>
      </c>
      <c r="D4115" s="792" t="s">
        <v>779</v>
      </c>
      <c r="E4115" s="793" t="s">
        <v>947</v>
      </c>
      <c r="F4115" s="793" t="s">
        <v>954</v>
      </c>
      <c r="G4115" s="793" t="s">
        <v>782</v>
      </c>
      <c r="H4115" s="793" t="s">
        <v>804</v>
      </c>
      <c r="I4115" s="794">
        <v>3.9184548979205515E-4</v>
      </c>
      <c r="J4115" s="794">
        <v>14.072442102699023</v>
      </c>
      <c r="K4115" s="771"/>
    </row>
    <row r="4116" spans="1:11" ht="18.75" customHeight="1" outlineLevel="2">
      <c r="A4116" s="791" t="s">
        <v>776</v>
      </c>
      <c r="B4116" s="791" t="s">
        <v>1041</v>
      </c>
      <c r="C4116" s="791" t="s">
        <v>778</v>
      </c>
      <c r="D4116" s="792" t="s">
        <v>779</v>
      </c>
      <c r="E4116" s="793" t="s">
        <v>947</v>
      </c>
      <c r="F4116" s="793" t="s">
        <v>955</v>
      </c>
      <c r="G4116" s="793" t="s">
        <v>782</v>
      </c>
      <c r="H4116" s="793" t="s">
        <v>804</v>
      </c>
      <c r="I4116" s="794">
        <v>2.0841908669675028E-4</v>
      </c>
      <c r="J4116" s="794">
        <v>9.5827248637929969</v>
      </c>
      <c r="K4116" s="771"/>
    </row>
    <row r="4117" spans="1:11" ht="18.75" customHeight="1" outlineLevel="2">
      <c r="A4117" s="791" t="s">
        <v>776</v>
      </c>
      <c r="B4117" s="791" t="s">
        <v>1041</v>
      </c>
      <c r="C4117" s="791" t="s">
        <v>778</v>
      </c>
      <c r="D4117" s="792" t="s">
        <v>779</v>
      </c>
      <c r="E4117" s="793" t="s">
        <v>947</v>
      </c>
      <c r="F4117" s="793" t="s">
        <v>956</v>
      </c>
      <c r="G4117" s="793" t="s">
        <v>782</v>
      </c>
      <c r="H4117" s="793" t="s">
        <v>804</v>
      </c>
      <c r="I4117" s="794">
        <v>1.1077395600085492E-3</v>
      </c>
      <c r="J4117" s="794">
        <v>26.315091670858219</v>
      </c>
      <c r="K4117" s="771"/>
    </row>
    <row r="4118" spans="1:11" ht="18.75" customHeight="1" outlineLevel="2">
      <c r="A4118" s="791" t="s">
        <v>776</v>
      </c>
      <c r="B4118" s="791" t="s">
        <v>1041</v>
      </c>
      <c r="C4118" s="791" t="s">
        <v>778</v>
      </c>
      <c r="D4118" s="792" t="s">
        <v>779</v>
      </c>
      <c r="E4118" s="793" t="s">
        <v>947</v>
      </c>
      <c r="F4118" s="793" t="s">
        <v>957</v>
      </c>
      <c r="G4118" s="793" t="s">
        <v>782</v>
      </c>
      <c r="H4118" s="793" t="s">
        <v>804</v>
      </c>
      <c r="I4118" s="794">
        <v>3.175572133606276E-3</v>
      </c>
      <c r="J4118" s="794">
        <v>112.60924058134</v>
      </c>
      <c r="K4118" s="771"/>
    </row>
    <row r="4119" spans="1:11" ht="18.75" customHeight="1" outlineLevel="2">
      <c r="A4119" s="791" t="s">
        <v>776</v>
      </c>
      <c r="B4119" s="791" t="s">
        <v>1041</v>
      </c>
      <c r="C4119" s="791" t="s">
        <v>778</v>
      </c>
      <c r="D4119" s="792" t="s">
        <v>779</v>
      </c>
      <c r="E4119" s="793" t="s">
        <v>947</v>
      </c>
      <c r="F4119" s="793" t="s">
        <v>958</v>
      </c>
      <c r="G4119" s="793" t="s">
        <v>782</v>
      </c>
      <c r="H4119" s="793" t="s">
        <v>804</v>
      </c>
      <c r="I4119" s="794">
        <v>2.245025020961714E-3</v>
      </c>
      <c r="J4119" s="794">
        <v>123.63796463509658</v>
      </c>
      <c r="K4119" s="771"/>
    </row>
    <row r="4120" spans="1:11" ht="18.75" customHeight="1" outlineLevel="2">
      <c r="A4120" s="791" t="s">
        <v>776</v>
      </c>
      <c r="B4120" s="791" t="s">
        <v>1041</v>
      </c>
      <c r="C4120" s="791" t="s">
        <v>778</v>
      </c>
      <c r="D4120" s="792" t="s">
        <v>779</v>
      </c>
      <c r="E4120" s="793" t="s">
        <v>947</v>
      </c>
      <c r="F4120" s="793" t="s">
        <v>959</v>
      </c>
      <c r="G4120" s="793" t="s">
        <v>782</v>
      </c>
      <c r="H4120" s="793" t="s">
        <v>804</v>
      </c>
      <c r="I4120" s="794">
        <v>1.230826879824512E-2</v>
      </c>
      <c r="J4120" s="794">
        <v>949.35111605282736</v>
      </c>
      <c r="K4120" s="771"/>
    </row>
    <row r="4121" spans="1:11" ht="18.75" customHeight="1" outlineLevel="2">
      <c r="A4121" s="791" t="s">
        <v>776</v>
      </c>
      <c r="B4121" s="791" t="s">
        <v>1041</v>
      </c>
      <c r="C4121" s="791" t="s">
        <v>778</v>
      </c>
      <c r="D4121" s="792" t="s">
        <v>779</v>
      </c>
      <c r="E4121" s="793" t="s">
        <v>947</v>
      </c>
      <c r="F4121" s="793" t="s">
        <v>960</v>
      </c>
      <c r="G4121" s="793" t="s">
        <v>782</v>
      </c>
      <c r="H4121" s="793" t="s">
        <v>804</v>
      </c>
      <c r="I4121" s="794">
        <v>2.6032914411699683E-4</v>
      </c>
      <c r="J4121" s="794">
        <v>7.8939673387507012</v>
      </c>
      <c r="K4121" s="771"/>
    </row>
    <row r="4122" spans="1:11" ht="18.75" customHeight="1" outlineLevel="2">
      <c r="A4122" s="791" t="s">
        <v>776</v>
      </c>
      <c r="B4122" s="791" t="s">
        <v>1041</v>
      </c>
      <c r="C4122" s="791" t="s">
        <v>778</v>
      </c>
      <c r="D4122" s="792" t="s">
        <v>779</v>
      </c>
      <c r="E4122" s="793" t="s">
        <v>947</v>
      </c>
      <c r="F4122" s="793" t="s">
        <v>961</v>
      </c>
      <c r="G4122" s="793" t="s">
        <v>782</v>
      </c>
      <c r="H4122" s="793" t="s">
        <v>804</v>
      </c>
      <c r="I4122" s="794">
        <v>1.0252046578439547E-4</v>
      </c>
      <c r="J4122" s="794">
        <v>4.8334932555321704</v>
      </c>
      <c r="K4122" s="771"/>
    </row>
    <row r="4123" spans="1:11" ht="18.75" customHeight="1" outlineLevel="2">
      <c r="A4123" s="791" t="s">
        <v>776</v>
      </c>
      <c r="B4123" s="791" t="s">
        <v>1041</v>
      </c>
      <c r="C4123" s="791" t="s">
        <v>778</v>
      </c>
      <c r="D4123" s="792" t="s">
        <v>779</v>
      </c>
      <c r="E4123" s="793" t="s">
        <v>947</v>
      </c>
      <c r="F4123" s="793" t="s">
        <v>962</v>
      </c>
      <c r="G4123" s="793" t="s">
        <v>782</v>
      </c>
      <c r="H4123" s="793" t="s">
        <v>804</v>
      </c>
      <c r="I4123" s="794">
        <v>3.6319785440527704E-3</v>
      </c>
      <c r="J4123" s="794">
        <v>216.99731818407116</v>
      </c>
      <c r="K4123" s="771"/>
    </row>
    <row r="4124" spans="1:11" ht="18.75" customHeight="1" outlineLevel="2">
      <c r="A4124" s="791" t="s">
        <v>776</v>
      </c>
      <c r="B4124" s="791" t="s">
        <v>1041</v>
      </c>
      <c r="C4124" s="791" t="s">
        <v>778</v>
      </c>
      <c r="D4124" s="792" t="s">
        <v>779</v>
      </c>
      <c r="E4124" s="793" t="s">
        <v>947</v>
      </c>
      <c r="F4124" s="793" t="s">
        <v>963</v>
      </c>
      <c r="G4124" s="793" t="s">
        <v>782</v>
      </c>
      <c r="H4124" s="793" t="s">
        <v>804</v>
      </c>
      <c r="I4124" s="794">
        <v>3.1224630453110251E-3</v>
      </c>
      <c r="J4124" s="794">
        <v>236.20437154035923</v>
      </c>
      <c r="K4124" s="771"/>
    </row>
    <row r="4125" spans="1:11" ht="18.75" customHeight="1" outlineLevel="2">
      <c r="A4125" s="791" t="s">
        <v>776</v>
      </c>
      <c r="B4125" s="791" t="s">
        <v>1041</v>
      </c>
      <c r="C4125" s="791" t="s">
        <v>778</v>
      </c>
      <c r="D4125" s="792" t="s">
        <v>779</v>
      </c>
      <c r="E4125" s="793" t="s">
        <v>947</v>
      </c>
      <c r="F4125" s="793" t="s">
        <v>964</v>
      </c>
      <c r="G4125" s="793" t="s">
        <v>782</v>
      </c>
      <c r="H4125" s="793" t="s">
        <v>804</v>
      </c>
      <c r="I4125" s="794">
        <v>1.1400409293625988E-2</v>
      </c>
      <c r="J4125" s="794">
        <v>812.50955666465086</v>
      </c>
      <c r="K4125" s="771"/>
    </row>
    <row r="4126" spans="1:11" ht="18.75" customHeight="1" outlineLevel="2">
      <c r="A4126" s="791" t="s">
        <v>776</v>
      </c>
      <c r="B4126" s="791" t="s">
        <v>1041</v>
      </c>
      <c r="C4126" s="791" t="s">
        <v>778</v>
      </c>
      <c r="D4126" s="792" t="s">
        <v>779</v>
      </c>
      <c r="E4126" s="793" t="s">
        <v>947</v>
      </c>
      <c r="F4126" s="793" t="s">
        <v>965</v>
      </c>
      <c r="G4126" s="793" t="s">
        <v>782</v>
      </c>
      <c r="H4126" s="793" t="s">
        <v>804</v>
      </c>
      <c r="I4126" s="794">
        <v>7.8474835100149527E-4</v>
      </c>
      <c r="J4126" s="794">
        <v>38.20563198505009</v>
      </c>
      <c r="K4126" s="771"/>
    </row>
    <row r="4127" spans="1:11" ht="18.75" customHeight="1" outlineLevel="2">
      <c r="A4127" s="791" t="s">
        <v>776</v>
      </c>
      <c r="B4127" s="791" t="s">
        <v>1041</v>
      </c>
      <c r="C4127" s="791" t="s">
        <v>778</v>
      </c>
      <c r="D4127" s="792" t="s">
        <v>779</v>
      </c>
      <c r="E4127" s="793" t="s">
        <v>947</v>
      </c>
      <c r="F4127" s="793" t="s">
        <v>966</v>
      </c>
      <c r="G4127" s="793" t="s">
        <v>782</v>
      </c>
      <c r="H4127" s="793" t="s">
        <v>804</v>
      </c>
      <c r="I4127" s="794">
        <v>6.5987253575651422E-3</v>
      </c>
      <c r="J4127" s="794">
        <v>303.90519226940228</v>
      </c>
      <c r="K4127" s="771"/>
    </row>
    <row r="4128" spans="1:11" ht="18.75" customHeight="1" outlineLevel="2">
      <c r="A4128" s="791" t="s">
        <v>776</v>
      </c>
      <c r="B4128" s="791" t="s">
        <v>1041</v>
      </c>
      <c r="C4128" s="791" t="s">
        <v>778</v>
      </c>
      <c r="D4128" s="792" t="s">
        <v>779</v>
      </c>
      <c r="E4128" s="793" t="s">
        <v>947</v>
      </c>
      <c r="F4128" s="793" t="s">
        <v>967</v>
      </c>
      <c r="G4128" s="793" t="s">
        <v>782</v>
      </c>
      <c r="H4128" s="793" t="s">
        <v>804</v>
      </c>
      <c r="I4128" s="794">
        <v>1.6122710733957421E-2</v>
      </c>
      <c r="J4128" s="794">
        <v>1033.2197228078189</v>
      </c>
      <c r="K4128" s="771"/>
    </row>
    <row r="4129" spans="1:11" ht="18.75" customHeight="1" outlineLevel="2">
      <c r="A4129" s="791" t="s">
        <v>776</v>
      </c>
      <c r="B4129" s="791" t="s">
        <v>1041</v>
      </c>
      <c r="C4129" s="791" t="s">
        <v>778</v>
      </c>
      <c r="D4129" s="792" t="s">
        <v>779</v>
      </c>
      <c r="E4129" s="793" t="s">
        <v>947</v>
      </c>
      <c r="F4129" s="793" t="s">
        <v>968</v>
      </c>
      <c r="G4129" s="793" t="s">
        <v>782</v>
      </c>
      <c r="H4129" s="793" t="s">
        <v>804</v>
      </c>
      <c r="I4129" s="794">
        <v>3.5312703725989346E-2</v>
      </c>
      <c r="J4129" s="794">
        <v>693.14916474626273</v>
      </c>
      <c r="K4129" s="771"/>
    </row>
    <row r="4130" spans="1:11" ht="18.75" customHeight="1" outlineLevel="2">
      <c r="A4130" s="791" t="s">
        <v>776</v>
      </c>
      <c r="B4130" s="791" t="s">
        <v>1041</v>
      </c>
      <c r="C4130" s="791" t="s">
        <v>778</v>
      </c>
      <c r="D4130" s="792" t="s">
        <v>779</v>
      </c>
      <c r="E4130" s="793" t="s">
        <v>947</v>
      </c>
      <c r="F4130" s="793" t="s">
        <v>969</v>
      </c>
      <c r="G4130" s="793" t="s">
        <v>782</v>
      </c>
      <c r="H4130" s="793" t="s">
        <v>804</v>
      </c>
      <c r="I4130" s="794">
        <v>1.2983643985829072E-2</v>
      </c>
      <c r="J4130" s="794">
        <v>945.17743971484003</v>
      </c>
      <c r="K4130" s="771"/>
    </row>
    <row r="4131" spans="1:11" ht="18.75" customHeight="1" outlineLevel="2">
      <c r="A4131" s="791" t="s">
        <v>776</v>
      </c>
      <c r="B4131" s="791" t="s">
        <v>1041</v>
      </c>
      <c r="C4131" s="791" t="s">
        <v>778</v>
      </c>
      <c r="D4131" s="792" t="s">
        <v>779</v>
      </c>
      <c r="E4131" s="793" t="s">
        <v>947</v>
      </c>
      <c r="F4131" s="793" t="s">
        <v>970</v>
      </c>
      <c r="G4131" s="793" t="s">
        <v>782</v>
      </c>
      <c r="H4131" s="793" t="s">
        <v>804</v>
      </c>
      <c r="I4131" s="794">
        <v>2.364068640212744E-2</v>
      </c>
      <c r="J4131" s="794">
        <v>544.08667594446172</v>
      </c>
      <c r="K4131" s="771"/>
    </row>
    <row r="4132" spans="1:11" ht="18.75" customHeight="1" outlineLevel="2">
      <c r="A4132" s="791" t="s">
        <v>776</v>
      </c>
      <c r="B4132" s="791" t="s">
        <v>1041</v>
      </c>
      <c r="C4132" s="791" t="s">
        <v>778</v>
      </c>
      <c r="D4132" s="792" t="s">
        <v>779</v>
      </c>
      <c r="E4132" s="793" t="s">
        <v>947</v>
      </c>
      <c r="F4132" s="793" t="s">
        <v>971</v>
      </c>
      <c r="G4132" s="793" t="s">
        <v>782</v>
      </c>
      <c r="H4132" s="793" t="s">
        <v>804</v>
      </c>
      <c r="I4132" s="794">
        <v>1.3877543095792827E-3</v>
      </c>
      <c r="J4132" s="794">
        <v>101.41870821192535</v>
      </c>
      <c r="K4132" s="771"/>
    </row>
    <row r="4133" spans="1:11" ht="18.75" customHeight="1" outlineLevel="2">
      <c r="A4133" s="791" t="s">
        <v>776</v>
      </c>
      <c r="B4133" s="791" t="s">
        <v>1041</v>
      </c>
      <c r="C4133" s="791" t="s">
        <v>778</v>
      </c>
      <c r="D4133" s="792" t="s">
        <v>779</v>
      </c>
      <c r="E4133" s="793" t="s">
        <v>947</v>
      </c>
      <c r="F4133" s="793" t="s">
        <v>972</v>
      </c>
      <c r="G4133" s="793" t="s">
        <v>782</v>
      </c>
      <c r="H4133" s="793" t="s">
        <v>804</v>
      </c>
      <c r="I4133" s="794">
        <v>7.2078815113493856E-5</v>
      </c>
      <c r="J4133" s="794">
        <v>1.6639079333960964</v>
      </c>
      <c r="K4133" s="771"/>
    </row>
    <row r="4134" spans="1:11" ht="18.75" customHeight="1" outlineLevel="2">
      <c r="A4134" s="791" t="s">
        <v>776</v>
      </c>
      <c r="B4134" s="791" t="s">
        <v>1041</v>
      </c>
      <c r="C4134" s="791" t="s">
        <v>778</v>
      </c>
      <c r="D4134" s="792" t="s">
        <v>779</v>
      </c>
      <c r="E4134" s="793" t="s">
        <v>947</v>
      </c>
      <c r="F4134" s="793" t="s">
        <v>973</v>
      </c>
      <c r="G4134" s="793" t="s">
        <v>782</v>
      </c>
      <c r="H4134" s="793" t="s">
        <v>804</v>
      </c>
      <c r="I4134" s="794">
        <v>1.9678177004161693E-3</v>
      </c>
      <c r="J4134" s="794">
        <v>105.78965259071778</v>
      </c>
      <c r="K4134" s="771"/>
    </row>
    <row r="4135" spans="1:11" ht="18.75" customHeight="1" outlineLevel="2">
      <c r="A4135" s="791" t="s">
        <v>776</v>
      </c>
      <c r="B4135" s="791" t="s">
        <v>1041</v>
      </c>
      <c r="C4135" s="791" t="s">
        <v>778</v>
      </c>
      <c r="D4135" s="792" t="s">
        <v>779</v>
      </c>
      <c r="E4135" s="793" t="s">
        <v>947</v>
      </c>
      <c r="F4135" s="793" t="s">
        <v>974</v>
      </c>
      <c r="G4135" s="793" t="s">
        <v>785</v>
      </c>
      <c r="H4135" s="793" t="s">
        <v>727</v>
      </c>
      <c r="I4135" s="794">
        <v>1.748187806622259E-3</v>
      </c>
      <c r="J4135" s="794">
        <v>42.293310487771436</v>
      </c>
      <c r="K4135" s="771"/>
    </row>
    <row r="4136" spans="1:11" ht="18.75" customHeight="1" outlineLevel="2">
      <c r="A4136" s="791" t="s">
        <v>776</v>
      </c>
      <c r="B4136" s="791" t="s">
        <v>1041</v>
      </c>
      <c r="C4136" s="791" t="s">
        <v>778</v>
      </c>
      <c r="D4136" s="792" t="s">
        <v>779</v>
      </c>
      <c r="E4136" s="793" t="s">
        <v>947</v>
      </c>
      <c r="F4136" s="793" t="s">
        <v>975</v>
      </c>
      <c r="G4136" s="793" t="s">
        <v>785</v>
      </c>
      <c r="H4136" s="793" t="s">
        <v>727</v>
      </c>
      <c r="I4136" s="794">
        <v>8.7000873636728839E-3</v>
      </c>
      <c r="J4136" s="794">
        <v>613.57433634203198</v>
      </c>
      <c r="K4136" s="771"/>
    </row>
    <row r="4137" spans="1:11" ht="18.75" customHeight="1" outlineLevel="2">
      <c r="A4137" s="791" t="s">
        <v>776</v>
      </c>
      <c r="B4137" s="791" t="s">
        <v>1041</v>
      </c>
      <c r="C4137" s="791" t="s">
        <v>778</v>
      </c>
      <c r="D4137" s="792" t="s">
        <v>779</v>
      </c>
      <c r="E4137" s="793" t="s">
        <v>947</v>
      </c>
      <c r="F4137" s="793" t="s">
        <v>976</v>
      </c>
      <c r="G4137" s="793" t="s">
        <v>785</v>
      </c>
      <c r="H4137" s="793" t="s">
        <v>727</v>
      </c>
      <c r="I4137" s="794">
        <v>5.1108421248167949E-3</v>
      </c>
      <c r="J4137" s="794">
        <v>267.99666875170425</v>
      </c>
      <c r="K4137" s="771"/>
    </row>
    <row r="4138" spans="1:11" ht="18.75" customHeight="1" outlineLevel="2">
      <c r="A4138" s="791" t="s">
        <v>776</v>
      </c>
      <c r="B4138" s="791" t="s">
        <v>1041</v>
      </c>
      <c r="C4138" s="791" t="s">
        <v>778</v>
      </c>
      <c r="D4138" s="792" t="s">
        <v>779</v>
      </c>
      <c r="E4138" s="793" t="s">
        <v>947</v>
      </c>
      <c r="F4138" s="793" t="s">
        <v>977</v>
      </c>
      <c r="G4138" s="793" t="s">
        <v>785</v>
      </c>
      <c r="H4138" s="793" t="s">
        <v>727</v>
      </c>
      <c r="I4138" s="794">
        <v>6.0495818284501315E-3</v>
      </c>
      <c r="J4138" s="794">
        <v>271.75914085366605</v>
      </c>
      <c r="K4138" s="771"/>
    </row>
    <row r="4139" spans="1:11" ht="18.75" customHeight="1" outlineLevel="2">
      <c r="A4139" s="791" t="s">
        <v>776</v>
      </c>
      <c r="B4139" s="791" t="s">
        <v>1041</v>
      </c>
      <c r="C4139" s="791" t="s">
        <v>778</v>
      </c>
      <c r="D4139" s="792" t="s">
        <v>779</v>
      </c>
      <c r="E4139" s="793" t="s">
        <v>947</v>
      </c>
      <c r="F4139" s="793" t="s">
        <v>978</v>
      </c>
      <c r="G4139" s="793" t="s">
        <v>785</v>
      </c>
      <c r="H4139" s="793" t="s">
        <v>727</v>
      </c>
      <c r="I4139" s="794">
        <v>3.8315305595345282E-4</v>
      </c>
      <c r="J4139" s="794">
        <v>10.480707385606374</v>
      </c>
      <c r="K4139" s="771"/>
    </row>
    <row r="4140" spans="1:11" ht="18.75" customHeight="1" outlineLevel="2">
      <c r="A4140" s="791" t="s">
        <v>776</v>
      </c>
      <c r="B4140" s="791" t="s">
        <v>1041</v>
      </c>
      <c r="C4140" s="791" t="s">
        <v>778</v>
      </c>
      <c r="D4140" s="792" t="s">
        <v>779</v>
      </c>
      <c r="E4140" s="793" t="s">
        <v>947</v>
      </c>
      <c r="F4140" s="793" t="s">
        <v>979</v>
      </c>
      <c r="G4140" s="793" t="s">
        <v>785</v>
      </c>
      <c r="H4140" s="793" t="s">
        <v>727</v>
      </c>
      <c r="I4140" s="794">
        <v>1.8410053358332751E-2</v>
      </c>
      <c r="J4140" s="794">
        <v>605.07192779023148</v>
      </c>
      <c r="K4140" s="771"/>
    </row>
    <row r="4141" spans="1:11" ht="18.75" customHeight="1" outlineLevel="2">
      <c r="A4141" s="791" t="s">
        <v>776</v>
      </c>
      <c r="B4141" s="791" t="s">
        <v>1041</v>
      </c>
      <c r="C4141" s="791" t="s">
        <v>778</v>
      </c>
      <c r="D4141" s="792" t="s">
        <v>779</v>
      </c>
      <c r="E4141" s="793" t="s">
        <v>947</v>
      </c>
      <c r="F4141" s="793" t="s">
        <v>980</v>
      </c>
      <c r="G4141" s="793" t="s">
        <v>785</v>
      </c>
      <c r="H4141" s="793" t="s">
        <v>727</v>
      </c>
      <c r="I4141" s="794">
        <v>4.7702947982667613E-3</v>
      </c>
      <c r="J4141" s="794">
        <v>386.71379790439403</v>
      </c>
      <c r="K4141" s="771"/>
    </row>
    <row r="4142" spans="1:11" ht="18.75" customHeight="1" outlineLevel="2">
      <c r="A4142" s="791" t="s">
        <v>776</v>
      </c>
      <c r="B4142" s="791" t="s">
        <v>1041</v>
      </c>
      <c r="C4142" s="791" t="s">
        <v>778</v>
      </c>
      <c r="D4142" s="792" t="s">
        <v>779</v>
      </c>
      <c r="E4142" s="793" t="s">
        <v>947</v>
      </c>
      <c r="F4142" s="793" t="s">
        <v>981</v>
      </c>
      <c r="G4142" s="793" t="s">
        <v>813</v>
      </c>
      <c r="H4142" s="793" t="s">
        <v>814</v>
      </c>
      <c r="I4142" s="794">
        <v>2.3754014305126604E-6</v>
      </c>
      <c r="J4142" s="794">
        <v>5.9536780797855585E-2</v>
      </c>
      <c r="K4142" s="771"/>
    </row>
    <row r="4143" spans="1:11" ht="18.75" customHeight="1" outlineLevel="2">
      <c r="A4143" s="791" t="s">
        <v>776</v>
      </c>
      <c r="B4143" s="791" t="s">
        <v>1041</v>
      </c>
      <c r="C4143" s="791" t="s">
        <v>778</v>
      </c>
      <c r="D4143" s="792" t="s">
        <v>779</v>
      </c>
      <c r="E4143" s="793" t="s">
        <v>947</v>
      </c>
      <c r="F4143" s="793" t="s">
        <v>983</v>
      </c>
      <c r="G4143" s="793" t="s">
        <v>813</v>
      </c>
      <c r="H4143" s="793" t="s">
        <v>814</v>
      </c>
      <c r="I4143" s="794">
        <v>1.8786203874034221E-2</v>
      </c>
      <c r="J4143" s="794">
        <v>417.33815133898474</v>
      </c>
      <c r="K4143" s="771"/>
    </row>
    <row r="4144" spans="1:11" ht="18.75" customHeight="1" outlineLevel="2">
      <c r="A4144" s="791" t="s">
        <v>776</v>
      </c>
      <c r="B4144" s="791" t="s">
        <v>1041</v>
      </c>
      <c r="C4144" s="791" t="s">
        <v>778</v>
      </c>
      <c r="D4144" s="792" t="s">
        <v>779</v>
      </c>
      <c r="E4144" s="793" t="s">
        <v>947</v>
      </c>
      <c r="F4144" s="793" t="s">
        <v>984</v>
      </c>
      <c r="G4144" s="793" t="s">
        <v>813</v>
      </c>
      <c r="H4144" s="793" t="s">
        <v>814</v>
      </c>
      <c r="I4144" s="794">
        <v>4.9404360197244871E-3</v>
      </c>
      <c r="J4144" s="794">
        <v>86.151901545606492</v>
      </c>
      <c r="K4144" s="771"/>
    </row>
    <row r="4145" spans="1:11" ht="18.75" customHeight="1" outlineLevel="2">
      <c r="A4145" s="791" t="s">
        <v>776</v>
      </c>
      <c r="B4145" s="791" t="s">
        <v>1041</v>
      </c>
      <c r="C4145" s="791" t="s">
        <v>778</v>
      </c>
      <c r="D4145" s="792" t="s">
        <v>779</v>
      </c>
      <c r="E4145" s="793" t="s">
        <v>947</v>
      </c>
      <c r="F4145" s="793" t="s">
        <v>985</v>
      </c>
      <c r="G4145" s="793" t="s">
        <v>813</v>
      </c>
      <c r="H4145" s="793" t="s">
        <v>814</v>
      </c>
      <c r="I4145" s="794">
        <v>1.1677258596489746E-2</v>
      </c>
      <c r="J4145" s="794">
        <v>568.91510845274422</v>
      </c>
      <c r="K4145" s="771"/>
    </row>
    <row r="4146" spans="1:11" ht="18.75" customHeight="1" outlineLevel="2">
      <c r="A4146" s="791" t="s">
        <v>776</v>
      </c>
      <c r="B4146" s="791" t="s">
        <v>1041</v>
      </c>
      <c r="C4146" s="791" t="s">
        <v>778</v>
      </c>
      <c r="D4146" s="792" t="s">
        <v>779</v>
      </c>
      <c r="E4146" s="793" t="s">
        <v>947</v>
      </c>
      <c r="F4146" s="793" t="s">
        <v>986</v>
      </c>
      <c r="G4146" s="793" t="s">
        <v>813</v>
      </c>
      <c r="H4146" s="793" t="s">
        <v>814</v>
      </c>
      <c r="I4146" s="794">
        <v>2.0025997521594513E-3</v>
      </c>
      <c r="J4146" s="794">
        <v>67.032522539322585</v>
      </c>
      <c r="K4146" s="771"/>
    </row>
    <row r="4147" spans="1:11" ht="18.75" customHeight="1" outlineLevel="2">
      <c r="A4147" s="791" t="s">
        <v>776</v>
      </c>
      <c r="B4147" s="791" t="s">
        <v>1041</v>
      </c>
      <c r="C4147" s="791" t="s">
        <v>778</v>
      </c>
      <c r="D4147" s="792" t="s">
        <v>779</v>
      </c>
      <c r="E4147" s="793" t="s">
        <v>947</v>
      </c>
      <c r="F4147" s="793" t="s">
        <v>987</v>
      </c>
      <c r="G4147" s="793" t="s">
        <v>813</v>
      </c>
      <c r="H4147" s="793" t="s">
        <v>814</v>
      </c>
      <c r="I4147" s="794">
        <v>5.6302820321984891E-5</v>
      </c>
      <c r="J4147" s="794">
        <v>1.7021029375352936</v>
      </c>
      <c r="K4147" s="771"/>
    </row>
    <row r="4148" spans="1:11" ht="18.75" customHeight="1" outlineLevel="2">
      <c r="A4148" s="791" t="s">
        <v>776</v>
      </c>
      <c r="B4148" s="791" t="s">
        <v>1041</v>
      </c>
      <c r="C4148" s="791" t="s">
        <v>778</v>
      </c>
      <c r="D4148" s="792" t="s">
        <v>779</v>
      </c>
      <c r="E4148" s="793" t="s">
        <v>947</v>
      </c>
      <c r="F4148" s="793" t="s">
        <v>988</v>
      </c>
      <c r="G4148" s="793" t="s">
        <v>791</v>
      </c>
      <c r="H4148" s="793" t="s">
        <v>826</v>
      </c>
      <c r="I4148" s="794">
        <v>1.2628696119596335E-5</v>
      </c>
      <c r="J4148" s="794">
        <v>0.10794255869611166</v>
      </c>
      <c r="K4148" s="771"/>
    </row>
    <row r="4149" spans="1:11" ht="18.75" customHeight="1" outlineLevel="2">
      <c r="A4149" s="791" t="s">
        <v>776</v>
      </c>
      <c r="B4149" s="791" t="s">
        <v>1041</v>
      </c>
      <c r="C4149" s="791" t="s">
        <v>778</v>
      </c>
      <c r="D4149" s="792" t="s">
        <v>779</v>
      </c>
      <c r="E4149" s="793" t="s">
        <v>947</v>
      </c>
      <c r="F4149" s="793" t="s">
        <v>989</v>
      </c>
      <c r="G4149" s="793" t="s">
        <v>791</v>
      </c>
      <c r="H4149" s="793" t="s">
        <v>826</v>
      </c>
      <c r="I4149" s="794">
        <v>7.6391293895534548E-2</v>
      </c>
      <c r="J4149" s="794">
        <v>4482.0099945188149</v>
      </c>
      <c r="K4149" s="771"/>
    </row>
    <row r="4150" spans="1:11" ht="18.75" customHeight="1" outlineLevel="2">
      <c r="A4150" s="791" t="s">
        <v>776</v>
      </c>
      <c r="B4150" s="791" t="s">
        <v>1041</v>
      </c>
      <c r="C4150" s="791" t="s">
        <v>778</v>
      </c>
      <c r="D4150" s="792" t="s">
        <v>779</v>
      </c>
      <c r="E4150" s="793" t="s">
        <v>947</v>
      </c>
      <c r="F4150" s="793" t="s">
        <v>990</v>
      </c>
      <c r="G4150" s="793" t="s">
        <v>791</v>
      </c>
      <c r="H4150" s="793" t="s">
        <v>826</v>
      </c>
      <c r="I4150" s="794">
        <v>3.6460798381313143E-3</v>
      </c>
      <c r="J4150" s="794">
        <v>401.85043551318296</v>
      </c>
      <c r="K4150" s="771"/>
    </row>
    <row r="4151" spans="1:11" ht="18.75" customHeight="1" outlineLevel="2">
      <c r="A4151" s="791" t="s">
        <v>776</v>
      </c>
      <c r="B4151" s="791" t="s">
        <v>1041</v>
      </c>
      <c r="C4151" s="791" t="s">
        <v>778</v>
      </c>
      <c r="D4151" s="792" t="s">
        <v>779</v>
      </c>
      <c r="E4151" s="793" t="s">
        <v>947</v>
      </c>
      <c r="F4151" s="793" t="s">
        <v>991</v>
      </c>
      <c r="G4151" s="793" t="s">
        <v>791</v>
      </c>
      <c r="H4151" s="793" t="s">
        <v>826</v>
      </c>
      <c r="I4151" s="794">
        <v>2.8961077961040279E-5</v>
      </c>
      <c r="J4151" s="794">
        <v>2.224270022063771</v>
      </c>
      <c r="K4151" s="771"/>
    </row>
    <row r="4152" spans="1:11" ht="18.75" customHeight="1" outlineLevel="2">
      <c r="A4152" s="791" t="s">
        <v>776</v>
      </c>
      <c r="B4152" s="791" t="s">
        <v>1041</v>
      </c>
      <c r="C4152" s="791" t="s">
        <v>778</v>
      </c>
      <c r="D4152" s="792" t="s">
        <v>779</v>
      </c>
      <c r="E4152" s="793" t="s">
        <v>947</v>
      </c>
      <c r="F4152" s="793" t="s">
        <v>992</v>
      </c>
      <c r="G4152" s="793" t="s">
        <v>791</v>
      </c>
      <c r="H4152" s="793" t="s">
        <v>826</v>
      </c>
      <c r="I4152" s="794">
        <v>5.6455457010554367E-6</v>
      </c>
      <c r="J4152" s="794">
        <v>0.46725138795474985</v>
      </c>
      <c r="K4152" s="771"/>
    </row>
    <row r="4153" spans="1:11" ht="18.75" customHeight="1" outlineLevel="2">
      <c r="A4153" s="791" t="s">
        <v>776</v>
      </c>
      <c r="B4153" s="791" t="s">
        <v>1041</v>
      </c>
      <c r="C4153" s="791" t="s">
        <v>778</v>
      </c>
      <c r="D4153" s="792" t="s">
        <v>779</v>
      </c>
      <c r="E4153" s="793" t="s">
        <v>947</v>
      </c>
      <c r="F4153" s="793" t="s">
        <v>993</v>
      </c>
      <c r="G4153" s="793" t="s">
        <v>791</v>
      </c>
      <c r="H4153" s="793" t="s">
        <v>826</v>
      </c>
      <c r="I4153" s="794">
        <v>3.7062960903033184E-4</v>
      </c>
      <c r="J4153" s="794">
        <v>34.078670408151353</v>
      </c>
      <c r="K4153" s="771"/>
    </row>
    <row r="4154" spans="1:11" ht="18.75" customHeight="1" outlineLevel="2">
      <c r="A4154" s="791" t="s">
        <v>776</v>
      </c>
      <c r="B4154" s="791" t="s">
        <v>1041</v>
      </c>
      <c r="C4154" s="791" t="s">
        <v>778</v>
      </c>
      <c r="D4154" s="792" t="s">
        <v>779</v>
      </c>
      <c r="E4154" s="793" t="s">
        <v>947</v>
      </c>
      <c r="F4154" s="793" t="s">
        <v>994</v>
      </c>
      <c r="G4154" s="793" t="s">
        <v>791</v>
      </c>
      <c r="H4154" s="793" t="s">
        <v>826</v>
      </c>
      <c r="I4154" s="794">
        <v>7.8360596829645947E-7</v>
      </c>
      <c r="J4154" s="794">
        <v>9.4285219603241655E-2</v>
      </c>
      <c r="K4154" s="771"/>
    </row>
    <row r="4155" spans="1:11" ht="18.75" customHeight="1" outlineLevel="2">
      <c r="A4155" s="791" t="s">
        <v>776</v>
      </c>
      <c r="B4155" s="791" t="s">
        <v>1041</v>
      </c>
      <c r="C4155" s="791" t="s">
        <v>778</v>
      </c>
      <c r="D4155" s="792" t="s">
        <v>779</v>
      </c>
      <c r="E4155" s="793" t="s">
        <v>947</v>
      </c>
      <c r="F4155" s="793" t="s">
        <v>995</v>
      </c>
      <c r="G4155" s="793" t="s">
        <v>791</v>
      </c>
      <c r="H4155" s="793" t="s">
        <v>826</v>
      </c>
      <c r="I4155" s="794">
        <v>3.3358983656727945E-4</v>
      </c>
      <c r="J4155" s="794">
        <v>31.510235823131616</v>
      </c>
      <c r="K4155" s="771"/>
    </row>
    <row r="4156" spans="1:11" ht="18.75" customHeight="1" outlineLevel="2">
      <c r="A4156" s="791" t="s">
        <v>776</v>
      </c>
      <c r="B4156" s="791" t="s">
        <v>1041</v>
      </c>
      <c r="C4156" s="791" t="s">
        <v>778</v>
      </c>
      <c r="D4156" s="792" t="s">
        <v>779</v>
      </c>
      <c r="E4156" s="793" t="s">
        <v>947</v>
      </c>
      <c r="F4156" s="793" t="s">
        <v>996</v>
      </c>
      <c r="G4156" s="793" t="s">
        <v>791</v>
      </c>
      <c r="H4156" s="793" t="s">
        <v>826</v>
      </c>
      <c r="I4156" s="794">
        <v>9.8631767563368096E-4</v>
      </c>
      <c r="J4156" s="794">
        <v>87.687800966639827</v>
      </c>
      <c r="K4156" s="771"/>
    </row>
    <row r="4157" spans="1:11" ht="18.75" customHeight="1" outlineLevel="2">
      <c r="A4157" s="791" t="s">
        <v>776</v>
      </c>
      <c r="B4157" s="791" t="s">
        <v>1041</v>
      </c>
      <c r="C4157" s="791" t="s">
        <v>778</v>
      </c>
      <c r="D4157" s="792" t="s">
        <v>779</v>
      </c>
      <c r="E4157" s="793" t="s">
        <v>947</v>
      </c>
      <c r="F4157" s="793" t="s">
        <v>997</v>
      </c>
      <c r="G4157" s="793" t="s">
        <v>791</v>
      </c>
      <c r="H4157" s="793" t="s">
        <v>826</v>
      </c>
      <c r="I4157" s="794">
        <v>1.4958671833901088E-3</v>
      </c>
      <c r="J4157" s="794">
        <v>64.658490061988559</v>
      </c>
      <c r="K4157" s="771"/>
    </row>
    <row r="4158" spans="1:11" ht="18.75" customHeight="1" outlineLevel="2">
      <c r="A4158" s="791" t="s">
        <v>776</v>
      </c>
      <c r="B4158" s="791" t="s">
        <v>1041</v>
      </c>
      <c r="C4158" s="791" t="s">
        <v>778</v>
      </c>
      <c r="D4158" s="792" t="s">
        <v>779</v>
      </c>
      <c r="E4158" s="793" t="s">
        <v>947</v>
      </c>
      <c r="F4158" s="793" t="s">
        <v>998</v>
      </c>
      <c r="G4158" s="793" t="s">
        <v>794</v>
      </c>
      <c r="H4158" s="793" t="s">
        <v>828</v>
      </c>
      <c r="I4158" s="794">
        <v>1.2043421561182188E-2</v>
      </c>
      <c r="J4158" s="794">
        <v>440.39140638459651</v>
      </c>
      <c r="K4158" s="771"/>
    </row>
    <row r="4159" spans="1:11" ht="18.75" customHeight="1" outlineLevel="2">
      <c r="A4159" s="791" t="s">
        <v>776</v>
      </c>
      <c r="B4159" s="791" t="s">
        <v>1041</v>
      </c>
      <c r="C4159" s="791" t="s">
        <v>778</v>
      </c>
      <c r="D4159" s="792" t="s">
        <v>779</v>
      </c>
      <c r="E4159" s="793" t="s">
        <v>947</v>
      </c>
      <c r="F4159" s="793" t="s">
        <v>999</v>
      </c>
      <c r="G4159" s="793" t="s">
        <v>794</v>
      </c>
      <c r="H4159" s="793" t="s">
        <v>828</v>
      </c>
      <c r="I4159" s="794">
        <v>2.8402086770149574E-3</v>
      </c>
      <c r="J4159" s="794">
        <v>103.94039753063549</v>
      </c>
      <c r="K4159" s="771"/>
    </row>
    <row r="4160" spans="1:11" ht="18.75" customHeight="1" outlineLevel="2">
      <c r="A4160" s="791" t="s">
        <v>776</v>
      </c>
      <c r="B4160" s="791" t="s">
        <v>1041</v>
      </c>
      <c r="C4160" s="791" t="s">
        <v>778</v>
      </c>
      <c r="D4160" s="792" t="s">
        <v>779</v>
      </c>
      <c r="E4160" s="793" t="s">
        <v>947</v>
      </c>
      <c r="F4160" s="793" t="s">
        <v>1000</v>
      </c>
      <c r="G4160" s="793" t="s">
        <v>794</v>
      </c>
      <c r="H4160" s="793" t="s">
        <v>828</v>
      </c>
      <c r="I4160" s="794">
        <v>7.9712733008679201E-3</v>
      </c>
      <c r="J4160" s="794">
        <v>288.36988730832638</v>
      </c>
      <c r="K4160" s="771"/>
    </row>
    <row r="4161" spans="1:11" ht="18.75" customHeight="1" outlineLevel="2">
      <c r="A4161" s="791" t="s">
        <v>776</v>
      </c>
      <c r="B4161" s="791" t="s">
        <v>1041</v>
      </c>
      <c r="C4161" s="791" t="s">
        <v>778</v>
      </c>
      <c r="D4161" s="792" t="s">
        <v>779</v>
      </c>
      <c r="E4161" s="793" t="s">
        <v>947</v>
      </c>
      <c r="F4161" s="793" t="s">
        <v>1001</v>
      </c>
      <c r="G4161" s="793" t="s">
        <v>794</v>
      </c>
      <c r="H4161" s="793" t="s">
        <v>828</v>
      </c>
      <c r="I4161" s="794">
        <v>6.7310748464488113E-3</v>
      </c>
      <c r="J4161" s="794">
        <v>146.41423104590771</v>
      </c>
      <c r="K4161" s="771"/>
    </row>
    <row r="4162" spans="1:11" ht="18.75" customHeight="1" outlineLevel="2">
      <c r="A4162" s="791" t="s">
        <v>776</v>
      </c>
      <c r="B4162" s="791" t="s">
        <v>1041</v>
      </c>
      <c r="C4162" s="791" t="s">
        <v>778</v>
      </c>
      <c r="D4162" s="792" t="s">
        <v>779</v>
      </c>
      <c r="E4162" s="793" t="s">
        <v>947</v>
      </c>
      <c r="F4162" s="793" t="s">
        <v>1002</v>
      </c>
      <c r="G4162" s="793" t="s">
        <v>794</v>
      </c>
      <c r="H4162" s="793" t="s">
        <v>828</v>
      </c>
      <c r="I4162" s="794">
        <v>3.3483320201302874E-4</v>
      </c>
      <c r="J4162" s="794">
        <v>14.081376841858427</v>
      </c>
      <c r="K4162" s="771"/>
    </row>
    <row r="4163" spans="1:11" ht="18.75" customHeight="1" outlineLevel="2">
      <c r="A4163" s="791" t="s">
        <v>776</v>
      </c>
      <c r="B4163" s="791" t="s">
        <v>1041</v>
      </c>
      <c r="C4163" s="791" t="s">
        <v>778</v>
      </c>
      <c r="D4163" s="792" t="s">
        <v>779</v>
      </c>
      <c r="E4163" s="793" t="s">
        <v>947</v>
      </c>
      <c r="F4163" s="793" t="s">
        <v>1003</v>
      </c>
      <c r="G4163" s="793" t="s">
        <v>794</v>
      </c>
      <c r="H4163" s="793" t="s">
        <v>828</v>
      </c>
      <c r="I4163" s="794">
        <v>3.8736383897361649E-4</v>
      </c>
      <c r="J4163" s="794">
        <v>12.463147223480773</v>
      </c>
      <c r="K4163" s="771"/>
    </row>
    <row r="4164" spans="1:11" ht="18.75" customHeight="1" outlineLevel="2">
      <c r="A4164" s="791" t="s">
        <v>776</v>
      </c>
      <c r="B4164" s="791" t="s">
        <v>1041</v>
      </c>
      <c r="C4164" s="791" t="s">
        <v>778</v>
      </c>
      <c r="D4164" s="792" t="s">
        <v>779</v>
      </c>
      <c r="E4164" s="793" t="s">
        <v>947</v>
      </c>
      <c r="F4164" s="793" t="s">
        <v>1004</v>
      </c>
      <c r="G4164" s="793" t="s">
        <v>833</v>
      </c>
      <c r="H4164" s="793" t="s">
        <v>834</v>
      </c>
      <c r="I4164" s="794">
        <v>4.07550264699912E-3</v>
      </c>
      <c r="J4164" s="794">
        <v>267.09987303994035</v>
      </c>
      <c r="K4164" s="771"/>
    </row>
    <row r="4165" spans="1:11" ht="18.75" customHeight="1" outlineLevel="2">
      <c r="A4165" s="791" t="s">
        <v>776</v>
      </c>
      <c r="B4165" s="791" t="s">
        <v>1041</v>
      </c>
      <c r="C4165" s="791" t="s">
        <v>778</v>
      </c>
      <c r="D4165" s="792" t="s">
        <v>1010</v>
      </c>
      <c r="E4165" s="793" t="s">
        <v>662</v>
      </c>
      <c r="F4165" s="793" t="s">
        <v>1011</v>
      </c>
      <c r="G4165" s="793" t="s">
        <v>1012</v>
      </c>
      <c r="H4165" s="793" t="s">
        <v>1013</v>
      </c>
      <c r="I4165" s="794">
        <v>9.0612092573111089E-5</v>
      </c>
      <c r="J4165" s="794">
        <v>0.30728799865324402</v>
      </c>
      <c r="K4165" s="771"/>
    </row>
    <row r="4166" spans="1:11" ht="18.75" customHeight="1" outlineLevel="2">
      <c r="A4166" s="791" t="s">
        <v>776</v>
      </c>
      <c r="B4166" s="791" t="s">
        <v>1041</v>
      </c>
      <c r="C4166" s="791" t="s">
        <v>778</v>
      </c>
      <c r="D4166" s="792" t="s">
        <v>1010</v>
      </c>
      <c r="E4166" s="793" t="s">
        <v>763</v>
      </c>
      <c r="F4166" s="793" t="s">
        <v>1014</v>
      </c>
      <c r="G4166" s="793" t="s">
        <v>1012</v>
      </c>
      <c r="H4166" s="793" t="s">
        <v>913</v>
      </c>
      <c r="I4166" s="794">
        <v>1.0229827958457887E-5</v>
      </c>
      <c r="J4166" s="794">
        <v>0.17145640401487905</v>
      </c>
      <c r="K4166" s="771"/>
    </row>
    <row r="4167" spans="1:11" ht="18.75" customHeight="1" outlineLevel="2">
      <c r="A4167" s="791" t="s">
        <v>776</v>
      </c>
      <c r="B4167" s="791" t="s">
        <v>1041</v>
      </c>
      <c r="C4167" s="791" t="s">
        <v>778</v>
      </c>
      <c r="D4167" s="792" t="s">
        <v>1010</v>
      </c>
      <c r="E4167" s="793" t="s">
        <v>947</v>
      </c>
      <c r="F4167" s="793" t="s">
        <v>1015</v>
      </c>
      <c r="G4167" s="793" t="s">
        <v>1012</v>
      </c>
      <c r="H4167" s="793" t="s">
        <v>1013</v>
      </c>
      <c r="I4167" s="794">
        <v>1.780761426116948E-4</v>
      </c>
      <c r="J4167" s="794">
        <v>9.4836140690325408</v>
      </c>
      <c r="K4167" s="771"/>
    </row>
    <row r="4168" spans="1:11" ht="18.75" customHeight="1" outlineLevel="2">
      <c r="A4168" s="791" t="s">
        <v>776</v>
      </c>
      <c r="B4168" s="791" t="s">
        <v>1042</v>
      </c>
      <c r="C4168" s="791" t="s">
        <v>778</v>
      </c>
      <c r="D4168" s="792" t="s">
        <v>779</v>
      </c>
      <c r="E4168" s="793" t="s">
        <v>780</v>
      </c>
      <c r="F4168" s="793" t="s">
        <v>781</v>
      </c>
      <c r="G4168" s="793" t="s">
        <v>782</v>
      </c>
      <c r="H4168" s="793" t="s">
        <v>783</v>
      </c>
      <c r="I4168" s="794">
        <v>7.8395937605513985E-3</v>
      </c>
      <c r="J4168" s="794">
        <v>0.11532222092459239</v>
      </c>
      <c r="K4168" s="771"/>
    </row>
    <row r="4169" spans="1:11" ht="18.75" customHeight="1" outlineLevel="2">
      <c r="A4169" s="791" t="s">
        <v>776</v>
      </c>
      <c r="B4169" s="791" t="s">
        <v>1042</v>
      </c>
      <c r="C4169" s="791" t="s">
        <v>778</v>
      </c>
      <c r="D4169" s="792" t="s">
        <v>779</v>
      </c>
      <c r="E4169" s="793" t="s">
        <v>780</v>
      </c>
      <c r="F4169" s="793" t="s">
        <v>784</v>
      </c>
      <c r="G4169" s="793" t="s">
        <v>785</v>
      </c>
      <c r="H4169" s="793" t="s">
        <v>783</v>
      </c>
      <c r="I4169" s="794">
        <v>3.4909998005054352</v>
      </c>
      <c r="J4169" s="794">
        <v>566.91775306194756</v>
      </c>
      <c r="K4169" s="771"/>
    </row>
    <row r="4170" spans="1:11" ht="18.75" customHeight="1" outlineLevel="2">
      <c r="A4170" s="791" t="s">
        <v>776</v>
      </c>
      <c r="B4170" s="791" t="s">
        <v>1042</v>
      </c>
      <c r="C4170" s="791" t="s">
        <v>778</v>
      </c>
      <c r="D4170" s="792" t="s">
        <v>779</v>
      </c>
      <c r="E4170" s="793" t="s">
        <v>780</v>
      </c>
      <c r="F4170" s="793" t="s">
        <v>786</v>
      </c>
      <c r="G4170" s="793" t="s">
        <v>785</v>
      </c>
      <c r="H4170" s="793" t="s">
        <v>783</v>
      </c>
      <c r="I4170" s="794">
        <v>2.8350385564362844E-3</v>
      </c>
      <c r="J4170" s="794">
        <v>0.48027945504870811</v>
      </c>
      <c r="K4170" s="771"/>
    </row>
    <row r="4171" spans="1:11" ht="18.75" customHeight="1" outlineLevel="2">
      <c r="A4171" s="791" t="s">
        <v>776</v>
      </c>
      <c r="B4171" s="791" t="s">
        <v>1042</v>
      </c>
      <c r="C4171" s="791" t="s">
        <v>778</v>
      </c>
      <c r="D4171" s="792" t="s">
        <v>779</v>
      </c>
      <c r="E4171" s="793" t="s">
        <v>780</v>
      </c>
      <c r="F4171" s="793" t="s">
        <v>787</v>
      </c>
      <c r="G4171" s="793" t="s">
        <v>785</v>
      </c>
      <c r="H4171" s="793" t="s">
        <v>783</v>
      </c>
      <c r="I4171" s="794">
        <v>1.4246820301921023E-3</v>
      </c>
      <c r="J4171" s="794">
        <v>0.26171966699189486</v>
      </c>
      <c r="K4171" s="771"/>
    </row>
    <row r="4172" spans="1:11" ht="18.75" customHeight="1" outlineLevel="2">
      <c r="A4172" s="791" t="s">
        <v>776</v>
      </c>
      <c r="B4172" s="791" t="s">
        <v>1042</v>
      </c>
      <c r="C4172" s="791" t="s">
        <v>778</v>
      </c>
      <c r="D4172" s="792" t="s">
        <v>779</v>
      </c>
      <c r="E4172" s="793" t="s">
        <v>780</v>
      </c>
      <c r="F4172" s="793" t="s">
        <v>788</v>
      </c>
      <c r="G4172" s="793" t="s">
        <v>785</v>
      </c>
      <c r="H4172" s="793" t="s">
        <v>783</v>
      </c>
      <c r="I4172" s="794">
        <v>5.7074715441604402E-3</v>
      </c>
      <c r="J4172" s="794">
        <v>0.90914879039364827</v>
      </c>
      <c r="K4172" s="771"/>
    </row>
    <row r="4173" spans="1:11" ht="18.75" customHeight="1" outlineLevel="2">
      <c r="A4173" s="791" t="s">
        <v>776</v>
      </c>
      <c r="B4173" s="791" t="s">
        <v>1042</v>
      </c>
      <c r="C4173" s="791" t="s">
        <v>778</v>
      </c>
      <c r="D4173" s="792" t="s">
        <v>779</v>
      </c>
      <c r="E4173" s="793" t="s">
        <v>780</v>
      </c>
      <c r="F4173" s="793" t="s">
        <v>789</v>
      </c>
      <c r="G4173" s="793" t="s">
        <v>785</v>
      </c>
      <c r="H4173" s="793" t="s">
        <v>783</v>
      </c>
      <c r="I4173" s="794">
        <v>1.3040450294838331E-2</v>
      </c>
      <c r="J4173" s="794">
        <v>3.2078410068981738</v>
      </c>
      <c r="K4173" s="771"/>
    </row>
    <row r="4174" spans="1:11" ht="18.75" customHeight="1" outlineLevel="2">
      <c r="A4174" s="791" t="s">
        <v>776</v>
      </c>
      <c r="B4174" s="791" t="s">
        <v>1042</v>
      </c>
      <c r="C4174" s="791" t="s">
        <v>778</v>
      </c>
      <c r="D4174" s="792" t="s">
        <v>779</v>
      </c>
      <c r="E4174" s="793" t="s">
        <v>780</v>
      </c>
      <c r="F4174" s="793" t="s">
        <v>790</v>
      </c>
      <c r="G4174" s="793" t="s">
        <v>791</v>
      </c>
      <c r="H4174" s="793" t="s">
        <v>783</v>
      </c>
      <c r="I4174" s="794">
        <v>6.9347952245177097E-3</v>
      </c>
      <c r="J4174" s="794">
        <v>9.2114256176582629E-2</v>
      </c>
      <c r="K4174" s="771"/>
    </row>
    <row r="4175" spans="1:11" ht="18.75" customHeight="1" outlineLevel="2">
      <c r="A4175" s="791" t="s">
        <v>776</v>
      </c>
      <c r="B4175" s="791" t="s">
        <v>1042</v>
      </c>
      <c r="C4175" s="791" t="s">
        <v>778</v>
      </c>
      <c r="D4175" s="792" t="s">
        <v>779</v>
      </c>
      <c r="E4175" s="793" t="s">
        <v>780</v>
      </c>
      <c r="F4175" s="793" t="s">
        <v>792</v>
      </c>
      <c r="G4175" s="793" t="s">
        <v>791</v>
      </c>
      <c r="H4175" s="793" t="s">
        <v>783</v>
      </c>
      <c r="I4175" s="794">
        <v>5.1475869338141189E-2</v>
      </c>
      <c r="J4175" s="794">
        <v>9.99711311162147</v>
      </c>
      <c r="K4175" s="771"/>
    </row>
    <row r="4176" spans="1:11" ht="18.75" customHeight="1" outlineLevel="2">
      <c r="A4176" s="791" t="s">
        <v>776</v>
      </c>
      <c r="B4176" s="791" t="s">
        <v>1042</v>
      </c>
      <c r="C4176" s="791" t="s">
        <v>778</v>
      </c>
      <c r="D4176" s="792" t="s">
        <v>779</v>
      </c>
      <c r="E4176" s="793" t="s">
        <v>780</v>
      </c>
      <c r="F4176" s="793" t="s">
        <v>793</v>
      </c>
      <c r="G4176" s="793" t="s">
        <v>794</v>
      </c>
      <c r="H4176" s="793" t="s">
        <v>783</v>
      </c>
      <c r="I4176" s="794">
        <v>1.5127990459017944</v>
      </c>
      <c r="J4176" s="794">
        <v>39.261171475018038</v>
      </c>
      <c r="K4176" s="771"/>
    </row>
    <row r="4177" spans="1:11" ht="18.75" customHeight="1" outlineLevel="2">
      <c r="A4177" s="791" t="s">
        <v>776</v>
      </c>
      <c r="B4177" s="791" t="s">
        <v>1042</v>
      </c>
      <c r="C4177" s="791" t="s">
        <v>778</v>
      </c>
      <c r="D4177" s="792" t="s">
        <v>779</v>
      </c>
      <c r="E4177" s="793" t="s">
        <v>780</v>
      </c>
      <c r="F4177" s="793" t="s">
        <v>795</v>
      </c>
      <c r="G4177" s="793" t="s">
        <v>794</v>
      </c>
      <c r="H4177" s="793" t="s">
        <v>783</v>
      </c>
      <c r="I4177" s="794">
        <v>4.5746834472948354E-2</v>
      </c>
      <c r="J4177" s="794">
        <v>1.8743953102243305</v>
      </c>
      <c r="K4177" s="771"/>
    </row>
    <row r="4178" spans="1:11" ht="18.75" customHeight="1" outlineLevel="2">
      <c r="A4178" s="791" t="s">
        <v>776</v>
      </c>
      <c r="B4178" s="791" t="s">
        <v>1042</v>
      </c>
      <c r="C4178" s="791" t="s">
        <v>778</v>
      </c>
      <c r="D4178" s="792" t="s">
        <v>779</v>
      </c>
      <c r="E4178" s="793" t="s">
        <v>780</v>
      </c>
      <c r="F4178" s="793" t="s">
        <v>796</v>
      </c>
      <c r="G4178" s="793" t="s">
        <v>794</v>
      </c>
      <c r="H4178" s="793" t="s">
        <v>783</v>
      </c>
      <c r="I4178" s="794">
        <v>2.3778091337157269E-2</v>
      </c>
      <c r="J4178" s="794">
        <v>2.7401526918451795</v>
      </c>
      <c r="K4178" s="771"/>
    </row>
    <row r="4179" spans="1:11" ht="18.75" customHeight="1" outlineLevel="2">
      <c r="A4179" s="791" t="s">
        <v>776</v>
      </c>
      <c r="B4179" s="791" t="s">
        <v>1042</v>
      </c>
      <c r="C4179" s="791" t="s">
        <v>778</v>
      </c>
      <c r="D4179" s="792" t="s">
        <v>779</v>
      </c>
      <c r="E4179" s="793" t="s">
        <v>780</v>
      </c>
      <c r="F4179" s="793" t="s">
        <v>797</v>
      </c>
      <c r="G4179" s="793" t="s">
        <v>794</v>
      </c>
      <c r="H4179" s="793" t="s">
        <v>783</v>
      </c>
      <c r="I4179" s="794">
        <v>0.46499275970728038</v>
      </c>
      <c r="J4179" s="794">
        <v>97.306947923104815</v>
      </c>
      <c r="K4179" s="771"/>
    </row>
    <row r="4180" spans="1:11" ht="18.75" customHeight="1" outlineLevel="2">
      <c r="A4180" s="791" t="s">
        <v>776</v>
      </c>
      <c r="B4180" s="791" t="s">
        <v>1042</v>
      </c>
      <c r="C4180" s="791" t="s">
        <v>778</v>
      </c>
      <c r="D4180" s="792" t="s">
        <v>779</v>
      </c>
      <c r="E4180" s="793" t="s">
        <v>780</v>
      </c>
      <c r="F4180" s="793" t="s">
        <v>1017</v>
      </c>
      <c r="G4180" s="793" t="s">
        <v>785</v>
      </c>
      <c r="H4180" s="793" t="s">
        <v>783</v>
      </c>
      <c r="I4180" s="794">
        <v>1.1744744855408175E-2</v>
      </c>
      <c r="J4180" s="794">
        <v>2.6689742937990042</v>
      </c>
      <c r="K4180" s="771"/>
    </row>
    <row r="4181" spans="1:11" ht="18.75" customHeight="1" outlineLevel="2">
      <c r="A4181" s="791" t="s">
        <v>776</v>
      </c>
      <c r="B4181" s="791" t="s">
        <v>1042</v>
      </c>
      <c r="C4181" s="791" t="s">
        <v>778</v>
      </c>
      <c r="D4181" s="792" t="s">
        <v>779</v>
      </c>
      <c r="E4181" s="793" t="s">
        <v>662</v>
      </c>
      <c r="F4181" s="793" t="s">
        <v>798</v>
      </c>
      <c r="G4181" s="793" t="s">
        <v>799</v>
      </c>
      <c r="H4181" s="793" t="s">
        <v>800</v>
      </c>
      <c r="I4181" s="794">
        <v>0.62709222247279706</v>
      </c>
      <c r="J4181" s="794">
        <v>180.18387379956297</v>
      </c>
      <c r="K4181" s="771"/>
    </row>
    <row r="4182" spans="1:11" ht="18.75" customHeight="1" outlineLevel="2">
      <c r="A4182" s="791" t="s">
        <v>776</v>
      </c>
      <c r="B4182" s="791" t="s">
        <v>1042</v>
      </c>
      <c r="C4182" s="791" t="s">
        <v>778</v>
      </c>
      <c r="D4182" s="792" t="s">
        <v>779</v>
      </c>
      <c r="E4182" s="793" t="s">
        <v>662</v>
      </c>
      <c r="F4182" s="793" t="s">
        <v>801</v>
      </c>
      <c r="G4182" s="793" t="s">
        <v>799</v>
      </c>
      <c r="H4182" s="793" t="s">
        <v>800</v>
      </c>
      <c r="I4182" s="794">
        <v>0.19155200138827846</v>
      </c>
      <c r="J4182" s="794">
        <v>77.381798849913579</v>
      </c>
      <c r="K4182" s="771"/>
    </row>
    <row r="4183" spans="1:11" ht="18.75" customHeight="1" outlineLevel="2">
      <c r="A4183" s="791" t="s">
        <v>776</v>
      </c>
      <c r="B4183" s="791" t="s">
        <v>1042</v>
      </c>
      <c r="C4183" s="791" t="s">
        <v>778</v>
      </c>
      <c r="D4183" s="792" t="s">
        <v>779</v>
      </c>
      <c r="E4183" s="793" t="s">
        <v>662</v>
      </c>
      <c r="F4183" s="793" t="s">
        <v>802</v>
      </c>
      <c r="G4183" s="793" t="s">
        <v>799</v>
      </c>
      <c r="H4183" s="793" t="s">
        <v>800</v>
      </c>
      <c r="I4183" s="794">
        <v>8.7185679491838947E-2</v>
      </c>
      <c r="J4183" s="794">
        <v>112.12724707176625</v>
      </c>
      <c r="K4183" s="771"/>
    </row>
    <row r="4184" spans="1:11" ht="18.75" customHeight="1" outlineLevel="2">
      <c r="A4184" s="791" t="s">
        <v>776</v>
      </c>
      <c r="B4184" s="791" t="s">
        <v>1042</v>
      </c>
      <c r="C4184" s="791" t="s">
        <v>778</v>
      </c>
      <c r="D4184" s="792" t="s">
        <v>779</v>
      </c>
      <c r="E4184" s="793" t="s">
        <v>662</v>
      </c>
      <c r="F4184" s="793" t="s">
        <v>803</v>
      </c>
      <c r="G4184" s="793" t="s">
        <v>782</v>
      </c>
      <c r="H4184" s="793" t="s">
        <v>804</v>
      </c>
      <c r="I4184" s="794">
        <v>2.4232604836066828E-2</v>
      </c>
      <c r="J4184" s="794">
        <v>15.035854633098282</v>
      </c>
      <c r="K4184" s="771"/>
    </row>
    <row r="4185" spans="1:11" ht="18.75" customHeight="1" outlineLevel="2">
      <c r="A4185" s="791" t="s">
        <v>776</v>
      </c>
      <c r="B4185" s="791" t="s">
        <v>1042</v>
      </c>
      <c r="C4185" s="791" t="s">
        <v>778</v>
      </c>
      <c r="D4185" s="792" t="s">
        <v>779</v>
      </c>
      <c r="E4185" s="793" t="s">
        <v>662</v>
      </c>
      <c r="F4185" s="793" t="s">
        <v>805</v>
      </c>
      <c r="G4185" s="793" t="s">
        <v>782</v>
      </c>
      <c r="H4185" s="793" t="s">
        <v>804</v>
      </c>
      <c r="I4185" s="794">
        <v>2.0110503218092389E-3</v>
      </c>
      <c r="J4185" s="794">
        <v>0.97396432396646571</v>
      </c>
      <c r="K4185" s="771"/>
    </row>
    <row r="4186" spans="1:11" ht="18.75" customHeight="1" outlineLevel="2">
      <c r="A4186" s="791" t="s">
        <v>776</v>
      </c>
      <c r="B4186" s="791" t="s">
        <v>1042</v>
      </c>
      <c r="C4186" s="791" t="s">
        <v>778</v>
      </c>
      <c r="D4186" s="792" t="s">
        <v>779</v>
      </c>
      <c r="E4186" s="793" t="s">
        <v>662</v>
      </c>
      <c r="F4186" s="793" t="s">
        <v>806</v>
      </c>
      <c r="G4186" s="793" t="s">
        <v>782</v>
      </c>
      <c r="H4186" s="793" t="s">
        <v>804</v>
      </c>
      <c r="I4186" s="794">
        <v>2.4371290410606376E-3</v>
      </c>
      <c r="J4186" s="794">
        <v>1.1641643885820754</v>
      </c>
      <c r="K4186" s="771"/>
    </row>
    <row r="4187" spans="1:11" ht="18.75" customHeight="1" outlineLevel="2">
      <c r="A4187" s="791" t="s">
        <v>776</v>
      </c>
      <c r="B4187" s="791" t="s">
        <v>1042</v>
      </c>
      <c r="C4187" s="791" t="s">
        <v>778</v>
      </c>
      <c r="D4187" s="792" t="s">
        <v>779</v>
      </c>
      <c r="E4187" s="793" t="s">
        <v>662</v>
      </c>
      <c r="F4187" s="793" t="s">
        <v>807</v>
      </c>
      <c r="G4187" s="793" t="s">
        <v>782</v>
      </c>
      <c r="H4187" s="793" t="s">
        <v>804</v>
      </c>
      <c r="I4187" s="794">
        <v>1.8023611940505098E-5</v>
      </c>
      <c r="J4187" s="794">
        <v>8.0664114278423179E-3</v>
      </c>
      <c r="K4187" s="771"/>
    </row>
    <row r="4188" spans="1:11" ht="18.75" customHeight="1" outlineLevel="2">
      <c r="A4188" s="791" t="s">
        <v>776</v>
      </c>
      <c r="B4188" s="791" t="s">
        <v>1042</v>
      </c>
      <c r="C4188" s="791" t="s">
        <v>778</v>
      </c>
      <c r="D4188" s="792" t="s">
        <v>779</v>
      </c>
      <c r="E4188" s="793" t="s">
        <v>662</v>
      </c>
      <c r="F4188" s="793" t="s">
        <v>808</v>
      </c>
      <c r="G4188" s="793" t="s">
        <v>782</v>
      </c>
      <c r="H4188" s="793" t="s">
        <v>804</v>
      </c>
      <c r="I4188" s="794">
        <v>6.9472303342267533E-2</v>
      </c>
      <c r="J4188" s="794">
        <v>38.792203355201131</v>
      </c>
      <c r="K4188" s="771"/>
    </row>
    <row r="4189" spans="1:11" ht="18.75" customHeight="1" outlineLevel="2">
      <c r="A4189" s="791" t="s">
        <v>776</v>
      </c>
      <c r="B4189" s="791" t="s">
        <v>1042</v>
      </c>
      <c r="C4189" s="791" t="s">
        <v>778</v>
      </c>
      <c r="D4189" s="792" t="s">
        <v>779</v>
      </c>
      <c r="E4189" s="793" t="s">
        <v>662</v>
      </c>
      <c r="F4189" s="793" t="s">
        <v>809</v>
      </c>
      <c r="G4189" s="793" t="s">
        <v>782</v>
      </c>
      <c r="H4189" s="793" t="s">
        <v>804</v>
      </c>
      <c r="I4189" s="794">
        <v>5.0795892234428383E-4</v>
      </c>
      <c r="J4189" s="794">
        <v>0.22733531196137929</v>
      </c>
      <c r="K4189" s="771"/>
    </row>
    <row r="4190" spans="1:11" ht="18.75" customHeight="1" outlineLevel="2">
      <c r="A4190" s="791" t="s">
        <v>776</v>
      </c>
      <c r="B4190" s="791" t="s">
        <v>1042</v>
      </c>
      <c r="C4190" s="791" t="s">
        <v>778</v>
      </c>
      <c r="D4190" s="792" t="s">
        <v>779</v>
      </c>
      <c r="E4190" s="793" t="s">
        <v>662</v>
      </c>
      <c r="F4190" s="793" t="s">
        <v>810</v>
      </c>
      <c r="G4190" s="793" t="s">
        <v>785</v>
      </c>
      <c r="H4190" s="793" t="s">
        <v>727</v>
      </c>
      <c r="I4190" s="794">
        <v>3.4574854369837189E-3</v>
      </c>
      <c r="J4190" s="794">
        <v>1.5473853957490906</v>
      </c>
      <c r="K4190" s="771"/>
    </row>
    <row r="4191" spans="1:11" ht="18.75" customHeight="1" outlineLevel="2">
      <c r="A4191" s="791" t="s">
        <v>776</v>
      </c>
      <c r="B4191" s="791" t="s">
        <v>1042</v>
      </c>
      <c r="C4191" s="791" t="s">
        <v>778</v>
      </c>
      <c r="D4191" s="792" t="s">
        <v>779</v>
      </c>
      <c r="E4191" s="793" t="s">
        <v>662</v>
      </c>
      <c r="F4191" s="793" t="s">
        <v>811</v>
      </c>
      <c r="G4191" s="793" t="s">
        <v>785</v>
      </c>
      <c r="H4191" s="793" t="s">
        <v>727</v>
      </c>
      <c r="I4191" s="794">
        <v>2.6457149460321224E-4</v>
      </c>
      <c r="J4191" s="794">
        <v>0.11840804044586381</v>
      </c>
      <c r="K4191" s="771"/>
    </row>
    <row r="4192" spans="1:11" ht="18.75" customHeight="1" outlineLevel="2">
      <c r="A4192" s="791" t="s">
        <v>776</v>
      </c>
      <c r="B4192" s="791" t="s">
        <v>1042</v>
      </c>
      <c r="C4192" s="791" t="s">
        <v>778</v>
      </c>
      <c r="D4192" s="792" t="s">
        <v>779</v>
      </c>
      <c r="E4192" s="793" t="s">
        <v>662</v>
      </c>
      <c r="F4192" s="793" t="s">
        <v>812</v>
      </c>
      <c r="G4192" s="793" t="s">
        <v>813</v>
      </c>
      <c r="H4192" s="793" t="s">
        <v>814</v>
      </c>
      <c r="I4192" s="794">
        <v>8.6101464759062631E-3</v>
      </c>
      <c r="J4192" s="794">
        <v>4.7154842395457219</v>
      </c>
      <c r="K4192" s="771"/>
    </row>
    <row r="4193" spans="1:11" ht="18.75" customHeight="1" outlineLevel="2">
      <c r="A4193" s="791" t="s">
        <v>776</v>
      </c>
      <c r="B4193" s="791" t="s">
        <v>1042</v>
      </c>
      <c r="C4193" s="791" t="s">
        <v>778</v>
      </c>
      <c r="D4193" s="792" t="s">
        <v>779</v>
      </c>
      <c r="E4193" s="793" t="s">
        <v>662</v>
      </c>
      <c r="F4193" s="793" t="s">
        <v>815</v>
      </c>
      <c r="G4193" s="793" t="s">
        <v>813</v>
      </c>
      <c r="H4193" s="793" t="s">
        <v>814</v>
      </c>
      <c r="I4193" s="794">
        <v>5.772917746546645E-2</v>
      </c>
      <c r="J4193" s="794">
        <v>31.026283849742541</v>
      </c>
      <c r="K4193" s="771"/>
    </row>
    <row r="4194" spans="1:11" ht="18.75" customHeight="1" outlineLevel="2">
      <c r="A4194" s="791" t="s">
        <v>776</v>
      </c>
      <c r="B4194" s="791" t="s">
        <v>1042</v>
      </c>
      <c r="C4194" s="791" t="s">
        <v>778</v>
      </c>
      <c r="D4194" s="792" t="s">
        <v>779</v>
      </c>
      <c r="E4194" s="793" t="s">
        <v>662</v>
      </c>
      <c r="F4194" s="793" t="s">
        <v>816</v>
      </c>
      <c r="G4194" s="793" t="s">
        <v>813</v>
      </c>
      <c r="H4194" s="793" t="s">
        <v>814</v>
      </c>
      <c r="I4194" s="794">
        <v>0.12118370437574109</v>
      </c>
      <c r="J4194" s="794">
        <v>62.960609682277394</v>
      </c>
      <c r="K4194" s="771"/>
    </row>
    <row r="4195" spans="1:11" ht="18.75" customHeight="1" outlineLevel="2">
      <c r="A4195" s="791" t="s">
        <v>776</v>
      </c>
      <c r="B4195" s="791" t="s">
        <v>1042</v>
      </c>
      <c r="C4195" s="791" t="s">
        <v>778</v>
      </c>
      <c r="D4195" s="792" t="s">
        <v>779</v>
      </c>
      <c r="E4195" s="793" t="s">
        <v>662</v>
      </c>
      <c r="F4195" s="793" t="s">
        <v>817</v>
      </c>
      <c r="G4195" s="793" t="s">
        <v>813</v>
      </c>
      <c r="H4195" s="793" t="s">
        <v>814</v>
      </c>
      <c r="I4195" s="794">
        <v>0.54586301851313368</v>
      </c>
      <c r="J4195" s="794">
        <v>298.80715610298296</v>
      </c>
      <c r="K4195" s="771"/>
    </row>
    <row r="4196" spans="1:11" ht="18.75" customHeight="1" outlineLevel="2">
      <c r="A4196" s="791" t="s">
        <v>776</v>
      </c>
      <c r="B4196" s="791" t="s">
        <v>1042</v>
      </c>
      <c r="C4196" s="791" t="s">
        <v>778</v>
      </c>
      <c r="D4196" s="792" t="s">
        <v>779</v>
      </c>
      <c r="E4196" s="793" t="s">
        <v>662</v>
      </c>
      <c r="F4196" s="793" t="s">
        <v>818</v>
      </c>
      <c r="G4196" s="793" t="s">
        <v>813</v>
      </c>
      <c r="H4196" s="793" t="s">
        <v>814</v>
      </c>
      <c r="I4196" s="794">
        <v>0.14886729773582152</v>
      </c>
      <c r="J4196" s="794">
        <v>87.43864252159301</v>
      </c>
      <c r="K4196" s="771"/>
    </row>
    <row r="4197" spans="1:11" ht="18.75" customHeight="1" outlineLevel="2">
      <c r="A4197" s="791" t="s">
        <v>776</v>
      </c>
      <c r="B4197" s="791" t="s">
        <v>1042</v>
      </c>
      <c r="C4197" s="791" t="s">
        <v>778</v>
      </c>
      <c r="D4197" s="792" t="s">
        <v>779</v>
      </c>
      <c r="E4197" s="793" t="s">
        <v>662</v>
      </c>
      <c r="F4197" s="793" t="s">
        <v>819</v>
      </c>
      <c r="G4197" s="793" t="s">
        <v>813</v>
      </c>
      <c r="H4197" s="793" t="s">
        <v>814</v>
      </c>
      <c r="I4197" s="794">
        <v>0.51651481769626462</v>
      </c>
      <c r="J4197" s="794">
        <v>261.1174839957996</v>
      </c>
      <c r="K4197" s="771"/>
    </row>
    <row r="4198" spans="1:11" ht="18.75" customHeight="1" outlineLevel="2">
      <c r="A4198" s="791" t="s">
        <v>776</v>
      </c>
      <c r="B4198" s="791" t="s">
        <v>1042</v>
      </c>
      <c r="C4198" s="791" t="s">
        <v>778</v>
      </c>
      <c r="D4198" s="792" t="s">
        <v>779</v>
      </c>
      <c r="E4198" s="793" t="s">
        <v>662</v>
      </c>
      <c r="F4198" s="793" t="s">
        <v>820</v>
      </c>
      <c r="G4198" s="793" t="s">
        <v>813</v>
      </c>
      <c r="H4198" s="793" t="s">
        <v>814</v>
      </c>
      <c r="I4198" s="794">
        <v>0.10492846116753743</v>
      </c>
      <c r="J4198" s="794">
        <v>56.275313406112573</v>
      </c>
      <c r="K4198" s="771"/>
    </row>
    <row r="4199" spans="1:11" ht="18.75" customHeight="1" outlineLevel="2">
      <c r="A4199" s="791" t="s">
        <v>776</v>
      </c>
      <c r="B4199" s="791" t="s">
        <v>1042</v>
      </c>
      <c r="C4199" s="791" t="s">
        <v>778</v>
      </c>
      <c r="D4199" s="792" t="s">
        <v>779</v>
      </c>
      <c r="E4199" s="793" t="s">
        <v>662</v>
      </c>
      <c r="F4199" s="793" t="s">
        <v>821</v>
      </c>
      <c r="G4199" s="793" t="s">
        <v>813</v>
      </c>
      <c r="H4199" s="793" t="s">
        <v>814</v>
      </c>
      <c r="I4199" s="794">
        <v>0.45587197641278066</v>
      </c>
      <c r="J4199" s="794">
        <v>243.82122330858923</v>
      </c>
      <c r="K4199" s="771"/>
    </row>
    <row r="4200" spans="1:11" ht="18.75" customHeight="1" outlineLevel="2">
      <c r="A4200" s="791" t="s">
        <v>776</v>
      </c>
      <c r="B4200" s="791" t="s">
        <v>1042</v>
      </c>
      <c r="C4200" s="791" t="s">
        <v>778</v>
      </c>
      <c r="D4200" s="792" t="s">
        <v>779</v>
      </c>
      <c r="E4200" s="793" t="s">
        <v>662</v>
      </c>
      <c r="F4200" s="793" t="s">
        <v>822</v>
      </c>
      <c r="G4200" s="793" t="s">
        <v>813</v>
      </c>
      <c r="H4200" s="793" t="s">
        <v>814</v>
      </c>
      <c r="I4200" s="794">
        <v>0.19017190974216647</v>
      </c>
      <c r="J4200" s="794">
        <v>27.843661958642997</v>
      </c>
      <c r="K4200" s="771"/>
    </row>
    <row r="4201" spans="1:11" ht="18.75" customHeight="1" outlineLevel="2">
      <c r="A4201" s="791" t="s">
        <v>776</v>
      </c>
      <c r="B4201" s="791" t="s">
        <v>1042</v>
      </c>
      <c r="C4201" s="791" t="s">
        <v>778</v>
      </c>
      <c r="D4201" s="792" t="s">
        <v>779</v>
      </c>
      <c r="E4201" s="793" t="s">
        <v>662</v>
      </c>
      <c r="F4201" s="793" t="s">
        <v>823</v>
      </c>
      <c r="G4201" s="793" t="s">
        <v>813</v>
      </c>
      <c r="H4201" s="793" t="s">
        <v>814</v>
      </c>
      <c r="I4201" s="794">
        <v>0.60636751752383033</v>
      </c>
      <c r="J4201" s="794">
        <v>88.777741192128587</v>
      </c>
      <c r="K4201" s="771"/>
    </row>
    <row r="4202" spans="1:11" ht="18.75" customHeight="1" outlineLevel="2">
      <c r="A4202" s="791" t="s">
        <v>776</v>
      </c>
      <c r="B4202" s="791" t="s">
        <v>1042</v>
      </c>
      <c r="C4202" s="791" t="s">
        <v>778</v>
      </c>
      <c r="D4202" s="792" t="s">
        <v>779</v>
      </c>
      <c r="E4202" s="793" t="s">
        <v>662</v>
      </c>
      <c r="F4202" s="793" t="s">
        <v>824</v>
      </c>
      <c r="G4202" s="793" t="s">
        <v>813</v>
      </c>
      <c r="H4202" s="793" t="s">
        <v>814</v>
      </c>
      <c r="I4202" s="794">
        <v>2.6074130113447688E-4</v>
      </c>
      <c r="J4202" s="794">
        <v>0.1301049427947179</v>
      </c>
      <c r="K4202" s="771"/>
    </row>
    <row r="4203" spans="1:11" ht="18.75" customHeight="1" outlineLevel="2">
      <c r="A4203" s="791" t="s">
        <v>776</v>
      </c>
      <c r="B4203" s="791" t="s">
        <v>1042</v>
      </c>
      <c r="C4203" s="791" t="s">
        <v>778</v>
      </c>
      <c r="D4203" s="792" t="s">
        <v>779</v>
      </c>
      <c r="E4203" s="793" t="s">
        <v>662</v>
      </c>
      <c r="F4203" s="793" t="s">
        <v>825</v>
      </c>
      <c r="G4203" s="793" t="s">
        <v>791</v>
      </c>
      <c r="H4203" s="793" t="s">
        <v>826</v>
      </c>
      <c r="I4203" s="794">
        <v>8.6120857803912224E-4</v>
      </c>
      <c r="J4203" s="794">
        <v>0.52372058806358246</v>
      </c>
      <c r="K4203" s="771"/>
    </row>
    <row r="4204" spans="1:11" ht="18.75" customHeight="1" outlineLevel="2">
      <c r="A4204" s="791" t="s">
        <v>776</v>
      </c>
      <c r="B4204" s="791" t="s">
        <v>1042</v>
      </c>
      <c r="C4204" s="791" t="s">
        <v>778</v>
      </c>
      <c r="D4204" s="792" t="s">
        <v>779</v>
      </c>
      <c r="E4204" s="793" t="s">
        <v>662</v>
      </c>
      <c r="F4204" s="793" t="s">
        <v>827</v>
      </c>
      <c r="G4204" s="793" t="s">
        <v>794</v>
      </c>
      <c r="H4204" s="793" t="s">
        <v>828</v>
      </c>
      <c r="I4204" s="794">
        <v>1.3331908367310083E-2</v>
      </c>
      <c r="J4204" s="794">
        <v>6.6007584344546544</v>
      </c>
      <c r="K4204" s="771"/>
    </row>
    <row r="4205" spans="1:11" ht="18.75" customHeight="1" outlineLevel="2">
      <c r="A4205" s="791" t="s">
        <v>776</v>
      </c>
      <c r="B4205" s="791" t="s">
        <v>1042</v>
      </c>
      <c r="C4205" s="791" t="s">
        <v>778</v>
      </c>
      <c r="D4205" s="792" t="s">
        <v>779</v>
      </c>
      <c r="E4205" s="793" t="s">
        <v>662</v>
      </c>
      <c r="F4205" s="793" t="s">
        <v>829</v>
      </c>
      <c r="G4205" s="793" t="s">
        <v>794</v>
      </c>
      <c r="H4205" s="793" t="s">
        <v>828</v>
      </c>
      <c r="I4205" s="794">
        <v>8.5078817249659447E-2</v>
      </c>
      <c r="J4205" s="794">
        <v>44.034448163842931</v>
      </c>
      <c r="K4205" s="771"/>
    </row>
    <row r="4206" spans="1:11" ht="18.75" customHeight="1" outlineLevel="2">
      <c r="A4206" s="791" t="s">
        <v>776</v>
      </c>
      <c r="B4206" s="791" t="s">
        <v>1042</v>
      </c>
      <c r="C4206" s="791" t="s">
        <v>778</v>
      </c>
      <c r="D4206" s="792" t="s">
        <v>779</v>
      </c>
      <c r="E4206" s="793" t="s">
        <v>662</v>
      </c>
      <c r="F4206" s="793" t="s">
        <v>830</v>
      </c>
      <c r="G4206" s="793" t="s">
        <v>794</v>
      </c>
      <c r="H4206" s="793" t="s">
        <v>828</v>
      </c>
      <c r="I4206" s="794">
        <v>3.412501406848296E-5</v>
      </c>
      <c r="J4206" s="794">
        <v>1.5272513917069847E-2</v>
      </c>
      <c r="K4206" s="771"/>
    </row>
    <row r="4207" spans="1:11" ht="18.75" customHeight="1" outlineLevel="2">
      <c r="A4207" s="791" t="s">
        <v>776</v>
      </c>
      <c r="B4207" s="791" t="s">
        <v>1042</v>
      </c>
      <c r="C4207" s="791" t="s">
        <v>778</v>
      </c>
      <c r="D4207" s="792" t="s">
        <v>779</v>
      </c>
      <c r="E4207" s="793" t="s">
        <v>662</v>
      </c>
      <c r="F4207" s="793" t="s">
        <v>831</v>
      </c>
      <c r="G4207" s="793" t="s">
        <v>794</v>
      </c>
      <c r="H4207" s="793" t="s">
        <v>828</v>
      </c>
      <c r="I4207" s="794">
        <v>5.9524818669747979E-4</v>
      </c>
      <c r="J4207" s="794">
        <v>0.26640099844275372</v>
      </c>
      <c r="K4207" s="771"/>
    </row>
    <row r="4208" spans="1:11" ht="18.75" customHeight="1" outlineLevel="2">
      <c r="A4208" s="791" t="s">
        <v>776</v>
      </c>
      <c r="B4208" s="791" t="s">
        <v>1042</v>
      </c>
      <c r="C4208" s="791" t="s">
        <v>778</v>
      </c>
      <c r="D4208" s="792" t="s">
        <v>779</v>
      </c>
      <c r="E4208" s="793" t="s">
        <v>662</v>
      </c>
      <c r="F4208" s="793" t="s">
        <v>832</v>
      </c>
      <c r="G4208" s="793" t="s">
        <v>833</v>
      </c>
      <c r="H4208" s="793" t="s">
        <v>834</v>
      </c>
      <c r="I4208" s="794">
        <v>3.5370849348325649E-3</v>
      </c>
      <c r="J4208" s="794">
        <v>2.0420609739918016</v>
      </c>
      <c r="K4208" s="771"/>
    </row>
    <row r="4209" spans="1:11" ht="18.75" customHeight="1" outlineLevel="2">
      <c r="A4209" s="791" t="s">
        <v>776</v>
      </c>
      <c r="B4209" s="791" t="s">
        <v>1042</v>
      </c>
      <c r="C4209" s="791" t="s">
        <v>778</v>
      </c>
      <c r="D4209" s="792" t="s">
        <v>779</v>
      </c>
      <c r="E4209" s="793" t="s">
        <v>662</v>
      </c>
      <c r="F4209" s="793" t="s">
        <v>835</v>
      </c>
      <c r="G4209" s="793" t="s">
        <v>799</v>
      </c>
      <c r="H4209" s="793" t="s">
        <v>800</v>
      </c>
      <c r="I4209" s="794">
        <v>0.11914795803793782</v>
      </c>
      <c r="J4209" s="794">
        <v>84.034096854422899</v>
      </c>
      <c r="K4209" s="771"/>
    </row>
    <row r="4210" spans="1:11" ht="18.75" customHeight="1" outlineLevel="2">
      <c r="A4210" s="791" t="s">
        <v>776</v>
      </c>
      <c r="B4210" s="791" t="s">
        <v>1042</v>
      </c>
      <c r="C4210" s="791" t="s">
        <v>778</v>
      </c>
      <c r="D4210" s="792" t="s">
        <v>779</v>
      </c>
      <c r="E4210" s="793" t="s">
        <v>662</v>
      </c>
      <c r="F4210" s="793" t="s">
        <v>836</v>
      </c>
      <c r="G4210" s="793" t="s">
        <v>799</v>
      </c>
      <c r="H4210" s="793" t="s">
        <v>800</v>
      </c>
      <c r="I4210" s="794">
        <v>0.87798568008551003</v>
      </c>
      <c r="J4210" s="794">
        <v>798.89408669602778</v>
      </c>
      <c r="K4210" s="771"/>
    </row>
    <row r="4211" spans="1:11" ht="18.75" customHeight="1" outlineLevel="2">
      <c r="A4211" s="791" t="s">
        <v>776</v>
      </c>
      <c r="B4211" s="791" t="s">
        <v>1042</v>
      </c>
      <c r="C4211" s="791" t="s">
        <v>778</v>
      </c>
      <c r="D4211" s="792" t="s">
        <v>779</v>
      </c>
      <c r="E4211" s="793" t="s">
        <v>662</v>
      </c>
      <c r="F4211" s="793" t="s">
        <v>837</v>
      </c>
      <c r="G4211" s="793" t="s">
        <v>799</v>
      </c>
      <c r="H4211" s="793" t="s">
        <v>800</v>
      </c>
      <c r="I4211" s="794">
        <v>0.20618886160963085</v>
      </c>
      <c r="J4211" s="794">
        <v>273.2780708892389</v>
      </c>
      <c r="K4211" s="771"/>
    </row>
    <row r="4212" spans="1:11" ht="18.75" customHeight="1" outlineLevel="2">
      <c r="A4212" s="791" t="s">
        <v>776</v>
      </c>
      <c r="B4212" s="791" t="s">
        <v>1042</v>
      </c>
      <c r="C4212" s="791" t="s">
        <v>778</v>
      </c>
      <c r="D4212" s="792" t="s">
        <v>779</v>
      </c>
      <c r="E4212" s="793" t="s">
        <v>662</v>
      </c>
      <c r="F4212" s="793" t="s">
        <v>838</v>
      </c>
      <c r="G4212" s="793" t="s">
        <v>799</v>
      </c>
      <c r="H4212" s="793" t="s">
        <v>800</v>
      </c>
      <c r="I4212" s="794">
        <v>0.1179568860296281</v>
      </c>
      <c r="J4212" s="794">
        <v>107.15204737313533</v>
      </c>
      <c r="K4212" s="771"/>
    </row>
    <row r="4213" spans="1:11" ht="18.75" customHeight="1" outlineLevel="2">
      <c r="A4213" s="791" t="s">
        <v>776</v>
      </c>
      <c r="B4213" s="791" t="s">
        <v>1042</v>
      </c>
      <c r="C4213" s="791" t="s">
        <v>778</v>
      </c>
      <c r="D4213" s="792" t="s">
        <v>779</v>
      </c>
      <c r="E4213" s="793" t="s">
        <v>662</v>
      </c>
      <c r="F4213" s="793" t="s">
        <v>839</v>
      </c>
      <c r="G4213" s="793" t="s">
        <v>782</v>
      </c>
      <c r="H4213" s="793" t="s">
        <v>804</v>
      </c>
      <c r="I4213" s="794">
        <v>8.2104517913003036E-3</v>
      </c>
      <c r="J4213" s="794">
        <v>13.328597564750032</v>
      </c>
      <c r="K4213" s="771"/>
    </row>
    <row r="4214" spans="1:11" ht="18.75" customHeight="1" outlineLevel="2">
      <c r="A4214" s="791" t="s">
        <v>776</v>
      </c>
      <c r="B4214" s="791" t="s">
        <v>1042</v>
      </c>
      <c r="C4214" s="791" t="s">
        <v>778</v>
      </c>
      <c r="D4214" s="792" t="s">
        <v>779</v>
      </c>
      <c r="E4214" s="793" t="s">
        <v>662</v>
      </c>
      <c r="F4214" s="793" t="s">
        <v>840</v>
      </c>
      <c r="G4214" s="793" t="s">
        <v>782</v>
      </c>
      <c r="H4214" s="793" t="s">
        <v>804</v>
      </c>
      <c r="I4214" s="794">
        <v>6.5612168277159576E-5</v>
      </c>
      <c r="J4214" s="794">
        <v>9.9486373189426533E-2</v>
      </c>
      <c r="K4214" s="771"/>
    </row>
    <row r="4215" spans="1:11" ht="18.75" customHeight="1" outlineLevel="2">
      <c r="A4215" s="791" t="s">
        <v>776</v>
      </c>
      <c r="B4215" s="791" t="s">
        <v>1042</v>
      </c>
      <c r="C4215" s="791" t="s">
        <v>778</v>
      </c>
      <c r="D4215" s="792" t="s">
        <v>779</v>
      </c>
      <c r="E4215" s="793" t="s">
        <v>662</v>
      </c>
      <c r="F4215" s="793" t="s">
        <v>841</v>
      </c>
      <c r="G4215" s="793" t="s">
        <v>782</v>
      </c>
      <c r="H4215" s="793" t="s">
        <v>804</v>
      </c>
      <c r="I4215" s="794">
        <v>1.7740513106934502E-2</v>
      </c>
      <c r="J4215" s="794">
        <v>25.039388306423486</v>
      </c>
      <c r="K4215" s="771"/>
    </row>
    <row r="4216" spans="1:11" ht="18.75" customHeight="1" outlineLevel="2">
      <c r="A4216" s="791" t="s">
        <v>776</v>
      </c>
      <c r="B4216" s="791" t="s">
        <v>1042</v>
      </c>
      <c r="C4216" s="791" t="s">
        <v>778</v>
      </c>
      <c r="D4216" s="792" t="s">
        <v>779</v>
      </c>
      <c r="E4216" s="793" t="s">
        <v>662</v>
      </c>
      <c r="F4216" s="793" t="s">
        <v>842</v>
      </c>
      <c r="G4216" s="793" t="s">
        <v>782</v>
      </c>
      <c r="H4216" s="793" t="s">
        <v>804</v>
      </c>
      <c r="I4216" s="794">
        <v>1.4476816808388982E-2</v>
      </c>
      <c r="J4216" s="794">
        <v>23.574152751770082</v>
      </c>
      <c r="K4216" s="771"/>
    </row>
    <row r="4217" spans="1:11" ht="18.75" customHeight="1" outlineLevel="2">
      <c r="A4217" s="791" t="s">
        <v>776</v>
      </c>
      <c r="B4217" s="791" t="s">
        <v>1042</v>
      </c>
      <c r="C4217" s="791" t="s">
        <v>778</v>
      </c>
      <c r="D4217" s="792" t="s">
        <v>779</v>
      </c>
      <c r="E4217" s="793" t="s">
        <v>662</v>
      </c>
      <c r="F4217" s="793" t="s">
        <v>843</v>
      </c>
      <c r="G4217" s="793" t="s">
        <v>782</v>
      </c>
      <c r="H4217" s="793" t="s">
        <v>804</v>
      </c>
      <c r="I4217" s="794">
        <v>3.2374526522468895E-2</v>
      </c>
      <c r="J4217" s="794">
        <v>47.046778037952784</v>
      </c>
      <c r="K4217" s="771"/>
    </row>
    <row r="4218" spans="1:11" ht="18.75" customHeight="1" outlineLevel="2">
      <c r="A4218" s="791" t="s">
        <v>776</v>
      </c>
      <c r="B4218" s="791" t="s">
        <v>1042</v>
      </c>
      <c r="C4218" s="791" t="s">
        <v>778</v>
      </c>
      <c r="D4218" s="792" t="s">
        <v>779</v>
      </c>
      <c r="E4218" s="793" t="s">
        <v>662</v>
      </c>
      <c r="F4218" s="793" t="s">
        <v>844</v>
      </c>
      <c r="G4218" s="793" t="s">
        <v>782</v>
      </c>
      <c r="H4218" s="793" t="s">
        <v>804</v>
      </c>
      <c r="I4218" s="794">
        <v>1.4044969736439096E-2</v>
      </c>
      <c r="J4218" s="794">
        <v>19.810172441147547</v>
      </c>
      <c r="K4218" s="771"/>
    </row>
    <row r="4219" spans="1:11" ht="18.75" customHeight="1" outlineLevel="2">
      <c r="A4219" s="791" t="s">
        <v>776</v>
      </c>
      <c r="B4219" s="791" t="s">
        <v>1042</v>
      </c>
      <c r="C4219" s="791" t="s">
        <v>778</v>
      </c>
      <c r="D4219" s="792" t="s">
        <v>779</v>
      </c>
      <c r="E4219" s="793" t="s">
        <v>662</v>
      </c>
      <c r="F4219" s="793" t="s">
        <v>845</v>
      </c>
      <c r="G4219" s="793" t="s">
        <v>782</v>
      </c>
      <c r="H4219" s="793" t="s">
        <v>804</v>
      </c>
      <c r="I4219" s="794">
        <v>7.6491616130001819E-4</v>
      </c>
      <c r="J4219" s="794">
        <v>1.0324698401277175</v>
      </c>
      <c r="K4219" s="771"/>
    </row>
    <row r="4220" spans="1:11" ht="18.75" customHeight="1" outlineLevel="2">
      <c r="A4220" s="791" t="s">
        <v>776</v>
      </c>
      <c r="B4220" s="791" t="s">
        <v>1042</v>
      </c>
      <c r="C4220" s="791" t="s">
        <v>778</v>
      </c>
      <c r="D4220" s="792" t="s">
        <v>779</v>
      </c>
      <c r="E4220" s="793" t="s">
        <v>662</v>
      </c>
      <c r="F4220" s="793" t="s">
        <v>846</v>
      </c>
      <c r="G4220" s="793" t="s">
        <v>782</v>
      </c>
      <c r="H4220" s="793" t="s">
        <v>804</v>
      </c>
      <c r="I4220" s="794">
        <v>2.661735651361349E-2</v>
      </c>
      <c r="J4220" s="794">
        <v>41.456610814526265</v>
      </c>
      <c r="K4220" s="771"/>
    </row>
    <row r="4221" spans="1:11" ht="18.75" customHeight="1" outlineLevel="2">
      <c r="A4221" s="791" t="s">
        <v>776</v>
      </c>
      <c r="B4221" s="791" t="s">
        <v>1042</v>
      </c>
      <c r="C4221" s="791" t="s">
        <v>778</v>
      </c>
      <c r="D4221" s="792" t="s">
        <v>779</v>
      </c>
      <c r="E4221" s="793" t="s">
        <v>662</v>
      </c>
      <c r="F4221" s="793" t="s">
        <v>847</v>
      </c>
      <c r="G4221" s="793" t="s">
        <v>782</v>
      </c>
      <c r="H4221" s="793" t="s">
        <v>804</v>
      </c>
      <c r="I4221" s="794">
        <v>1.2683516433484213E-2</v>
      </c>
      <c r="J4221" s="794">
        <v>15.37551406140272</v>
      </c>
      <c r="K4221" s="771"/>
    </row>
    <row r="4222" spans="1:11" ht="18.75" customHeight="1" outlineLevel="2">
      <c r="A4222" s="791" t="s">
        <v>776</v>
      </c>
      <c r="B4222" s="791" t="s">
        <v>1042</v>
      </c>
      <c r="C4222" s="791" t="s">
        <v>778</v>
      </c>
      <c r="D4222" s="792" t="s">
        <v>779</v>
      </c>
      <c r="E4222" s="793" t="s">
        <v>662</v>
      </c>
      <c r="F4222" s="793" t="s">
        <v>848</v>
      </c>
      <c r="G4222" s="793" t="s">
        <v>782</v>
      </c>
      <c r="H4222" s="793" t="s">
        <v>804</v>
      </c>
      <c r="I4222" s="794">
        <v>5.9967437249847599E-2</v>
      </c>
      <c r="J4222" s="794">
        <v>86.386554879359565</v>
      </c>
      <c r="K4222" s="771"/>
    </row>
    <row r="4223" spans="1:11" ht="18.75" customHeight="1" outlineLevel="2">
      <c r="A4223" s="791" t="s">
        <v>776</v>
      </c>
      <c r="B4223" s="791" t="s">
        <v>1042</v>
      </c>
      <c r="C4223" s="791" t="s">
        <v>778</v>
      </c>
      <c r="D4223" s="792" t="s">
        <v>779</v>
      </c>
      <c r="E4223" s="793" t="s">
        <v>662</v>
      </c>
      <c r="F4223" s="793" t="s">
        <v>849</v>
      </c>
      <c r="G4223" s="793" t="s">
        <v>782</v>
      </c>
      <c r="H4223" s="793" t="s">
        <v>804</v>
      </c>
      <c r="I4223" s="794">
        <v>3.0398357588931529E-2</v>
      </c>
      <c r="J4223" s="794">
        <v>41.485195464198924</v>
      </c>
      <c r="K4223" s="771"/>
    </row>
    <row r="4224" spans="1:11" ht="18.75" customHeight="1" outlineLevel="2">
      <c r="A4224" s="791" t="s">
        <v>776</v>
      </c>
      <c r="B4224" s="791" t="s">
        <v>1042</v>
      </c>
      <c r="C4224" s="791" t="s">
        <v>778</v>
      </c>
      <c r="D4224" s="792" t="s">
        <v>779</v>
      </c>
      <c r="E4224" s="793" t="s">
        <v>662</v>
      </c>
      <c r="F4224" s="793" t="s">
        <v>850</v>
      </c>
      <c r="G4224" s="793" t="s">
        <v>782</v>
      </c>
      <c r="H4224" s="793" t="s">
        <v>804</v>
      </c>
      <c r="I4224" s="794">
        <v>2.4009518720109432E-3</v>
      </c>
      <c r="J4224" s="794">
        <v>3.3415782337461968</v>
      </c>
      <c r="K4224" s="771"/>
    </row>
    <row r="4225" spans="1:11" ht="18.75" customHeight="1" outlineLevel="2">
      <c r="A4225" s="791" t="s">
        <v>776</v>
      </c>
      <c r="B4225" s="791" t="s">
        <v>1042</v>
      </c>
      <c r="C4225" s="791" t="s">
        <v>778</v>
      </c>
      <c r="D4225" s="792" t="s">
        <v>779</v>
      </c>
      <c r="E4225" s="793" t="s">
        <v>662</v>
      </c>
      <c r="F4225" s="793" t="s">
        <v>851</v>
      </c>
      <c r="G4225" s="793" t="s">
        <v>782</v>
      </c>
      <c r="H4225" s="793" t="s">
        <v>804</v>
      </c>
      <c r="I4225" s="794">
        <v>3.9452938272861744E-3</v>
      </c>
      <c r="J4225" s="794">
        <v>5.6113464964520681</v>
      </c>
      <c r="K4225" s="771"/>
    </row>
    <row r="4226" spans="1:11" ht="18.75" customHeight="1" outlineLevel="2">
      <c r="A4226" s="791" t="s">
        <v>776</v>
      </c>
      <c r="B4226" s="791" t="s">
        <v>1042</v>
      </c>
      <c r="C4226" s="791" t="s">
        <v>778</v>
      </c>
      <c r="D4226" s="792" t="s">
        <v>779</v>
      </c>
      <c r="E4226" s="793" t="s">
        <v>662</v>
      </c>
      <c r="F4226" s="793" t="s">
        <v>852</v>
      </c>
      <c r="G4226" s="793" t="s">
        <v>782</v>
      </c>
      <c r="H4226" s="793" t="s">
        <v>804</v>
      </c>
      <c r="I4226" s="794">
        <v>1.7260930190837664E-3</v>
      </c>
      <c r="J4226" s="794">
        <v>5.0141980952517251</v>
      </c>
      <c r="K4226" s="771"/>
    </row>
    <row r="4227" spans="1:11" ht="18.75" customHeight="1" outlineLevel="2">
      <c r="A4227" s="791" t="s">
        <v>776</v>
      </c>
      <c r="B4227" s="791" t="s">
        <v>1042</v>
      </c>
      <c r="C4227" s="791" t="s">
        <v>778</v>
      </c>
      <c r="D4227" s="792" t="s">
        <v>779</v>
      </c>
      <c r="E4227" s="793" t="s">
        <v>662</v>
      </c>
      <c r="F4227" s="793" t="s">
        <v>853</v>
      </c>
      <c r="G4227" s="793" t="s">
        <v>782</v>
      </c>
      <c r="H4227" s="793" t="s">
        <v>804</v>
      </c>
      <c r="I4227" s="794">
        <v>1.3899278176616901E-3</v>
      </c>
      <c r="J4227" s="794">
        <v>11.892811718630739</v>
      </c>
      <c r="K4227" s="771"/>
    </row>
    <row r="4228" spans="1:11" ht="18.75" customHeight="1" outlineLevel="2">
      <c r="A4228" s="791" t="s">
        <v>776</v>
      </c>
      <c r="B4228" s="791" t="s">
        <v>1042</v>
      </c>
      <c r="C4228" s="791" t="s">
        <v>778</v>
      </c>
      <c r="D4228" s="792" t="s">
        <v>779</v>
      </c>
      <c r="E4228" s="793" t="s">
        <v>662</v>
      </c>
      <c r="F4228" s="793" t="s">
        <v>854</v>
      </c>
      <c r="G4228" s="793" t="s">
        <v>782</v>
      </c>
      <c r="H4228" s="793" t="s">
        <v>804</v>
      </c>
      <c r="I4228" s="794">
        <v>1.8919945593516042E-2</v>
      </c>
      <c r="J4228" s="794">
        <v>28.35754899570129</v>
      </c>
      <c r="K4228" s="771"/>
    </row>
    <row r="4229" spans="1:11" ht="18.75" customHeight="1" outlineLevel="2">
      <c r="A4229" s="791" t="s">
        <v>776</v>
      </c>
      <c r="B4229" s="791" t="s">
        <v>1042</v>
      </c>
      <c r="C4229" s="791" t="s">
        <v>778</v>
      </c>
      <c r="D4229" s="792" t="s">
        <v>779</v>
      </c>
      <c r="E4229" s="793" t="s">
        <v>662</v>
      </c>
      <c r="F4229" s="793" t="s">
        <v>855</v>
      </c>
      <c r="G4229" s="793" t="s">
        <v>782</v>
      </c>
      <c r="H4229" s="793" t="s">
        <v>804</v>
      </c>
      <c r="I4229" s="794">
        <v>1.3499079701226291E-2</v>
      </c>
      <c r="J4229" s="794">
        <v>19.764084614919685</v>
      </c>
      <c r="K4229" s="771"/>
    </row>
    <row r="4230" spans="1:11" ht="18.75" customHeight="1" outlineLevel="2">
      <c r="A4230" s="791" t="s">
        <v>776</v>
      </c>
      <c r="B4230" s="791" t="s">
        <v>1042</v>
      </c>
      <c r="C4230" s="791" t="s">
        <v>778</v>
      </c>
      <c r="D4230" s="792" t="s">
        <v>779</v>
      </c>
      <c r="E4230" s="793" t="s">
        <v>662</v>
      </c>
      <c r="F4230" s="793" t="s">
        <v>856</v>
      </c>
      <c r="G4230" s="793" t="s">
        <v>782</v>
      </c>
      <c r="H4230" s="793" t="s">
        <v>804</v>
      </c>
      <c r="I4230" s="794">
        <v>5.3048092817368723E-3</v>
      </c>
      <c r="J4230" s="794">
        <v>6.4759871005985952</v>
      </c>
      <c r="K4230" s="771"/>
    </row>
    <row r="4231" spans="1:11" ht="18.75" customHeight="1" outlineLevel="2">
      <c r="A4231" s="791" t="s">
        <v>776</v>
      </c>
      <c r="B4231" s="791" t="s">
        <v>1042</v>
      </c>
      <c r="C4231" s="791" t="s">
        <v>778</v>
      </c>
      <c r="D4231" s="792" t="s">
        <v>779</v>
      </c>
      <c r="E4231" s="793" t="s">
        <v>662</v>
      </c>
      <c r="F4231" s="793" t="s">
        <v>857</v>
      </c>
      <c r="G4231" s="793" t="s">
        <v>782</v>
      </c>
      <c r="H4231" s="793" t="s">
        <v>804</v>
      </c>
      <c r="I4231" s="794">
        <v>4.4105527178167087E-3</v>
      </c>
      <c r="J4231" s="794">
        <v>4.7320181276922701</v>
      </c>
      <c r="K4231" s="771"/>
    </row>
    <row r="4232" spans="1:11" ht="18.75" customHeight="1" outlineLevel="2">
      <c r="A4232" s="791" t="s">
        <v>776</v>
      </c>
      <c r="B4232" s="791" t="s">
        <v>1042</v>
      </c>
      <c r="C4232" s="791" t="s">
        <v>778</v>
      </c>
      <c r="D4232" s="792" t="s">
        <v>779</v>
      </c>
      <c r="E4232" s="793" t="s">
        <v>662</v>
      </c>
      <c r="F4232" s="793" t="s">
        <v>858</v>
      </c>
      <c r="G4232" s="793" t="s">
        <v>785</v>
      </c>
      <c r="H4232" s="793" t="s">
        <v>727</v>
      </c>
      <c r="I4232" s="794">
        <v>8.5957182124431902E-2</v>
      </c>
      <c r="J4232" s="794">
        <v>171.51983274913167</v>
      </c>
      <c r="K4232" s="771"/>
    </row>
    <row r="4233" spans="1:11" ht="18.75" customHeight="1" outlineLevel="2">
      <c r="A4233" s="791" t="s">
        <v>776</v>
      </c>
      <c r="B4233" s="791" t="s">
        <v>1042</v>
      </c>
      <c r="C4233" s="791" t="s">
        <v>778</v>
      </c>
      <c r="D4233" s="792" t="s">
        <v>779</v>
      </c>
      <c r="E4233" s="793" t="s">
        <v>662</v>
      </c>
      <c r="F4233" s="793" t="s">
        <v>859</v>
      </c>
      <c r="G4233" s="793" t="s">
        <v>785</v>
      </c>
      <c r="H4233" s="793" t="s">
        <v>727</v>
      </c>
      <c r="I4233" s="794">
        <v>6.1782066389555253E-2</v>
      </c>
      <c r="J4233" s="794">
        <v>649.11702752102542</v>
      </c>
      <c r="K4233" s="771"/>
    </row>
    <row r="4234" spans="1:11" ht="18.75" customHeight="1" outlineLevel="2">
      <c r="A4234" s="791" t="s">
        <v>776</v>
      </c>
      <c r="B4234" s="791" t="s">
        <v>1042</v>
      </c>
      <c r="C4234" s="791" t="s">
        <v>778</v>
      </c>
      <c r="D4234" s="792" t="s">
        <v>779</v>
      </c>
      <c r="E4234" s="793" t="s">
        <v>662</v>
      </c>
      <c r="F4234" s="793" t="s">
        <v>860</v>
      </c>
      <c r="G4234" s="793" t="s">
        <v>785</v>
      </c>
      <c r="H4234" s="793" t="s">
        <v>727</v>
      </c>
      <c r="I4234" s="794">
        <v>5.1278763782053399E-2</v>
      </c>
      <c r="J4234" s="794">
        <v>139.48352049842615</v>
      </c>
      <c r="K4234" s="771"/>
    </row>
    <row r="4235" spans="1:11" ht="18.75" customHeight="1" outlineLevel="2">
      <c r="A4235" s="791" t="s">
        <v>776</v>
      </c>
      <c r="B4235" s="791" t="s">
        <v>1042</v>
      </c>
      <c r="C4235" s="791" t="s">
        <v>778</v>
      </c>
      <c r="D4235" s="792" t="s">
        <v>779</v>
      </c>
      <c r="E4235" s="793" t="s">
        <v>662</v>
      </c>
      <c r="F4235" s="793" t="s">
        <v>861</v>
      </c>
      <c r="G4235" s="793" t="s">
        <v>785</v>
      </c>
      <c r="H4235" s="793" t="s">
        <v>727</v>
      </c>
      <c r="I4235" s="794">
        <v>0.19725021505572374</v>
      </c>
      <c r="J4235" s="794">
        <v>261.98842747749001</v>
      </c>
      <c r="K4235" s="771"/>
    </row>
    <row r="4236" spans="1:11" ht="18.75" customHeight="1" outlineLevel="2">
      <c r="A4236" s="791" t="s">
        <v>776</v>
      </c>
      <c r="B4236" s="791" t="s">
        <v>1042</v>
      </c>
      <c r="C4236" s="791" t="s">
        <v>778</v>
      </c>
      <c r="D4236" s="792" t="s">
        <v>779</v>
      </c>
      <c r="E4236" s="793" t="s">
        <v>662</v>
      </c>
      <c r="F4236" s="793" t="s">
        <v>862</v>
      </c>
      <c r="G4236" s="793" t="s">
        <v>785</v>
      </c>
      <c r="H4236" s="793" t="s">
        <v>727</v>
      </c>
      <c r="I4236" s="794">
        <v>5.5624396560769113E-3</v>
      </c>
      <c r="J4236" s="794">
        <v>12.021146082562138</v>
      </c>
      <c r="K4236" s="771"/>
    </row>
    <row r="4237" spans="1:11" ht="18.75" customHeight="1" outlineLevel="2">
      <c r="A4237" s="791" t="s">
        <v>776</v>
      </c>
      <c r="B4237" s="791" t="s">
        <v>1042</v>
      </c>
      <c r="C4237" s="791" t="s">
        <v>778</v>
      </c>
      <c r="D4237" s="792" t="s">
        <v>779</v>
      </c>
      <c r="E4237" s="793" t="s">
        <v>662</v>
      </c>
      <c r="F4237" s="793" t="s">
        <v>863</v>
      </c>
      <c r="G4237" s="793" t="s">
        <v>785</v>
      </c>
      <c r="H4237" s="793" t="s">
        <v>727</v>
      </c>
      <c r="I4237" s="794">
        <v>2.9906927118682715E-3</v>
      </c>
      <c r="J4237" s="794">
        <v>4.4175599200509845</v>
      </c>
      <c r="K4237" s="771"/>
    </row>
    <row r="4238" spans="1:11" ht="18.75" customHeight="1" outlineLevel="2">
      <c r="A4238" s="791" t="s">
        <v>776</v>
      </c>
      <c r="B4238" s="791" t="s">
        <v>1042</v>
      </c>
      <c r="C4238" s="791" t="s">
        <v>778</v>
      </c>
      <c r="D4238" s="792" t="s">
        <v>779</v>
      </c>
      <c r="E4238" s="793" t="s">
        <v>662</v>
      </c>
      <c r="F4238" s="793" t="s">
        <v>864</v>
      </c>
      <c r="G4238" s="793" t="s">
        <v>785</v>
      </c>
      <c r="H4238" s="793" t="s">
        <v>727</v>
      </c>
      <c r="I4238" s="794">
        <v>4.0515788142421886E-3</v>
      </c>
      <c r="J4238" s="794">
        <v>57.327088551412679</v>
      </c>
      <c r="K4238" s="771"/>
    </row>
    <row r="4239" spans="1:11" ht="18.75" customHeight="1" outlineLevel="2">
      <c r="A4239" s="791" t="s">
        <v>776</v>
      </c>
      <c r="B4239" s="791" t="s">
        <v>1042</v>
      </c>
      <c r="C4239" s="791" t="s">
        <v>778</v>
      </c>
      <c r="D4239" s="792" t="s">
        <v>779</v>
      </c>
      <c r="E4239" s="793" t="s">
        <v>662</v>
      </c>
      <c r="F4239" s="793" t="s">
        <v>865</v>
      </c>
      <c r="G4239" s="793" t="s">
        <v>813</v>
      </c>
      <c r="H4239" s="793" t="s">
        <v>814</v>
      </c>
      <c r="I4239" s="794">
        <v>0.74648543181623017</v>
      </c>
      <c r="J4239" s="794">
        <v>795.37817633103373</v>
      </c>
      <c r="K4239" s="771"/>
    </row>
    <row r="4240" spans="1:11" ht="18.75" customHeight="1" outlineLevel="2">
      <c r="A4240" s="791" t="s">
        <v>776</v>
      </c>
      <c r="B4240" s="791" t="s">
        <v>1042</v>
      </c>
      <c r="C4240" s="791" t="s">
        <v>778</v>
      </c>
      <c r="D4240" s="792" t="s">
        <v>779</v>
      </c>
      <c r="E4240" s="793" t="s">
        <v>662</v>
      </c>
      <c r="F4240" s="793" t="s">
        <v>866</v>
      </c>
      <c r="G4240" s="793" t="s">
        <v>813</v>
      </c>
      <c r="H4240" s="793" t="s">
        <v>814</v>
      </c>
      <c r="I4240" s="794">
        <v>0.56466005943548891</v>
      </c>
      <c r="J4240" s="794">
        <v>763.27424625156652</v>
      </c>
      <c r="K4240" s="771"/>
    </row>
    <row r="4241" spans="1:11" ht="18.75" customHeight="1" outlineLevel="2">
      <c r="A4241" s="791" t="s">
        <v>776</v>
      </c>
      <c r="B4241" s="791" t="s">
        <v>1042</v>
      </c>
      <c r="C4241" s="791" t="s">
        <v>778</v>
      </c>
      <c r="D4241" s="792" t="s">
        <v>779</v>
      </c>
      <c r="E4241" s="793" t="s">
        <v>662</v>
      </c>
      <c r="F4241" s="793" t="s">
        <v>867</v>
      </c>
      <c r="G4241" s="793" t="s">
        <v>813</v>
      </c>
      <c r="H4241" s="793" t="s">
        <v>814</v>
      </c>
      <c r="I4241" s="794">
        <v>6.4260942074644611E-2</v>
      </c>
      <c r="J4241" s="794">
        <v>68.443678735616302</v>
      </c>
      <c r="K4241" s="771"/>
    </row>
    <row r="4242" spans="1:11" ht="18.75" customHeight="1" outlineLevel="2">
      <c r="A4242" s="791" t="s">
        <v>776</v>
      </c>
      <c r="B4242" s="791" t="s">
        <v>1042</v>
      </c>
      <c r="C4242" s="791" t="s">
        <v>778</v>
      </c>
      <c r="D4242" s="792" t="s">
        <v>779</v>
      </c>
      <c r="E4242" s="793" t="s">
        <v>662</v>
      </c>
      <c r="F4242" s="793" t="s">
        <v>868</v>
      </c>
      <c r="G4242" s="793" t="s">
        <v>813</v>
      </c>
      <c r="H4242" s="793" t="s">
        <v>814</v>
      </c>
      <c r="I4242" s="794">
        <v>0.35984186834119525</v>
      </c>
      <c r="J4242" s="794">
        <v>452.74632958096504</v>
      </c>
      <c r="K4242" s="771"/>
    </row>
    <row r="4243" spans="1:11" ht="18.75" customHeight="1" outlineLevel="2">
      <c r="A4243" s="791" t="s">
        <v>776</v>
      </c>
      <c r="B4243" s="791" t="s">
        <v>1042</v>
      </c>
      <c r="C4243" s="791" t="s">
        <v>778</v>
      </c>
      <c r="D4243" s="792" t="s">
        <v>779</v>
      </c>
      <c r="E4243" s="793" t="s">
        <v>662</v>
      </c>
      <c r="F4243" s="793" t="s">
        <v>869</v>
      </c>
      <c r="G4243" s="793" t="s">
        <v>813</v>
      </c>
      <c r="H4243" s="793" t="s">
        <v>814</v>
      </c>
      <c r="I4243" s="794">
        <v>3.5006545834396648E-3</v>
      </c>
      <c r="J4243" s="794">
        <v>4.4212847991930477</v>
      </c>
      <c r="K4243" s="771"/>
    </row>
    <row r="4244" spans="1:11" ht="18.75" customHeight="1" outlineLevel="2">
      <c r="A4244" s="791" t="s">
        <v>776</v>
      </c>
      <c r="B4244" s="791" t="s">
        <v>1042</v>
      </c>
      <c r="C4244" s="791" t="s">
        <v>778</v>
      </c>
      <c r="D4244" s="792" t="s">
        <v>779</v>
      </c>
      <c r="E4244" s="793" t="s">
        <v>662</v>
      </c>
      <c r="F4244" s="793" t="s">
        <v>870</v>
      </c>
      <c r="G4244" s="793" t="s">
        <v>813</v>
      </c>
      <c r="H4244" s="793" t="s">
        <v>814</v>
      </c>
      <c r="I4244" s="794">
        <v>1.2536182214972682E-2</v>
      </c>
      <c r="J4244" s="794">
        <v>17.679342224583294</v>
      </c>
      <c r="K4244" s="771"/>
    </row>
    <row r="4245" spans="1:11" ht="18.75" customHeight="1" outlineLevel="2">
      <c r="A4245" s="791" t="s">
        <v>776</v>
      </c>
      <c r="B4245" s="791" t="s">
        <v>1042</v>
      </c>
      <c r="C4245" s="791" t="s">
        <v>778</v>
      </c>
      <c r="D4245" s="792" t="s">
        <v>779</v>
      </c>
      <c r="E4245" s="793" t="s">
        <v>662</v>
      </c>
      <c r="F4245" s="793" t="s">
        <v>871</v>
      </c>
      <c r="G4245" s="793" t="s">
        <v>813</v>
      </c>
      <c r="H4245" s="793" t="s">
        <v>814</v>
      </c>
      <c r="I4245" s="794">
        <v>6.6670968006882231E-3</v>
      </c>
      <c r="J4245" s="794">
        <v>8.4348119357059694</v>
      </c>
      <c r="K4245" s="771"/>
    </row>
    <row r="4246" spans="1:11" ht="18.75" customHeight="1" outlineLevel="2">
      <c r="A4246" s="791" t="s">
        <v>776</v>
      </c>
      <c r="B4246" s="791" t="s">
        <v>1042</v>
      </c>
      <c r="C4246" s="791" t="s">
        <v>778</v>
      </c>
      <c r="D4246" s="792" t="s">
        <v>779</v>
      </c>
      <c r="E4246" s="793" t="s">
        <v>662</v>
      </c>
      <c r="F4246" s="793" t="s">
        <v>872</v>
      </c>
      <c r="G4246" s="793" t="s">
        <v>813</v>
      </c>
      <c r="H4246" s="793" t="s">
        <v>814</v>
      </c>
      <c r="I4246" s="794">
        <v>0.42842091299869317</v>
      </c>
      <c r="J4246" s="794">
        <v>725.46516413287827</v>
      </c>
      <c r="K4246" s="771"/>
    </row>
    <row r="4247" spans="1:11" ht="18.75" customHeight="1" outlineLevel="2">
      <c r="A4247" s="791" t="s">
        <v>776</v>
      </c>
      <c r="B4247" s="791" t="s">
        <v>1042</v>
      </c>
      <c r="C4247" s="791" t="s">
        <v>778</v>
      </c>
      <c r="D4247" s="792" t="s">
        <v>779</v>
      </c>
      <c r="E4247" s="793" t="s">
        <v>662</v>
      </c>
      <c r="F4247" s="793" t="s">
        <v>873</v>
      </c>
      <c r="G4247" s="793" t="s">
        <v>813</v>
      </c>
      <c r="H4247" s="793" t="s">
        <v>814</v>
      </c>
      <c r="I4247" s="794">
        <v>0.17036170429653924</v>
      </c>
      <c r="J4247" s="794">
        <v>90.01683506307802</v>
      </c>
      <c r="K4247" s="771"/>
    </row>
    <row r="4248" spans="1:11" ht="18.75" customHeight="1" outlineLevel="2">
      <c r="A4248" s="791" t="s">
        <v>776</v>
      </c>
      <c r="B4248" s="791" t="s">
        <v>1042</v>
      </c>
      <c r="C4248" s="791" t="s">
        <v>778</v>
      </c>
      <c r="D4248" s="792" t="s">
        <v>779</v>
      </c>
      <c r="E4248" s="793" t="s">
        <v>662</v>
      </c>
      <c r="F4248" s="793" t="s">
        <v>874</v>
      </c>
      <c r="G4248" s="793" t="s">
        <v>813</v>
      </c>
      <c r="H4248" s="793" t="s">
        <v>814</v>
      </c>
      <c r="I4248" s="794">
        <v>0.54324464959649121</v>
      </c>
      <c r="J4248" s="794">
        <v>287.00963247725008</v>
      </c>
      <c r="K4248" s="771"/>
    </row>
    <row r="4249" spans="1:11" ht="18.75" customHeight="1" outlineLevel="2">
      <c r="A4249" s="791" t="s">
        <v>776</v>
      </c>
      <c r="B4249" s="791" t="s">
        <v>1042</v>
      </c>
      <c r="C4249" s="791" t="s">
        <v>778</v>
      </c>
      <c r="D4249" s="792" t="s">
        <v>779</v>
      </c>
      <c r="E4249" s="793" t="s">
        <v>662</v>
      </c>
      <c r="F4249" s="793" t="s">
        <v>875</v>
      </c>
      <c r="G4249" s="793" t="s">
        <v>813</v>
      </c>
      <c r="H4249" s="793" t="s">
        <v>814</v>
      </c>
      <c r="I4249" s="794">
        <v>0.11122715178616709</v>
      </c>
      <c r="J4249" s="794">
        <v>161.54379577828848</v>
      </c>
      <c r="K4249" s="771"/>
    </row>
    <row r="4250" spans="1:11" ht="18.75" customHeight="1" outlineLevel="2">
      <c r="A4250" s="791" t="s">
        <v>776</v>
      </c>
      <c r="B4250" s="791" t="s">
        <v>1042</v>
      </c>
      <c r="C4250" s="791" t="s">
        <v>778</v>
      </c>
      <c r="D4250" s="792" t="s">
        <v>779</v>
      </c>
      <c r="E4250" s="793" t="s">
        <v>662</v>
      </c>
      <c r="F4250" s="793" t="s">
        <v>876</v>
      </c>
      <c r="G4250" s="793" t="s">
        <v>813</v>
      </c>
      <c r="H4250" s="793" t="s">
        <v>814</v>
      </c>
      <c r="I4250" s="794">
        <v>6.4484335657692765E-2</v>
      </c>
      <c r="J4250" s="794">
        <v>96.973662794547622</v>
      </c>
      <c r="K4250" s="771"/>
    </row>
    <row r="4251" spans="1:11" ht="18.75" customHeight="1" outlineLevel="2">
      <c r="A4251" s="791" t="s">
        <v>776</v>
      </c>
      <c r="B4251" s="791" t="s">
        <v>1042</v>
      </c>
      <c r="C4251" s="791" t="s">
        <v>778</v>
      </c>
      <c r="D4251" s="792" t="s">
        <v>779</v>
      </c>
      <c r="E4251" s="793" t="s">
        <v>662</v>
      </c>
      <c r="F4251" s="793" t="s">
        <v>877</v>
      </c>
      <c r="G4251" s="793" t="s">
        <v>813</v>
      </c>
      <c r="H4251" s="793" t="s">
        <v>814</v>
      </c>
      <c r="I4251" s="794">
        <v>8.507621326225176E-2</v>
      </c>
      <c r="J4251" s="794">
        <v>109.76462710285033</v>
      </c>
      <c r="K4251" s="771"/>
    </row>
    <row r="4252" spans="1:11" ht="18.75" customHeight="1" outlineLevel="2">
      <c r="A4252" s="791" t="s">
        <v>776</v>
      </c>
      <c r="B4252" s="791" t="s">
        <v>1042</v>
      </c>
      <c r="C4252" s="791" t="s">
        <v>778</v>
      </c>
      <c r="D4252" s="792" t="s">
        <v>779</v>
      </c>
      <c r="E4252" s="793" t="s">
        <v>662</v>
      </c>
      <c r="F4252" s="793" t="s">
        <v>878</v>
      </c>
      <c r="G4252" s="793" t="s">
        <v>813</v>
      </c>
      <c r="H4252" s="793" t="s">
        <v>814</v>
      </c>
      <c r="I4252" s="794">
        <v>4.3411768742908551E-2</v>
      </c>
      <c r="J4252" s="794">
        <v>52.115587409188578</v>
      </c>
      <c r="K4252" s="771"/>
    </row>
    <row r="4253" spans="1:11" ht="18.75" customHeight="1" outlineLevel="2">
      <c r="A4253" s="791" t="s">
        <v>776</v>
      </c>
      <c r="B4253" s="791" t="s">
        <v>1042</v>
      </c>
      <c r="C4253" s="791" t="s">
        <v>778</v>
      </c>
      <c r="D4253" s="792" t="s">
        <v>779</v>
      </c>
      <c r="E4253" s="793" t="s">
        <v>662</v>
      </c>
      <c r="F4253" s="793" t="s">
        <v>879</v>
      </c>
      <c r="G4253" s="793" t="s">
        <v>813</v>
      </c>
      <c r="H4253" s="793" t="s">
        <v>814</v>
      </c>
      <c r="I4253" s="794">
        <v>1.4875231445371961</v>
      </c>
      <c r="J4253" s="794">
        <v>2165.3636056154187</v>
      </c>
      <c r="K4253" s="771"/>
    </row>
    <row r="4254" spans="1:11" ht="18.75" customHeight="1" outlineLevel="2">
      <c r="A4254" s="791" t="s">
        <v>776</v>
      </c>
      <c r="B4254" s="791" t="s">
        <v>1042</v>
      </c>
      <c r="C4254" s="791" t="s">
        <v>778</v>
      </c>
      <c r="D4254" s="792" t="s">
        <v>779</v>
      </c>
      <c r="E4254" s="793" t="s">
        <v>662</v>
      </c>
      <c r="F4254" s="793" t="s">
        <v>880</v>
      </c>
      <c r="G4254" s="793" t="s">
        <v>813</v>
      </c>
      <c r="H4254" s="793" t="s">
        <v>814</v>
      </c>
      <c r="I4254" s="794">
        <v>0.87614724367225927</v>
      </c>
      <c r="J4254" s="794">
        <v>1317.8758134203019</v>
      </c>
      <c r="K4254" s="771"/>
    </row>
    <row r="4255" spans="1:11" ht="18.75" customHeight="1" outlineLevel="2">
      <c r="A4255" s="791" t="s">
        <v>776</v>
      </c>
      <c r="B4255" s="791" t="s">
        <v>1042</v>
      </c>
      <c r="C4255" s="791" t="s">
        <v>778</v>
      </c>
      <c r="D4255" s="792" t="s">
        <v>779</v>
      </c>
      <c r="E4255" s="793" t="s">
        <v>662</v>
      </c>
      <c r="F4255" s="793" t="s">
        <v>881</v>
      </c>
      <c r="G4255" s="793" t="s">
        <v>813</v>
      </c>
      <c r="H4255" s="793" t="s">
        <v>814</v>
      </c>
      <c r="I4255" s="794">
        <v>9.803833765645889E-2</v>
      </c>
      <c r="J4255" s="794">
        <v>220.05085131359192</v>
      </c>
      <c r="K4255" s="771"/>
    </row>
    <row r="4256" spans="1:11" ht="18.75" customHeight="1" outlineLevel="2">
      <c r="A4256" s="791" t="s">
        <v>776</v>
      </c>
      <c r="B4256" s="791" t="s">
        <v>1042</v>
      </c>
      <c r="C4256" s="791" t="s">
        <v>778</v>
      </c>
      <c r="D4256" s="792" t="s">
        <v>779</v>
      </c>
      <c r="E4256" s="793" t="s">
        <v>662</v>
      </c>
      <c r="F4256" s="793" t="s">
        <v>882</v>
      </c>
      <c r="G4256" s="793" t="s">
        <v>813</v>
      </c>
      <c r="H4256" s="793" t="s">
        <v>814</v>
      </c>
      <c r="I4256" s="794">
        <v>2.6985765852004278</v>
      </c>
      <c r="J4256" s="794">
        <v>4254.1888292697404</v>
      </c>
      <c r="K4256" s="771"/>
    </row>
    <row r="4257" spans="1:11" ht="18.75" customHeight="1" outlineLevel="2">
      <c r="A4257" s="791" t="s">
        <v>776</v>
      </c>
      <c r="B4257" s="791" t="s">
        <v>1042</v>
      </c>
      <c r="C4257" s="791" t="s">
        <v>778</v>
      </c>
      <c r="D4257" s="792" t="s">
        <v>779</v>
      </c>
      <c r="E4257" s="793" t="s">
        <v>662</v>
      </c>
      <c r="F4257" s="793" t="s">
        <v>883</v>
      </c>
      <c r="G4257" s="793" t="s">
        <v>813</v>
      </c>
      <c r="H4257" s="793" t="s">
        <v>814</v>
      </c>
      <c r="I4257" s="794">
        <v>6.7720480013637507E-2</v>
      </c>
      <c r="J4257" s="794">
        <v>76.970934961964716</v>
      </c>
      <c r="K4257" s="771"/>
    </row>
    <row r="4258" spans="1:11" ht="18.75" customHeight="1" outlineLevel="2">
      <c r="A4258" s="791" t="s">
        <v>776</v>
      </c>
      <c r="B4258" s="791" t="s">
        <v>1042</v>
      </c>
      <c r="C4258" s="791" t="s">
        <v>778</v>
      </c>
      <c r="D4258" s="792" t="s">
        <v>779</v>
      </c>
      <c r="E4258" s="793" t="s">
        <v>662</v>
      </c>
      <c r="F4258" s="793" t="s">
        <v>884</v>
      </c>
      <c r="G4258" s="793" t="s">
        <v>813</v>
      </c>
      <c r="H4258" s="793" t="s">
        <v>814</v>
      </c>
      <c r="I4258" s="794">
        <v>0.11324313283016768</v>
      </c>
      <c r="J4258" s="794">
        <v>130.72410551593737</v>
      </c>
      <c r="K4258" s="771"/>
    </row>
    <row r="4259" spans="1:11" ht="18.75" customHeight="1" outlineLevel="2">
      <c r="A4259" s="791" t="s">
        <v>776</v>
      </c>
      <c r="B4259" s="791" t="s">
        <v>1042</v>
      </c>
      <c r="C4259" s="791" t="s">
        <v>778</v>
      </c>
      <c r="D4259" s="792" t="s">
        <v>779</v>
      </c>
      <c r="E4259" s="793" t="s">
        <v>662</v>
      </c>
      <c r="F4259" s="793" t="s">
        <v>885</v>
      </c>
      <c r="G4259" s="793" t="s">
        <v>791</v>
      </c>
      <c r="H4259" s="793" t="s">
        <v>826</v>
      </c>
      <c r="I4259" s="794">
        <v>8.6719741931603816E-4</v>
      </c>
      <c r="J4259" s="794">
        <v>1.2739921720519969</v>
      </c>
      <c r="K4259" s="771"/>
    </row>
    <row r="4260" spans="1:11" ht="18.75" customHeight="1" outlineLevel="2">
      <c r="A4260" s="791" t="s">
        <v>776</v>
      </c>
      <c r="B4260" s="791" t="s">
        <v>1042</v>
      </c>
      <c r="C4260" s="791" t="s">
        <v>778</v>
      </c>
      <c r="D4260" s="792" t="s">
        <v>779</v>
      </c>
      <c r="E4260" s="793" t="s">
        <v>662</v>
      </c>
      <c r="F4260" s="793" t="s">
        <v>886</v>
      </c>
      <c r="G4260" s="793" t="s">
        <v>791</v>
      </c>
      <c r="H4260" s="793" t="s">
        <v>826</v>
      </c>
      <c r="I4260" s="794">
        <v>1.1347165479399983E-3</v>
      </c>
      <c r="J4260" s="794">
        <v>4.9298941411203172</v>
      </c>
      <c r="K4260" s="771"/>
    </row>
    <row r="4261" spans="1:11" ht="18.75" customHeight="1" outlineLevel="2">
      <c r="A4261" s="791" t="s">
        <v>776</v>
      </c>
      <c r="B4261" s="791" t="s">
        <v>1042</v>
      </c>
      <c r="C4261" s="791" t="s">
        <v>778</v>
      </c>
      <c r="D4261" s="792" t="s">
        <v>779</v>
      </c>
      <c r="E4261" s="793" t="s">
        <v>662</v>
      </c>
      <c r="F4261" s="793" t="s">
        <v>887</v>
      </c>
      <c r="G4261" s="793" t="s">
        <v>791</v>
      </c>
      <c r="H4261" s="793" t="s">
        <v>826</v>
      </c>
      <c r="I4261" s="794">
        <v>4.2278967217979486E-5</v>
      </c>
      <c r="J4261" s="794">
        <v>3.9546296488191822E-2</v>
      </c>
      <c r="K4261" s="771"/>
    </row>
    <row r="4262" spans="1:11" ht="18.75" customHeight="1" outlineLevel="2">
      <c r="A4262" s="791" t="s">
        <v>776</v>
      </c>
      <c r="B4262" s="791" t="s">
        <v>1042</v>
      </c>
      <c r="C4262" s="791" t="s">
        <v>778</v>
      </c>
      <c r="D4262" s="792" t="s">
        <v>779</v>
      </c>
      <c r="E4262" s="793" t="s">
        <v>662</v>
      </c>
      <c r="F4262" s="793" t="s">
        <v>888</v>
      </c>
      <c r="G4262" s="793" t="s">
        <v>791</v>
      </c>
      <c r="H4262" s="793" t="s">
        <v>826</v>
      </c>
      <c r="I4262" s="794">
        <v>3.7923548005439041E-3</v>
      </c>
      <c r="J4262" s="794">
        <v>3.5401732669334471</v>
      </c>
      <c r="K4262" s="771"/>
    </row>
    <row r="4263" spans="1:11" ht="18.75" customHeight="1" outlineLevel="2">
      <c r="A4263" s="791" t="s">
        <v>776</v>
      </c>
      <c r="B4263" s="791" t="s">
        <v>1042</v>
      </c>
      <c r="C4263" s="791" t="s">
        <v>778</v>
      </c>
      <c r="D4263" s="792" t="s">
        <v>779</v>
      </c>
      <c r="E4263" s="793" t="s">
        <v>662</v>
      </c>
      <c r="F4263" s="793" t="s">
        <v>889</v>
      </c>
      <c r="G4263" s="793" t="s">
        <v>791</v>
      </c>
      <c r="H4263" s="793" t="s">
        <v>826</v>
      </c>
      <c r="I4263" s="794">
        <v>7.2960678889291252E-4</v>
      </c>
      <c r="J4263" s="794">
        <v>1.0474153558739796</v>
      </c>
      <c r="K4263" s="771"/>
    </row>
    <row r="4264" spans="1:11" ht="18.75" customHeight="1" outlineLevel="2">
      <c r="A4264" s="791" t="s">
        <v>776</v>
      </c>
      <c r="B4264" s="791" t="s">
        <v>1042</v>
      </c>
      <c r="C4264" s="791" t="s">
        <v>778</v>
      </c>
      <c r="D4264" s="792" t="s">
        <v>779</v>
      </c>
      <c r="E4264" s="793" t="s">
        <v>662</v>
      </c>
      <c r="F4264" s="793" t="s">
        <v>890</v>
      </c>
      <c r="G4264" s="793" t="s">
        <v>791</v>
      </c>
      <c r="H4264" s="793" t="s">
        <v>826</v>
      </c>
      <c r="I4264" s="794">
        <v>1.0422181914009563E-2</v>
      </c>
      <c r="J4264" s="794">
        <v>11.605305628528738</v>
      </c>
      <c r="K4264" s="771"/>
    </row>
    <row r="4265" spans="1:11" ht="18.75" customHeight="1" outlineLevel="2">
      <c r="A4265" s="791" t="s">
        <v>776</v>
      </c>
      <c r="B4265" s="791" t="s">
        <v>1042</v>
      </c>
      <c r="C4265" s="791" t="s">
        <v>778</v>
      </c>
      <c r="D4265" s="792" t="s">
        <v>779</v>
      </c>
      <c r="E4265" s="793" t="s">
        <v>662</v>
      </c>
      <c r="F4265" s="793" t="s">
        <v>891</v>
      </c>
      <c r="G4265" s="793" t="s">
        <v>791</v>
      </c>
      <c r="H4265" s="793" t="s">
        <v>826</v>
      </c>
      <c r="I4265" s="794">
        <v>5.3337460241168581E-2</v>
      </c>
      <c r="J4265" s="794">
        <v>26.017904194284679</v>
      </c>
      <c r="K4265" s="771"/>
    </row>
    <row r="4266" spans="1:11" ht="18.75" customHeight="1" outlineLevel="2">
      <c r="A4266" s="791" t="s">
        <v>776</v>
      </c>
      <c r="B4266" s="791" t="s">
        <v>1042</v>
      </c>
      <c r="C4266" s="791" t="s">
        <v>778</v>
      </c>
      <c r="D4266" s="792" t="s">
        <v>779</v>
      </c>
      <c r="E4266" s="793" t="s">
        <v>662</v>
      </c>
      <c r="F4266" s="793" t="s">
        <v>892</v>
      </c>
      <c r="G4266" s="793" t="s">
        <v>791</v>
      </c>
      <c r="H4266" s="793" t="s">
        <v>826</v>
      </c>
      <c r="I4266" s="794">
        <v>6.0059241805467869E-3</v>
      </c>
      <c r="J4266" s="794">
        <v>5.6065473078760188</v>
      </c>
      <c r="K4266" s="771"/>
    </row>
    <row r="4267" spans="1:11" ht="18.75" customHeight="1" outlineLevel="2">
      <c r="A4267" s="791" t="s">
        <v>776</v>
      </c>
      <c r="B4267" s="791" t="s">
        <v>1042</v>
      </c>
      <c r="C4267" s="791" t="s">
        <v>778</v>
      </c>
      <c r="D4267" s="792" t="s">
        <v>779</v>
      </c>
      <c r="E4267" s="793" t="s">
        <v>662</v>
      </c>
      <c r="F4267" s="793" t="s">
        <v>893</v>
      </c>
      <c r="G4267" s="793" t="s">
        <v>791</v>
      </c>
      <c r="H4267" s="793" t="s">
        <v>826</v>
      </c>
      <c r="I4267" s="794">
        <v>7.886210103723916E-3</v>
      </c>
      <c r="J4267" s="794">
        <v>8.0007434576545098</v>
      </c>
      <c r="K4267" s="771"/>
    </row>
    <row r="4268" spans="1:11" ht="18.75" customHeight="1" outlineLevel="2">
      <c r="A4268" s="791" t="s">
        <v>776</v>
      </c>
      <c r="B4268" s="791" t="s">
        <v>1042</v>
      </c>
      <c r="C4268" s="791" t="s">
        <v>778</v>
      </c>
      <c r="D4268" s="792" t="s">
        <v>779</v>
      </c>
      <c r="E4268" s="793" t="s">
        <v>662</v>
      </c>
      <c r="F4268" s="793" t="s">
        <v>894</v>
      </c>
      <c r="G4268" s="793" t="s">
        <v>791</v>
      </c>
      <c r="H4268" s="793" t="s">
        <v>826</v>
      </c>
      <c r="I4268" s="794">
        <v>9.4560595952220905E-4</v>
      </c>
      <c r="J4268" s="794">
        <v>8.5504423046819369</v>
      </c>
      <c r="K4268" s="771"/>
    </row>
    <row r="4269" spans="1:11" ht="18.75" customHeight="1" outlineLevel="2">
      <c r="A4269" s="791" t="s">
        <v>776</v>
      </c>
      <c r="B4269" s="791" t="s">
        <v>1042</v>
      </c>
      <c r="C4269" s="791" t="s">
        <v>778</v>
      </c>
      <c r="D4269" s="792" t="s">
        <v>779</v>
      </c>
      <c r="E4269" s="793" t="s">
        <v>662</v>
      </c>
      <c r="F4269" s="793" t="s">
        <v>895</v>
      </c>
      <c r="G4269" s="793" t="s">
        <v>794</v>
      </c>
      <c r="H4269" s="793" t="s">
        <v>828</v>
      </c>
      <c r="I4269" s="794">
        <v>0.98486296034361986</v>
      </c>
      <c r="J4269" s="794">
        <v>1358.1861550213816</v>
      </c>
      <c r="K4269" s="771"/>
    </row>
    <row r="4270" spans="1:11" ht="18.75" customHeight="1" outlineLevel="2">
      <c r="A4270" s="791" t="s">
        <v>776</v>
      </c>
      <c r="B4270" s="791" t="s">
        <v>1042</v>
      </c>
      <c r="C4270" s="791" t="s">
        <v>778</v>
      </c>
      <c r="D4270" s="792" t="s">
        <v>779</v>
      </c>
      <c r="E4270" s="793" t="s">
        <v>662</v>
      </c>
      <c r="F4270" s="793" t="s">
        <v>896</v>
      </c>
      <c r="G4270" s="793" t="s">
        <v>794</v>
      </c>
      <c r="H4270" s="793" t="s">
        <v>828</v>
      </c>
      <c r="I4270" s="794">
        <v>0.23131712885564326</v>
      </c>
      <c r="J4270" s="794">
        <v>339.805942597539</v>
      </c>
      <c r="K4270" s="771"/>
    </row>
    <row r="4271" spans="1:11" ht="18.75" customHeight="1" outlineLevel="2">
      <c r="A4271" s="791" t="s">
        <v>776</v>
      </c>
      <c r="B4271" s="791" t="s">
        <v>1042</v>
      </c>
      <c r="C4271" s="791" t="s">
        <v>778</v>
      </c>
      <c r="D4271" s="792" t="s">
        <v>779</v>
      </c>
      <c r="E4271" s="793" t="s">
        <v>662</v>
      </c>
      <c r="F4271" s="793" t="s">
        <v>897</v>
      </c>
      <c r="G4271" s="793" t="s">
        <v>794</v>
      </c>
      <c r="H4271" s="793" t="s">
        <v>828</v>
      </c>
      <c r="I4271" s="794">
        <v>0.10671371867032176</v>
      </c>
      <c r="J4271" s="794">
        <v>179.67822785570203</v>
      </c>
      <c r="K4271" s="771"/>
    </row>
    <row r="4272" spans="1:11" ht="18.75" customHeight="1" outlineLevel="2">
      <c r="A4272" s="791" t="s">
        <v>776</v>
      </c>
      <c r="B4272" s="791" t="s">
        <v>1042</v>
      </c>
      <c r="C4272" s="791" t="s">
        <v>778</v>
      </c>
      <c r="D4272" s="792" t="s">
        <v>779</v>
      </c>
      <c r="E4272" s="793" t="s">
        <v>662</v>
      </c>
      <c r="F4272" s="793" t="s">
        <v>898</v>
      </c>
      <c r="G4272" s="793" t="s">
        <v>794</v>
      </c>
      <c r="H4272" s="793" t="s">
        <v>828</v>
      </c>
      <c r="I4272" s="794">
        <v>0.24589611484799864</v>
      </c>
      <c r="J4272" s="794">
        <v>386.25973999618992</v>
      </c>
      <c r="K4272" s="771"/>
    </row>
    <row r="4273" spans="1:11" ht="18.75" customHeight="1" outlineLevel="2">
      <c r="A4273" s="791" t="s">
        <v>776</v>
      </c>
      <c r="B4273" s="791" t="s">
        <v>1042</v>
      </c>
      <c r="C4273" s="791" t="s">
        <v>778</v>
      </c>
      <c r="D4273" s="792" t="s">
        <v>779</v>
      </c>
      <c r="E4273" s="793" t="s">
        <v>662</v>
      </c>
      <c r="F4273" s="793" t="s">
        <v>899</v>
      </c>
      <c r="G4273" s="793" t="s">
        <v>794</v>
      </c>
      <c r="H4273" s="793" t="s">
        <v>828</v>
      </c>
      <c r="I4273" s="794">
        <v>0.43319275678797736</v>
      </c>
      <c r="J4273" s="794">
        <v>610.27978308154468</v>
      </c>
      <c r="K4273" s="771"/>
    </row>
    <row r="4274" spans="1:11" ht="18.75" customHeight="1" outlineLevel="2">
      <c r="A4274" s="791" t="s">
        <v>776</v>
      </c>
      <c r="B4274" s="791" t="s">
        <v>1042</v>
      </c>
      <c r="C4274" s="791" t="s">
        <v>778</v>
      </c>
      <c r="D4274" s="792" t="s">
        <v>779</v>
      </c>
      <c r="E4274" s="793" t="s">
        <v>662</v>
      </c>
      <c r="F4274" s="793" t="s">
        <v>900</v>
      </c>
      <c r="G4274" s="793" t="s">
        <v>794</v>
      </c>
      <c r="H4274" s="793" t="s">
        <v>828</v>
      </c>
      <c r="I4274" s="794">
        <v>2.0068645386899484E-2</v>
      </c>
      <c r="J4274" s="794">
        <v>28.633338353917352</v>
      </c>
      <c r="K4274" s="771"/>
    </row>
    <row r="4275" spans="1:11" ht="18.75" customHeight="1" outlineLevel="2">
      <c r="A4275" s="791" t="s">
        <v>776</v>
      </c>
      <c r="B4275" s="791" t="s">
        <v>1042</v>
      </c>
      <c r="C4275" s="791" t="s">
        <v>778</v>
      </c>
      <c r="D4275" s="792" t="s">
        <v>779</v>
      </c>
      <c r="E4275" s="793" t="s">
        <v>662</v>
      </c>
      <c r="F4275" s="793" t="s">
        <v>901</v>
      </c>
      <c r="G4275" s="793" t="s">
        <v>833</v>
      </c>
      <c r="H4275" s="793" t="s">
        <v>834</v>
      </c>
      <c r="I4275" s="794">
        <v>4.7405234410220695E-3</v>
      </c>
      <c r="J4275" s="794">
        <v>4.9210526606746754</v>
      </c>
      <c r="K4275" s="771"/>
    </row>
    <row r="4276" spans="1:11" ht="18.75" customHeight="1" outlineLevel="2">
      <c r="A4276" s="791" t="s">
        <v>776</v>
      </c>
      <c r="B4276" s="791" t="s">
        <v>1042</v>
      </c>
      <c r="C4276" s="791" t="s">
        <v>778</v>
      </c>
      <c r="D4276" s="792" t="s">
        <v>779</v>
      </c>
      <c r="E4276" s="793" t="s">
        <v>662</v>
      </c>
      <c r="F4276" s="793" t="s">
        <v>902</v>
      </c>
      <c r="G4276" s="793" t="s">
        <v>833</v>
      </c>
      <c r="H4276" s="793" t="s">
        <v>834</v>
      </c>
      <c r="I4276" s="794">
        <v>4.1265069322899904E-5</v>
      </c>
      <c r="J4276" s="794">
        <v>5.2446832471314361E-2</v>
      </c>
      <c r="K4276" s="771"/>
    </row>
    <row r="4277" spans="1:11" ht="18.75" customHeight="1" outlineLevel="2">
      <c r="A4277" s="791" t="s">
        <v>776</v>
      </c>
      <c r="B4277" s="791" t="s">
        <v>1042</v>
      </c>
      <c r="C4277" s="791" t="s">
        <v>778</v>
      </c>
      <c r="D4277" s="792" t="s">
        <v>779</v>
      </c>
      <c r="E4277" s="793" t="s">
        <v>662</v>
      </c>
      <c r="F4277" s="793" t="s">
        <v>1018</v>
      </c>
      <c r="G4277" s="793" t="s">
        <v>785</v>
      </c>
      <c r="H4277" s="793" t="s">
        <v>727</v>
      </c>
      <c r="I4277" s="794">
        <v>3.1985156896759842E-3</v>
      </c>
      <c r="J4277" s="794">
        <v>3.9338977159440196</v>
      </c>
      <c r="K4277" s="771"/>
    </row>
    <row r="4278" spans="1:11" ht="18.75" customHeight="1" outlineLevel="2">
      <c r="A4278" s="791" t="s">
        <v>776</v>
      </c>
      <c r="B4278" s="791" t="s">
        <v>1042</v>
      </c>
      <c r="C4278" s="791" t="s">
        <v>778</v>
      </c>
      <c r="D4278" s="792" t="s">
        <v>779</v>
      </c>
      <c r="E4278" s="793" t="s">
        <v>662</v>
      </c>
      <c r="F4278" s="793" t="s">
        <v>903</v>
      </c>
      <c r="G4278" s="793" t="s">
        <v>904</v>
      </c>
      <c r="H4278" s="793" t="s">
        <v>905</v>
      </c>
      <c r="I4278" s="794">
        <v>1.3202994109180235</v>
      </c>
      <c r="J4278" s="794">
        <v>1123.3353351019937</v>
      </c>
      <c r="K4278" s="771"/>
    </row>
    <row r="4279" spans="1:11" ht="18.75" customHeight="1" outlineLevel="2">
      <c r="A4279" s="791" t="s">
        <v>776</v>
      </c>
      <c r="B4279" s="791" t="s">
        <v>1042</v>
      </c>
      <c r="C4279" s="791" t="s">
        <v>778</v>
      </c>
      <c r="D4279" s="792" t="s">
        <v>779</v>
      </c>
      <c r="E4279" s="793" t="s">
        <v>662</v>
      </c>
      <c r="F4279" s="793" t="s">
        <v>906</v>
      </c>
      <c r="G4279" s="793" t="s">
        <v>904</v>
      </c>
      <c r="H4279" s="793" t="s">
        <v>905</v>
      </c>
      <c r="I4279" s="794">
        <v>0.55573067092262007</v>
      </c>
      <c r="J4279" s="794">
        <v>474.09960692075066</v>
      </c>
      <c r="K4279" s="771"/>
    </row>
    <row r="4280" spans="1:11" ht="18.75" customHeight="1" outlineLevel="2">
      <c r="A4280" s="791" t="s">
        <v>776</v>
      </c>
      <c r="B4280" s="791" t="s">
        <v>1042</v>
      </c>
      <c r="C4280" s="791" t="s">
        <v>778</v>
      </c>
      <c r="D4280" s="792" t="s">
        <v>779</v>
      </c>
      <c r="E4280" s="793" t="s">
        <v>662</v>
      </c>
      <c r="F4280" s="793" t="s">
        <v>907</v>
      </c>
      <c r="G4280" s="793" t="s">
        <v>908</v>
      </c>
      <c r="H4280" s="793" t="s">
        <v>905</v>
      </c>
      <c r="I4280" s="794">
        <v>0.2087668793587435</v>
      </c>
      <c r="J4280" s="794">
        <v>350.20876709410476</v>
      </c>
      <c r="K4280" s="771"/>
    </row>
    <row r="4281" spans="1:11" ht="18.75" customHeight="1" outlineLevel="2">
      <c r="A4281" s="791" t="s">
        <v>776</v>
      </c>
      <c r="B4281" s="791" t="s">
        <v>1042</v>
      </c>
      <c r="C4281" s="791" t="s">
        <v>778</v>
      </c>
      <c r="D4281" s="792" t="s">
        <v>779</v>
      </c>
      <c r="E4281" s="793" t="s">
        <v>662</v>
      </c>
      <c r="F4281" s="793" t="s">
        <v>909</v>
      </c>
      <c r="G4281" s="793" t="s">
        <v>910</v>
      </c>
      <c r="H4281" s="793" t="s">
        <v>911</v>
      </c>
      <c r="I4281" s="794">
        <v>5.9084261544395623E-3</v>
      </c>
      <c r="J4281" s="794">
        <v>8.7606096190007801</v>
      </c>
      <c r="K4281" s="771"/>
    </row>
    <row r="4282" spans="1:11" ht="18.75" customHeight="1" outlineLevel="2">
      <c r="A4282" s="791" t="s">
        <v>776</v>
      </c>
      <c r="B4282" s="791" t="s">
        <v>1042</v>
      </c>
      <c r="C4282" s="791" t="s">
        <v>778</v>
      </c>
      <c r="D4282" s="792" t="s">
        <v>779</v>
      </c>
      <c r="E4282" s="793" t="s">
        <v>763</v>
      </c>
      <c r="F4282" s="793" t="s">
        <v>912</v>
      </c>
      <c r="G4282" s="793" t="s">
        <v>799</v>
      </c>
      <c r="H4282" s="793" t="s">
        <v>913</v>
      </c>
      <c r="I4282" s="794">
        <v>3.8453088531034021E-3</v>
      </c>
      <c r="J4282" s="794">
        <v>7.3639532715053111</v>
      </c>
      <c r="K4282" s="771"/>
    </row>
    <row r="4283" spans="1:11" ht="18.75" customHeight="1" outlineLevel="2">
      <c r="A4283" s="791" t="s">
        <v>776</v>
      </c>
      <c r="B4283" s="791" t="s">
        <v>1042</v>
      </c>
      <c r="C4283" s="791" t="s">
        <v>778</v>
      </c>
      <c r="D4283" s="792" t="s">
        <v>779</v>
      </c>
      <c r="E4283" s="793" t="s">
        <v>763</v>
      </c>
      <c r="F4283" s="793" t="s">
        <v>914</v>
      </c>
      <c r="G4283" s="793" t="s">
        <v>782</v>
      </c>
      <c r="H4283" s="793" t="s">
        <v>913</v>
      </c>
      <c r="I4283" s="794">
        <v>4.1993573540092524E-4</v>
      </c>
      <c r="J4283" s="794">
        <v>1.9547991016783623</v>
      </c>
      <c r="K4283" s="771"/>
    </row>
    <row r="4284" spans="1:11" ht="18.75" customHeight="1" outlineLevel="2">
      <c r="A4284" s="791" t="s">
        <v>776</v>
      </c>
      <c r="B4284" s="791" t="s">
        <v>1042</v>
      </c>
      <c r="C4284" s="791" t="s">
        <v>778</v>
      </c>
      <c r="D4284" s="792" t="s">
        <v>779</v>
      </c>
      <c r="E4284" s="793" t="s">
        <v>763</v>
      </c>
      <c r="F4284" s="793" t="s">
        <v>915</v>
      </c>
      <c r="G4284" s="793" t="s">
        <v>782</v>
      </c>
      <c r="H4284" s="793" t="s">
        <v>913</v>
      </c>
      <c r="I4284" s="794">
        <v>2.2522501614794836E-4</v>
      </c>
      <c r="J4284" s="794">
        <v>3.2691097964965179</v>
      </c>
      <c r="K4284" s="771"/>
    </row>
    <row r="4285" spans="1:11" ht="18.75" customHeight="1" outlineLevel="2">
      <c r="A4285" s="791" t="s">
        <v>776</v>
      </c>
      <c r="B4285" s="791" t="s">
        <v>1042</v>
      </c>
      <c r="C4285" s="791" t="s">
        <v>778</v>
      </c>
      <c r="D4285" s="792" t="s">
        <v>779</v>
      </c>
      <c r="E4285" s="793" t="s">
        <v>763</v>
      </c>
      <c r="F4285" s="793" t="s">
        <v>916</v>
      </c>
      <c r="G4285" s="793" t="s">
        <v>782</v>
      </c>
      <c r="H4285" s="793" t="s">
        <v>913</v>
      </c>
      <c r="I4285" s="794">
        <v>3.3393124480654194E-4</v>
      </c>
      <c r="J4285" s="794">
        <v>0.57732171770775631</v>
      </c>
      <c r="K4285" s="771"/>
    </row>
    <row r="4286" spans="1:11" ht="18.75" customHeight="1" outlineLevel="2">
      <c r="A4286" s="791" t="s">
        <v>776</v>
      </c>
      <c r="B4286" s="791" t="s">
        <v>1042</v>
      </c>
      <c r="C4286" s="791" t="s">
        <v>778</v>
      </c>
      <c r="D4286" s="792" t="s">
        <v>779</v>
      </c>
      <c r="E4286" s="793" t="s">
        <v>763</v>
      </c>
      <c r="F4286" s="793" t="s">
        <v>917</v>
      </c>
      <c r="G4286" s="793" t="s">
        <v>782</v>
      </c>
      <c r="H4286" s="793" t="s">
        <v>913</v>
      </c>
      <c r="I4286" s="794">
        <v>6.1135839288817688E-5</v>
      </c>
      <c r="J4286" s="794">
        <v>0.33469972913522877</v>
      </c>
      <c r="K4286" s="771"/>
    </row>
    <row r="4287" spans="1:11" ht="18.75" customHeight="1" outlineLevel="2">
      <c r="A4287" s="791" t="s">
        <v>776</v>
      </c>
      <c r="B4287" s="791" t="s">
        <v>1042</v>
      </c>
      <c r="C4287" s="791" t="s">
        <v>778</v>
      </c>
      <c r="D4287" s="792" t="s">
        <v>779</v>
      </c>
      <c r="E4287" s="793" t="s">
        <v>763</v>
      </c>
      <c r="F4287" s="793" t="s">
        <v>918</v>
      </c>
      <c r="G4287" s="793" t="s">
        <v>782</v>
      </c>
      <c r="H4287" s="793" t="s">
        <v>913</v>
      </c>
      <c r="I4287" s="794">
        <v>1.3531481676705504E-3</v>
      </c>
      <c r="J4287" s="794">
        <v>6.045439884605762</v>
      </c>
      <c r="K4287" s="771"/>
    </row>
    <row r="4288" spans="1:11" ht="18.75" customHeight="1" outlineLevel="2">
      <c r="A4288" s="791" t="s">
        <v>776</v>
      </c>
      <c r="B4288" s="791" t="s">
        <v>1042</v>
      </c>
      <c r="C4288" s="791" t="s">
        <v>778</v>
      </c>
      <c r="D4288" s="792" t="s">
        <v>779</v>
      </c>
      <c r="E4288" s="793" t="s">
        <v>763</v>
      </c>
      <c r="F4288" s="793" t="s">
        <v>919</v>
      </c>
      <c r="G4288" s="793" t="s">
        <v>782</v>
      </c>
      <c r="H4288" s="793" t="s">
        <v>913</v>
      </c>
      <c r="I4288" s="794">
        <v>2.5883298041760802E-3</v>
      </c>
      <c r="J4288" s="794">
        <v>3.0364963438193935</v>
      </c>
      <c r="K4288" s="771"/>
    </row>
    <row r="4289" spans="1:11" ht="18.75" customHeight="1" outlineLevel="2">
      <c r="A4289" s="791" t="s">
        <v>776</v>
      </c>
      <c r="B4289" s="791" t="s">
        <v>1042</v>
      </c>
      <c r="C4289" s="791" t="s">
        <v>778</v>
      </c>
      <c r="D4289" s="792" t="s">
        <v>779</v>
      </c>
      <c r="E4289" s="793" t="s">
        <v>763</v>
      </c>
      <c r="F4289" s="793" t="s">
        <v>920</v>
      </c>
      <c r="G4289" s="793" t="s">
        <v>782</v>
      </c>
      <c r="H4289" s="793" t="s">
        <v>913</v>
      </c>
      <c r="I4289" s="794">
        <v>2.8112661977452514E-4</v>
      </c>
      <c r="J4289" s="794">
        <v>5.5931450132094316</v>
      </c>
      <c r="K4289" s="771"/>
    </row>
    <row r="4290" spans="1:11" ht="18.75" customHeight="1" outlineLevel="2">
      <c r="A4290" s="791" t="s">
        <v>776</v>
      </c>
      <c r="B4290" s="791" t="s">
        <v>1042</v>
      </c>
      <c r="C4290" s="791" t="s">
        <v>778</v>
      </c>
      <c r="D4290" s="792" t="s">
        <v>779</v>
      </c>
      <c r="E4290" s="793" t="s">
        <v>763</v>
      </c>
      <c r="F4290" s="793" t="s">
        <v>921</v>
      </c>
      <c r="G4290" s="793" t="s">
        <v>782</v>
      </c>
      <c r="H4290" s="793" t="s">
        <v>913</v>
      </c>
      <c r="I4290" s="794">
        <v>1.3047804993499286E-3</v>
      </c>
      <c r="J4290" s="794">
        <v>2.2790246607903164</v>
      </c>
      <c r="K4290" s="771"/>
    </row>
    <row r="4291" spans="1:11" ht="18.75" customHeight="1" outlineLevel="2">
      <c r="A4291" s="791" t="s">
        <v>776</v>
      </c>
      <c r="B4291" s="791" t="s">
        <v>1042</v>
      </c>
      <c r="C4291" s="791" t="s">
        <v>778</v>
      </c>
      <c r="D4291" s="792" t="s">
        <v>779</v>
      </c>
      <c r="E4291" s="793" t="s">
        <v>763</v>
      </c>
      <c r="F4291" s="793" t="s">
        <v>922</v>
      </c>
      <c r="G4291" s="793" t="s">
        <v>782</v>
      </c>
      <c r="H4291" s="793" t="s">
        <v>913</v>
      </c>
      <c r="I4291" s="794">
        <v>1.9504964135318259E-4</v>
      </c>
      <c r="J4291" s="794">
        <v>0.3735321284200957</v>
      </c>
      <c r="K4291" s="771"/>
    </row>
    <row r="4292" spans="1:11" ht="18.75" customHeight="1" outlineLevel="2">
      <c r="A4292" s="791" t="s">
        <v>776</v>
      </c>
      <c r="B4292" s="791" t="s">
        <v>1042</v>
      </c>
      <c r="C4292" s="791" t="s">
        <v>778</v>
      </c>
      <c r="D4292" s="792" t="s">
        <v>779</v>
      </c>
      <c r="E4292" s="793" t="s">
        <v>763</v>
      </c>
      <c r="F4292" s="793" t="s">
        <v>923</v>
      </c>
      <c r="G4292" s="793" t="s">
        <v>782</v>
      </c>
      <c r="H4292" s="793" t="s">
        <v>913</v>
      </c>
      <c r="I4292" s="794">
        <v>1.0689716635068317E-3</v>
      </c>
      <c r="J4292" s="794">
        <v>3.8840823775136331</v>
      </c>
      <c r="K4292" s="771"/>
    </row>
    <row r="4293" spans="1:11" ht="18.75" customHeight="1" outlineLevel="2">
      <c r="A4293" s="791" t="s">
        <v>776</v>
      </c>
      <c r="B4293" s="791" t="s">
        <v>1042</v>
      </c>
      <c r="C4293" s="791" t="s">
        <v>778</v>
      </c>
      <c r="D4293" s="792" t="s">
        <v>779</v>
      </c>
      <c r="E4293" s="793" t="s">
        <v>763</v>
      </c>
      <c r="F4293" s="793" t="s">
        <v>924</v>
      </c>
      <c r="G4293" s="793" t="s">
        <v>782</v>
      </c>
      <c r="H4293" s="793" t="s">
        <v>913</v>
      </c>
      <c r="I4293" s="794">
        <v>8.8065879329182761E-4</v>
      </c>
      <c r="J4293" s="794">
        <v>9.3792080543655629</v>
      </c>
      <c r="K4293" s="771"/>
    </row>
    <row r="4294" spans="1:11" ht="18.75" customHeight="1" outlineLevel="2">
      <c r="A4294" s="791" t="s">
        <v>776</v>
      </c>
      <c r="B4294" s="791" t="s">
        <v>1042</v>
      </c>
      <c r="C4294" s="791" t="s">
        <v>778</v>
      </c>
      <c r="D4294" s="792" t="s">
        <v>779</v>
      </c>
      <c r="E4294" s="793" t="s">
        <v>763</v>
      </c>
      <c r="F4294" s="793" t="s">
        <v>925</v>
      </c>
      <c r="G4294" s="793" t="s">
        <v>782</v>
      </c>
      <c r="H4294" s="793" t="s">
        <v>913</v>
      </c>
      <c r="I4294" s="794">
        <v>6.1967106386664423E-5</v>
      </c>
      <c r="J4294" s="794">
        <v>0.98681509645578502</v>
      </c>
      <c r="K4294" s="771"/>
    </row>
    <row r="4295" spans="1:11" ht="18.75" customHeight="1" outlineLevel="2">
      <c r="A4295" s="791" t="s">
        <v>776</v>
      </c>
      <c r="B4295" s="791" t="s">
        <v>1042</v>
      </c>
      <c r="C4295" s="791" t="s">
        <v>778</v>
      </c>
      <c r="D4295" s="792" t="s">
        <v>779</v>
      </c>
      <c r="E4295" s="793" t="s">
        <v>763</v>
      </c>
      <c r="F4295" s="793" t="s">
        <v>926</v>
      </c>
      <c r="G4295" s="793" t="s">
        <v>782</v>
      </c>
      <c r="H4295" s="793" t="s">
        <v>913</v>
      </c>
      <c r="I4295" s="794">
        <v>4.5954620134196099E-3</v>
      </c>
      <c r="J4295" s="794">
        <v>8.4483152044347243</v>
      </c>
      <c r="K4295" s="771"/>
    </row>
    <row r="4296" spans="1:11" ht="18.75" customHeight="1" outlineLevel="2">
      <c r="A4296" s="791" t="s">
        <v>776</v>
      </c>
      <c r="B4296" s="791" t="s">
        <v>1042</v>
      </c>
      <c r="C4296" s="791" t="s">
        <v>778</v>
      </c>
      <c r="D4296" s="792" t="s">
        <v>779</v>
      </c>
      <c r="E4296" s="793" t="s">
        <v>763</v>
      </c>
      <c r="F4296" s="793" t="s">
        <v>927</v>
      </c>
      <c r="G4296" s="793" t="s">
        <v>782</v>
      </c>
      <c r="H4296" s="793" t="s">
        <v>913</v>
      </c>
      <c r="I4296" s="794">
        <v>2.5615058428513941E-3</v>
      </c>
      <c r="J4296" s="794">
        <v>3.5455230330915075</v>
      </c>
      <c r="K4296" s="771"/>
    </row>
    <row r="4297" spans="1:11" ht="18.75" customHeight="1" outlineLevel="2">
      <c r="A4297" s="791" t="s">
        <v>776</v>
      </c>
      <c r="B4297" s="791" t="s">
        <v>1042</v>
      </c>
      <c r="C4297" s="791" t="s">
        <v>778</v>
      </c>
      <c r="D4297" s="792" t="s">
        <v>779</v>
      </c>
      <c r="E4297" s="793" t="s">
        <v>763</v>
      </c>
      <c r="F4297" s="793" t="s">
        <v>928</v>
      </c>
      <c r="G4297" s="793" t="s">
        <v>785</v>
      </c>
      <c r="H4297" s="793" t="s">
        <v>913</v>
      </c>
      <c r="I4297" s="794">
        <v>3.0166116523894206E-2</v>
      </c>
      <c r="J4297" s="794">
        <v>92.86307544245679</v>
      </c>
      <c r="K4297" s="771"/>
    </row>
    <row r="4298" spans="1:11" ht="18.75" customHeight="1" outlineLevel="2">
      <c r="A4298" s="791" t="s">
        <v>776</v>
      </c>
      <c r="B4298" s="791" t="s">
        <v>1042</v>
      </c>
      <c r="C4298" s="791" t="s">
        <v>778</v>
      </c>
      <c r="D4298" s="792" t="s">
        <v>779</v>
      </c>
      <c r="E4298" s="793" t="s">
        <v>763</v>
      </c>
      <c r="F4298" s="793" t="s">
        <v>929</v>
      </c>
      <c r="G4298" s="793" t="s">
        <v>785</v>
      </c>
      <c r="H4298" s="793" t="s">
        <v>913</v>
      </c>
      <c r="I4298" s="794">
        <v>0.59972246705611565</v>
      </c>
      <c r="J4298" s="794">
        <v>8446.911932827903</v>
      </c>
      <c r="K4298" s="771"/>
    </row>
    <row r="4299" spans="1:11" ht="18.75" customHeight="1" outlineLevel="2">
      <c r="A4299" s="791" t="s">
        <v>776</v>
      </c>
      <c r="B4299" s="791" t="s">
        <v>1042</v>
      </c>
      <c r="C4299" s="791" t="s">
        <v>778</v>
      </c>
      <c r="D4299" s="792" t="s">
        <v>779</v>
      </c>
      <c r="E4299" s="793" t="s">
        <v>763</v>
      </c>
      <c r="F4299" s="793" t="s">
        <v>930</v>
      </c>
      <c r="G4299" s="793" t="s">
        <v>785</v>
      </c>
      <c r="H4299" s="793" t="s">
        <v>913</v>
      </c>
      <c r="I4299" s="794">
        <v>3.5704506479774531E-3</v>
      </c>
      <c r="J4299" s="794">
        <v>62.926228163668597</v>
      </c>
      <c r="K4299" s="771"/>
    </row>
    <row r="4300" spans="1:11" ht="18.75" customHeight="1" outlineLevel="2">
      <c r="A4300" s="791" t="s">
        <v>776</v>
      </c>
      <c r="B4300" s="791" t="s">
        <v>1042</v>
      </c>
      <c r="C4300" s="791" t="s">
        <v>778</v>
      </c>
      <c r="D4300" s="792" t="s">
        <v>779</v>
      </c>
      <c r="E4300" s="793" t="s">
        <v>763</v>
      </c>
      <c r="F4300" s="793" t="s">
        <v>931</v>
      </c>
      <c r="G4300" s="793" t="s">
        <v>785</v>
      </c>
      <c r="H4300" s="793" t="s">
        <v>913</v>
      </c>
      <c r="I4300" s="794">
        <v>1.1943862156091124E-3</v>
      </c>
      <c r="J4300" s="794">
        <v>19.849180163795246</v>
      </c>
      <c r="K4300" s="771"/>
    </row>
    <row r="4301" spans="1:11" ht="18.75" customHeight="1" outlineLevel="2">
      <c r="A4301" s="791" t="s">
        <v>776</v>
      </c>
      <c r="B4301" s="791" t="s">
        <v>1042</v>
      </c>
      <c r="C4301" s="791" t="s">
        <v>778</v>
      </c>
      <c r="D4301" s="792" t="s">
        <v>779</v>
      </c>
      <c r="E4301" s="793" t="s">
        <v>763</v>
      </c>
      <c r="F4301" s="793" t="s">
        <v>932</v>
      </c>
      <c r="G4301" s="793" t="s">
        <v>785</v>
      </c>
      <c r="H4301" s="793" t="s">
        <v>913</v>
      </c>
      <c r="I4301" s="794">
        <v>1.2753068874901648E-3</v>
      </c>
      <c r="J4301" s="794">
        <v>4.9021553890816758</v>
      </c>
      <c r="K4301" s="771"/>
    </row>
    <row r="4302" spans="1:11" ht="18.75" customHeight="1" outlineLevel="2">
      <c r="A4302" s="791" t="s">
        <v>776</v>
      </c>
      <c r="B4302" s="791" t="s">
        <v>1042</v>
      </c>
      <c r="C4302" s="791" t="s">
        <v>778</v>
      </c>
      <c r="D4302" s="792" t="s">
        <v>779</v>
      </c>
      <c r="E4302" s="793" t="s">
        <v>763</v>
      </c>
      <c r="F4302" s="793" t="s">
        <v>933</v>
      </c>
      <c r="G4302" s="793" t="s">
        <v>785</v>
      </c>
      <c r="H4302" s="793" t="s">
        <v>913</v>
      </c>
      <c r="I4302" s="794">
        <v>1.7900509641410837E-3</v>
      </c>
      <c r="J4302" s="794">
        <v>38.985720761752184</v>
      </c>
      <c r="K4302" s="771"/>
    </row>
    <row r="4303" spans="1:11" ht="18.75" customHeight="1" outlineLevel="2">
      <c r="A4303" s="791" t="s">
        <v>776</v>
      </c>
      <c r="B4303" s="791" t="s">
        <v>1042</v>
      </c>
      <c r="C4303" s="791" t="s">
        <v>778</v>
      </c>
      <c r="D4303" s="792" t="s">
        <v>779</v>
      </c>
      <c r="E4303" s="793" t="s">
        <v>763</v>
      </c>
      <c r="F4303" s="793" t="s">
        <v>934</v>
      </c>
      <c r="G4303" s="793" t="s">
        <v>813</v>
      </c>
      <c r="H4303" s="793" t="s">
        <v>913</v>
      </c>
      <c r="I4303" s="794">
        <v>4.7860569664282598E-3</v>
      </c>
      <c r="J4303" s="794">
        <v>72.529337861793934</v>
      </c>
      <c r="K4303" s="771"/>
    </row>
    <row r="4304" spans="1:11" ht="18.75" customHeight="1" outlineLevel="2">
      <c r="A4304" s="791" t="s">
        <v>776</v>
      </c>
      <c r="B4304" s="791" t="s">
        <v>1042</v>
      </c>
      <c r="C4304" s="791" t="s">
        <v>778</v>
      </c>
      <c r="D4304" s="792" t="s">
        <v>779</v>
      </c>
      <c r="E4304" s="793" t="s">
        <v>763</v>
      </c>
      <c r="F4304" s="793" t="s">
        <v>935</v>
      </c>
      <c r="G4304" s="793" t="s">
        <v>791</v>
      </c>
      <c r="H4304" s="793" t="s">
        <v>913</v>
      </c>
      <c r="I4304" s="794">
        <v>4.0111503467107214E-5</v>
      </c>
      <c r="J4304" s="794">
        <v>5.0543777202391803E-2</v>
      </c>
      <c r="K4304" s="771"/>
    </row>
    <row r="4305" spans="1:11" ht="18.75" customHeight="1" outlineLevel="2">
      <c r="A4305" s="791" t="s">
        <v>776</v>
      </c>
      <c r="B4305" s="791" t="s">
        <v>1042</v>
      </c>
      <c r="C4305" s="791" t="s">
        <v>778</v>
      </c>
      <c r="D4305" s="792" t="s">
        <v>779</v>
      </c>
      <c r="E4305" s="793" t="s">
        <v>763</v>
      </c>
      <c r="F4305" s="793" t="s">
        <v>936</v>
      </c>
      <c r="G4305" s="793" t="s">
        <v>791</v>
      </c>
      <c r="H4305" s="793" t="s">
        <v>913</v>
      </c>
      <c r="I4305" s="794">
        <v>5.8117890258994493E-6</v>
      </c>
      <c r="J4305" s="794">
        <v>9.8445057836238969E-2</v>
      </c>
      <c r="K4305" s="771"/>
    </row>
    <row r="4306" spans="1:11" ht="18.75" customHeight="1" outlineLevel="2">
      <c r="A4306" s="791" t="s">
        <v>776</v>
      </c>
      <c r="B4306" s="791" t="s">
        <v>1042</v>
      </c>
      <c r="C4306" s="791" t="s">
        <v>778</v>
      </c>
      <c r="D4306" s="792" t="s">
        <v>779</v>
      </c>
      <c r="E4306" s="793" t="s">
        <v>763</v>
      </c>
      <c r="F4306" s="793" t="s">
        <v>937</v>
      </c>
      <c r="G4306" s="793" t="s">
        <v>794</v>
      </c>
      <c r="H4306" s="793" t="s">
        <v>913</v>
      </c>
      <c r="I4306" s="794">
        <v>5.315898984588794E-2</v>
      </c>
      <c r="J4306" s="794">
        <v>130.5224168988255</v>
      </c>
      <c r="K4306" s="771"/>
    </row>
    <row r="4307" spans="1:11" ht="18.75" customHeight="1" outlineLevel="2">
      <c r="A4307" s="791" t="s">
        <v>776</v>
      </c>
      <c r="B4307" s="791" t="s">
        <v>1042</v>
      </c>
      <c r="C4307" s="791" t="s">
        <v>778</v>
      </c>
      <c r="D4307" s="792" t="s">
        <v>779</v>
      </c>
      <c r="E4307" s="793" t="s">
        <v>763</v>
      </c>
      <c r="F4307" s="793" t="s">
        <v>938</v>
      </c>
      <c r="G4307" s="793" t="s">
        <v>794</v>
      </c>
      <c r="H4307" s="793" t="s">
        <v>913</v>
      </c>
      <c r="I4307" s="794">
        <v>6.255018640202648E-3</v>
      </c>
      <c r="J4307" s="794">
        <v>28.569722928245032</v>
      </c>
      <c r="K4307" s="771"/>
    </row>
    <row r="4308" spans="1:11" ht="18.75" customHeight="1" outlineLevel="2">
      <c r="A4308" s="791" t="s">
        <v>776</v>
      </c>
      <c r="B4308" s="791" t="s">
        <v>1042</v>
      </c>
      <c r="C4308" s="791" t="s">
        <v>778</v>
      </c>
      <c r="D4308" s="792" t="s">
        <v>779</v>
      </c>
      <c r="E4308" s="793" t="s">
        <v>763</v>
      </c>
      <c r="F4308" s="793" t="s">
        <v>939</v>
      </c>
      <c r="G4308" s="793" t="s">
        <v>794</v>
      </c>
      <c r="H4308" s="793" t="s">
        <v>913</v>
      </c>
      <c r="I4308" s="794">
        <v>3.261423290615178E-3</v>
      </c>
      <c r="J4308" s="794">
        <v>33.360113751709534</v>
      </c>
      <c r="K4308" s="771"/>
    </row>
    <row r="4309" spans="1:11" ht="18.75" customHeight="1" outlineLevel="2">
      <c r="A4309" s="791" t="s">
        <v>776</v>
      </c>
      <c r="B4309" s="791" t="s">
        <v>1042</v>
      </c>
      <c r="C4309" s="791" t="s">
        <v>778</v>
      </c>
      <c r="D4309" s="792" t="s">
        <v>779</v>
      </c>
      <c r="E4309" s="793" t="s">
        <v>763</v>
      </c>
      <c r="F4309" s="793" t="s">
        <v>940</v>
      </c>
      <c r="G4309" s="793" t="s">
        <v>794</v>
      </c>
      <c r="H4309" s="793" t="s">
        <v>913</v>
      </c>
      <c r="I4309" s="794">
        <v>5.399267677119012E-3</v>
      </c>
      <c r="J4309" s="794">
        <v>41.461752038737359</v>
      </c>
      <c r="K4309" s="771"/>
    </row>
    <row r="4310" spans="1:11" ht="18.75" customHeight="1" outlineLevel="2">
      <c r="A4310" s="791" t="s">
        <v>776</v>
      </c>
      <c r="B4310" s="791" t="s">
        <v>1042</v>
      </c>
      <c r="C4310" s="791" t="s">
        <v>778</v>
      </c>
      <c r="D4310" s="792" t="s">
        <v>779</v>
      </c>
      <c r="E4310" s="793" t="s">
        <v>763</v>
      </c>
      <c r="F4310" s="793" t="s">
        <v>941</v>
      </c>
      <c r="G4310" s="793" t="s">
        <v>794</v>
      </c>
      <c r="H4310" s="793" t="s">
        <v>913</v>
      </c>
      <c r="I4310" s="794">
        <v>1.8690177290850909E-4</v>
      </c>
      <c r="J4310" s="794">
        <v>0.56390253753488828</v>
      </c>
      <c r="K4310" s="771"/>
    </row>
    <row r="4311" spans="1:11" ht="18.75" customHeight="1" outlineLevel="2">
      <c r="A4311" s="791" t="s">
        <v>776</v>
      </c>
      <c r="B4311" s="791" t="s">
        <v>1042</v>
      </c>
      <c r="C4311" s="791" t="s">
        <v>778</v>
      </c>
      <c r="D4311" s="792" t="s">
        <v>779</v>
      </c>
      <c r="E4311" s="793" t="s">
        <v>763</v>
      </c>
      <c r="F4311" s="793" t="s">
        <v>942</v>
      </c>
      <c r="G4311" s="793" t="s">
        <v>794</v>
      </c>
      <c r="H4311" s="793" t="s">
        <v>913</v>
      </c>
      <c r="I4311" s="794">
        <v>4.4304700521637464E-5</v>
      </c>
      <c r="J4311" s="794">
        <v>0.51197488839683647</v>
      </c>
      <c r="K4311" s="771"/>
    </row>
    <row r="4312" spans="1:11" ht="18.75" customHeight="1" outlineLevel="2">
      <c r="A4312" s="791" t="s">
        <v>776</v>
      </c>
      <c r="B4312" s="791" t="s">
        <v>1042</v>
      </c>
      <c r="C4312" s="791" t="s">
        <v>778</v>
      </c>
      <c r="D4312" s="792" t="s">
        <v>779</v>
      </c>
      <c r="E4312" s="793" t="s">
        <v>763</v>
      </c>
      <c r="F4312" s="793" t="s">
        <v>943</v>
      </c>
      <c r="G4312" s="793" t="s">
        <v>944</v>
      </c>
      <c r="H4312" s="793" t="s">
        <v>913</v>
      </c>
      <c r="I4312" s="794">
        <v>6.1553737443127923E-5</v>
      </c>
      <c r="J4312" s="794">
        <v>0.26593319521927899</v>
      </c>
      <c r="K4312" s="771"/>
    </row>
    <row r="4313" spans="1:11" ht="18.75" customHeight="1" outlineLevel="2">
      <c r="A4313" s="791" t="s">
        <v>776</v>
      </c>
      <c r="B4313" s="791" t="s">
        <v>1042</v>
      </c>
      <c r="C4313" s="791" t="s">
        <v>778</v>
      </c>
      <c r="D4313" s="792" t="s">
        <v>779</v>
      </c>
      <c r="E4313" s="793" t="s">
        <v>764</v>
      </c>
      <c r="F4313" s="793" t="s">
        <v>945</v>
      </c>
      <c r="G4313" s="793" t="s">
        <v>244</v>
      </c>
      <c r="H4313" s="793" t="s">
        <v>905</v>
      </c>
      <c r="I4313" s="794">
        <v>7.3937807055082256E-3</v>
      </c>
      <c r="J4313" s="794">
        <v>266.10788621268529</v>
      </c>
      <c r="K4313" s="771"/>
    </row>
    <row r="4314" spans="1:11" ht="18.75" customHeight="1" outlineLevel="2">
      <c r="A4314" s="791" t="s">
        <v>776</v>
      </c>
      <c r="B4314" s="791" t="s">
        <v>1042</v>
      </c>
      <c r="C4314" s="791" t="s">
        <v>778</v>
      </c>
      <c r="D4314" s="792" t="s">
        <v>779</v>
      </c>
      <c r="E4314" s="793" t="s">
        <v>764</v>
      </c>
      <c r="F4314" s="793" t="s">
        <v>946</v>
      </c>
      <c r="G4314" s="793" t="s">
        <v>244</v>
      </c>
      <c r="H4314" s="793" t="s">
        <v>905</v>
      </c>
      <c r="I4314" s="794">
        <v>1.1717718725887508E-4</v>
      </c>
      <c r="J4314" s="794">
        <v>2.2227843281263571</v>
      </c>
      <c r="K4314" s="771"/>
    </row>
    <row r="4315" spans="1:11" ht="18.75" customHeight="1" outlineLevel="2">
      <c r="A4315" s="791" t="s">
        <v>776</v>
      </c>
      <c r="B4315" s="791" t="s">
        <v>1042</v>
      </c>
      <c r="C4315" s="791" t="s">
        <v>778</v>
      </c>
      <c r="D4315" s="792" t="s">
        <v>779</v>
      </c>
      <c r="E4315" s="793" t="s">
        <v>947</v>
      </c>
      <c r="F4315" s="793" t="s">
        <v>948</v>
      </c>
      <c r="G4315" s="793" t="s">
        <v>799</v>
      </c>
      <c r="H4315" s="793" t="s">
        <v>800</v>
      </c>
      <c r="I4315" s="794">
        <v>4.6617266909343138E-3</v>
      </c>
      <c r="J4315" s="794">
        <v>115.24447296446013</v>
      </c>
      <c r="K4315" s="771"/>
    </row>
    <row r="4316" spans="1:11" ht="18.75" customHeight="1" outlineLevel="2">
      <c r="A4316" s="791" t="s">
        <v>776</v>
      </c>
      <c r="B4316" s="791" t="s">
        <v>1042</v>
      </c>
      <c r="C4316" s="791" t="s">
        <v>778</v>
      </c>
      <c r="D4316" s="792" t="s">
        <v>779</v>
      </c>
      <c r="E4316" s="793" t="s">
        <v>947</v>
      </c>
      <c r="F4316" s="793" t="s">
        <v>949</v>
      </c>
      <c r="G4316" s="793" t="s">
        <v>782</v>
      </c>
      <c r="H4316" s="793" t="s">
        <v>804</v>
      </c>
      <c r="I4316" s="794">
        <v>4.0087646127327809E-3</v>
      </c>
      <c r="J4316" s="794">
        <v>233.79289967635739</v>
      </c>
      <c r="K4316" s="771"/>
    </row>
    <row r="4317" spans="1:11" ht="18.75" customHeight="1" outlineLevel="2">
      <c r="A4317" s="791" t="s">
        <v>776</v>
      </c>
      <c r="B4317" s="791" t="s">
        <v>1042</v>
      </c>
      <c r="C4317" s="791" t="s">
        <v>778</v>
      </c>
      <c r="D4317" s="792" t="s">
        <v>779</v>
      </c>
      <c r="E4317" s="793" t="s">
        <v>947</v>
      </c>
      <c r="F4317" s="793" t="s">
        <v>950</v>
      </c>
      <c r="G4317" s="793" t="s">
        <v>782</v>
      </c>
      <c r="H4317" s="793" t="s">
        <v>804</v>
      </c>
      <c r="I4317" s="794">
        <v>3.4468551734089557E-5</v>
      </c>
      <c r="J4317" s="794">
        <v>0.38072671994650803</v>
      </c>
      <c r="K4317" s="771"/>
    </row>
    <row r="4318" spans="1:11" ht="18.75" customHeight="1" outlineLevel="2">
      <c r="A4318" s="791" t="s">
        <v>776</v>
      </c>
      <c r="B4318" s="791" t="s">
        <v>1042</v>
      </c>
      <c r="C4318" s="791" t="s">
        <v>778</v>
      </c>
      <c r="D4318" s="792" t="s">
        <v>779</v>
      </c>
      <c r="E4318" s="793" t="s">
        <v>947</v>
      </c>
      <c r="F4318" s="793" t="s">
        <v>951</v>
      </c>
      <c r="G4318" s="793" t="s">
        <v>782</v>
      </c>
      <c r="H4318" s="793" t="s">
        <v>804</v>
      </c>
      <c r="I4318" s="794">
        <v>4.9988269717212992E-4</v>
      </c>
      <c r="J4318" s="794">
        <v>6.2716078971474971</v>
      </c>
      <c r="K4318" s="771"/>
    </row>
    <row r="4319" spans="1:11" ht="18.75" customHeight="1" outlineLevel="2">
      <c r="A4319" s="791" t="s">
        <v>776</v>
      </c>
      <c r="B4319" s="791" t="s">
        <v>1042</v>
      </c>
      <c r="C4319" s="791" t="s">
        <v>778</v>
      </c>
      <c r="D4319" s="792" t="s">
        <v>779</v>
      </c>
      <c r="E4319" s="793" t="s">
        <v>947</v>
      </c>
      <c r="F4319" s="793" t="s">
        <v>952</v>
      </c>
      <c r="G4319" s="793" t="s">
        <v>782</v>
      </c>
      <c r="H4319" s="793" t="s">
        <v>804</v>
      </c>
      <c r="I4319" s="794">
        <v>1.1415339152811363E-2</v>
      </c>
      <c r="J4319" s="794">
        <v>585.2189799897485</v>
      </c>
      <c r="K4319" s="771"/>
    </row>
    <row r="4320" spans="1:11" ht="18.75" customHeight="1" outlineLevel="2">
      <c r="A4320" s="791" t="s">
        <v>776</v>
      </c>
      <c r="B4320" s="791" t="s">
        <v>1042</v>
      </c>
      <c r="C4320" s="791" t="s">
        <v>778</v>
      </c>
      <c r="D4320" s="792" t="s">
        <v>779</v>
      </c>
      <c r="E4320" s="793" t="s">
        <v>947</v>
      </c>
      <c r="F4320" s="793" t="s">
        <v>953</v>
      </c>
      <c r="G4320" s="793" t="s">
        <v>782</v>
      </c>
      <c r="H4320" s="793" t="s">
        <v>804</v>
      </c>
      <c r="I4320" s="794">
        <v>8.6656931444321645E-3</v>
      </c>
      <c r="J4320" s="794">
        <v>636.75801597012412</v>
      </c>
      <c r="K4320" s="771"/>
    </row>
    <row r="4321" spans="1:11" ht="18.75" customHeight="1" outlineLevel="2">
      <c r="A4321" s="791" t="s">
        <v>776</v>
      </c>
      <c r="B4321" s="791" t="s">
        <v>1042</v>
      </c>
      <c r="C4321" s="791" t="s">
        <v>778</v>
      </c>
      <c r="D4321" s="792" t="s">
        <v>779</v>
      </c>
      <c r="E4321" s="793" t="s">
        <v>947</v>
      </c>
      <c r="F4321" s="793" t="s">
        <v>954</v>
      </c>
      <c r="G4321" s="793" t="s">
        <v>782</v>
      </c>
      <c r="H4321" s="793" t="s">
        <v>804</v>
      </c>
      <c r="I4321" s="794">
        <v>9.7904230169305775E-4</v>
      </c>
      <c r="J4321" s="794">
        <v>35.160582076533437</v>
      </c>
      <c r="K4321" s="771"/>
    </row>
    <row r="4322" spans="1:11" ht="18.75" customHeight="1" outlineLevel="2">
      <c r="A4322" s="791" t="s">
        <v>776</v>
      </c>
      <c r="B4322" s="791" t="s">
        <v>1042</v>
      </c>
      <c r="C4322" s="791" t="s">
        <v>778</v>
      </c>
      <c r="D4322" s="792" t="s">
        <v>779</v>
      </c>
      <c r="E4322" s="793" t="s">
        <v>947</v>
      </c>
      <c r="F4322" s="793" t="s">
        <v>955</v>
      </c>
      <c r="G4322" s="793" t="s">
        <v>782</v>
      </c>
      <c r="H4322" s="793" t="s">
        <v>804</v>
      </c>
      <c r="I4322" s="794">
        <v>5.207437956477372E-4</v>
      </c>
      <c r="J4322" s="794">
        <v>23.942838939014177</v>
      </c>
      <c r="K4322" s="771"/>
    </row>
    <row r="4323" spans="1:11" ht="18.75" customHeight="1" outlineLevel="2">
      <c r="A4323" s="791" t="s">
        <v>776</v>
      </c>
      <c r="B4323" s="791" t="s">
        <v>1042</v>
      </c>
      <c r="C4323" s="791" t="s">
        <v>778</v>
      </c>
      <c r="D4323" s="792" t="s">
        <v>779</v>
      </c>
      <c r="E4323" s="793" t="s">
        <v>947</v>
      </c>
      <c r="F4323" s="793" t="s">
        <v>956</v>
      </c>
      <c r="G4323" s="793" t="s">
        <v>782</v>
      </c>
      <c r="H4323" s="793" t="s">
        <v>804</v>
      </c>
      <c r="I4323" s="794">
        <v>2.7677328053926369E-3</v>
      </c>
      <c r="J4323" s="794">
        <v>65.749353673496017</v>
      </c>
      <c r="K4323" s="771"/>
    </row>
    <row r="4324" spans="1:11" ht="18.75" customHeight="1" outlineLevel="2">
      <c r="A4324" s="791" t="s">
        <v>776</v>
      </c>
      <c r="B4324" s="791" t="s">
        <v>1042</v>
      </c>
      <c r="C4324" s="791" t="s">
        <v>778</v>
      </c>
      <c r="D4324" s="792" t="s">
        <v>779</v>
      </c>
      <c r="E4324" s="793" t="s">
        <v>947</v>
      </c>
      <c r="F4324" s="793" t="s">
        <v>957</v>
      </c>
      <c r="G4324" s="793" t="s">
        <v>782</v>
      </c>
      <c r="H4324" s="793" t="s">
        <v>804</v>
      </c>
      <c r="I4324" s="794">
        <v>7.9342993049209727E-3</v>
      </c>
      <c r="J4324" s="794">
        <v>281.35889076364833</v>
      </c>
      <c r="K4324" s="771"/>
    </row>
    <row r="4325" spans="1:11" ht="18.75" customHeight="1" outlineLevel="2">
      <c r="A4325" s="791" t="s">
        <v>776</v>
      </c>
      <c r="B4325" s="791" t="s">
        <v>1042</v>
      </c>
      <c r="C4325" s="791" t="s">
        <v>778</v>
      </c>
      <c r="D4325" s="792" t="s">
        <v>779</v>
      </c>
      <c r="E4325" s="793" t="s">
        <v>947</v>
      </c>
      <c r="F4325" s="793" t="s">
        <v>958</v>
      </c>
      <c r="G4325" s="793" t="s">
        <v>782</v>
      </c>
      <c r="H4325" s="793" t="s">
        <v>804</v>
      </c>
      <c r="I4325" s="794">
        <v>5.6092891440630288E-3</v>
      </c>
      <c r="J4325" s="794">
        <v>308.91458875196997</v>
      </c>
      <c r="K4325" s="771"/>
    </row>
    <row r="4326" spans="1:11" ht="18.75" customHeight="1" outlineLevel="2">
      <c r="A4326" s="791" t="s">
        <v>776</v>
      </c>
      <c r="B4326" s="791" t="s">
        <v>1042</v>
      </c>
      <c r="C4326" s="791" t="s">
        <v>778</v>
      </c>
      <c r="D4326" s="792" t="s">
        <v>779</v>
      </c>
      <c r="E4326" s="793" t="s">
        <v>947</v>
      </c>
      <c r="F4326" s="793" t="s">
        <v>959</v>
      </c>
      <c r="G4326" s="793" t="s">
        <v>782</v>
      </c>
      <c r="H4326" s="793" t="s">
        <v>804</v>
      </c>
      <c r="I4326" s="794">
        <v>3.075271822169956E-2</v>
      </c>
      <c r="J4326" s="794">
        <v>2371.9936456934593</v>
      </c>
      <c r="K4326" s="771"/>
    </row>
    <row r="4327" spans="1:11" ht="18.75" customHeight="1" outlineLevel="2">
      <c r="A4327" s="791" t="s">
        <v>776</v>
      </c>
      <c r="B4327" s="791" t="s">
        <v>1042</v>
      </c>
      <c r="C4327" s="791" t="s">
        <v>778</v>
      </c>
      <c r="D4327" s="792" t="s">
        <v>779</v>
      </c>
      <c r="E4327" s="793" t="s">
        <v>947</v>
      </c>
      <c r="F4327" s="793" t="s">
        <v>960</v>
      </c>
      <c r="G4327" s="793" t="s">
        <v>782</v>
      </c>
      <c r="H4327" s="793" t="s">
        <v>804</v>
      </c>
      <c r="I4327" s="794">
        <v>6.5044305591120211E-4</v>
      </c>
      <c r="J4327" s="794">
        <v>19.723406123196217</v>
      </c>
      <c r="K4327" s="771"/>
    </row>
    <row r="4328" spans="1:11" ht="18.75" customHeight="1" outlineLevel="2">
      <c r="A4328" s="791" t="s">
        <v>776</v>
      </c>
      <c r="B4328" s="791" t="s">
        <v>1042</v>
      </c>
      <c r="C4328" s="791" t="s">
        <v>778</v>
      </c>
      <c r="D4328" s="792" t="s">
        <v>779</v>
      </c>
      <c r="E4328" s="793" t="s">
        <v>947</v>
      </c>
      <c r="F4328" s="793" t="s">
        <v>961</v>
      </c>
      <c r="G4328" s="793" t="s">
        <v>782</v>
      </c>
      <c r="H4328" s="793" t="s">
        <v>804</v>
      </c>
      <c r="I4328" s="794">
        <v>2.5615166304131996E-4</v>
      </c>
      <c r="J4328" s="794">
        <v>12.076684662374392</v>
      </c>
      <c r="K4328" s="771"/>
    </row>
    <row r="4329" spans="1:11" ht="18.75" customHeight="1" outlineLevel="2">
      <c r="A4329" s="791" t="s">
        <v>776</v>
      </c>
      <c r="B4329" s="791" t="s">
        <v>1042</v>
      </c>
      <c r="C4329" s="791" t="s">
        <v>778</v>
      </c>
      <c r="D4329" s="792" t="s">
        <v>779</v>
      </c>
      <c r="E4329" s="793" t="s">
        <v>947</v>
      </c>
      <c r="F4329" s="793" t="s">
        <v>962</v>
      </c>
      <c r="G4329" s="793" t="s">
        <v>782</v>
      </c>
      <c r="H4329" s="793" t="s">
        <v>804</v>
      </c>
      <c r="I4329" s="794">
        <v>9.0746496909437455E-3</v>
      </c>
      <c r="J4329" s="794">
        <v>542.17681656206946</v>
      </c>
      <c r="K4329" s="771"/>
    </row>
    <row r="4330" spans="1:11" ht="18.75" customHeight="1" outlineLevel="2">
      <c r="A4330" s="791" t="s">
        <v>776</v>
      </c>
      <c r="B4330" s="791" t="s">
        <v>1042</v>
      </c>
      <c r="C4330" s="791" t="s">
        <v>778</v>
      </c>
      <c r="D4330" s="792" t="s">
        <v>779</v>
      </c>
      <c r="E4330" s="793" t="s">
        <v>947</v>
      </c>
      <c r="F4330" s="793" t="s">
        <v>963</v>
      </c>
      <c r="G4330" s="793" t="s">
        <v>782</v>
      </c>
      <c r="H4330" s="793" t="s">
        <v>804</v>
      </c>
      <c r="I4330" s="794">
        <v>7.8016043140938162E-3</v>
      </c>
      <c r="J4330" s="794">
        <v>590.16650652804822</v>
      </c>
      <c r="K4330" s="771"/>
    </row>
    <row r="4331" spans="1:11" ht="18.75" customHeight="1" outlineLevel="2">
      <c r="A4331" s="791" t="s">
        <v>776</v>
      </c>
      <c r="B4331" s="791" t="s">
        <v>1042</v>
      </c>
      <c r="C4331" s="791" t="s">
        <v>778</v>
      </c>
      <c r="D4331" s="792" t="s">
        <v>779</v>
      </c>
      <c r="E4331" s="793" t="s">
        <v>947</v>
      </c>
      <c r="F4331" s="793" t="s">
        <v>964</v>
      </c>
      <c r="G4331" s="793" t="s">
        <v>782</v>
      </c>
      <c r="H4331" s="793" t="s">
        <v>804</v>
      </c>
      <c r="I4331" s="794">
        <v>2.8484395597395074E-2</v>
      </c>
      <c r="J4331" s="794">
        <v>2030.0890889778327</v>
      </c>
      <c r="K4331" s="771"/>
    </row>
    <row r="4332" spans="1:11" ht="18.75" customHeight="1" outlineLevel="2">
      <c r="A4332" s="791" t="s">
        <v>776</v>
      </c>
      <c r="B4332" s="791" t="s">
        <v>1042</v>
      </c>
      <c r="C4332" s="791" t="s">
        <v>778</v>
      </c>
      <c r="D4332" s="792" t="s">
        <v>779</v>
      </c>
      <c r="E4332" s="793" t="s">
        <v>947</v>
      </c>
      <c r="F4332" s="793" t="s">
        <v>965</v>
      </c>
      <c r="G4332" s="793" t="s">
        <v>782</v>
      </c>
      <c r="H4332" s="793" t="s">
        <v>804</v>
      </c>
      <c r="I4332" s="794">
        <v>1.96072633819606E-3</v>
      </c>
      <c r="J4332" s="794">
        <v>95.458354836013669</v>
      </c>
      <c r="K4332" s="771"/>
    </row>
    <row r="4333" spans="1:11" ht="18.75" customHeight="1" outlineLevel="2">
      <c r="A4333" s="791" t="s">
        <v>776</v>
      </c>
      <c r="B4333" s="791" t="s">
        <v>1042</v>
      </c>
      <c r="C4333" s="791" t="s">
        <v>778</v>
      </c>
      <c r="D4333" s="792" t="s">
        <v>779</v>
      </c>
      <c r="E4333" s="793" t="s">
        <v>947</v>
      </c>
      <c r="F4333" s="793" t="s">
        <v>966</v>
      </c>
      <c r="G4333" s="793" t="s">
        <v>782</v>
      </c>
      <c r="H4333" s="793" t="s">
        <v>804</v>
      </c>
      <c r="I4333" s="794">
        <v>1.6487194584986001E-2</v>
      </c>
      <c r="J4333" s="794">
        <v>759.31972248003433</v>
      </c>
      <c r="K4333" s="771"/>
    </row>
    <row r="4334" spans="1:11" ht="18.75" customHeight="1" outlineLevel="2">
      <c r="A4334" s="791" t="s">
        <v>776</v>
      </c>
      <c r="B4334" s="791" t="s">
        <v>1042</v>
      </c>
      <c r="C4334" s="791" t="s">
        <v>778</v>
      </c>
      <c r="D4334" s="792" t="s">
        <v>779</v>
      </c>
      <c r="E4334" s="793" t="s">
        <v>947</v>
      </c>
      <c r="F4334" s="793" t="s">
        <v>967</v>
      </c>
      <c r="G4334" s="793" t="s">
        <v>782</v>
      </c>
      <c r="H4334" s="793" t="s">
        <v>804</v>
      </c>
      <c r="I4334" s="794">
        <v>4.0283270356973815E-2</v>
      </c>
      <c r="J4334" s="794">
        <v>2581.5423458390451</v>
      </c>
      <c r="K4334" s="771"/>
    </row>
    <row r="4335" spans="1:11" ht="18.75" customHeight="1" outlineLevel="2">
      <c r="A4335" s="791" t="s">
        <v>776</v>
      </c>
      <c r="B4335" s="791" t="s">
        <v>1042</v>
      </c>
      <c r="C4335" s="791" t="s">
        <v>778</v>
      </c>
      <c r="D4335" s="792" t="s">
        <v>779</v>
      </c>
      <c r="E4335" s="793" t="s">
        <v>947</v>
      </c>
      <c r="F4335" s="793" t="s">
        <v>968</v>
      </c>
      <c r="G4335" s="793" t="s">
        <v>782</v>
      </c>
      <c r="H4335" s="793" t="s">
        <v>804</v>
      </c>
      <c r="I4335" s="794">
        <v>8.8230262744969201E-2</v>
      </c>
      <c r="J4335" s="794">
        <v>1731.8622303128141</v>
      </c>
      <c r="K4335" s="771"/>
    </row>
    <row r="4336" spans="1:11" ht="18.75" customHeight="1" outlineLevel="2">
      <c r="A4336" s="791" t="s">
        <v>776</v>
      </c>
      <c r="B4336" s="791" t="s">
        <v>1042</v>
      </c>
      <c r="C4336" s="791" t="s">
        <v>778</v>
      </c>
      <c r="D4336" s="792" t="s">
        <v>779</v>
      </c>
      <c r="E4336" s="793" t="s">
        <v>947</v>
      </c>
      <c r="F4336" s="793" t="s">
        <v>969</v>
      </c>
      <c r="G4336" s="793" t="s">
        <v>782</v>
      </c>
      <c r="H4336" s="793" t="s">
        <v>804</v>
      </c>
      <c r="I4336" s="794">
        <v>3.244017105521433E-2</v>
      </c>
      <c r="J4336" s="794">
        <v>2361.5652576395119</v>
      </c>
      <c r="K4336" s="771"/>
    </row>
    <row r="4337" spans="1:11" ht="18.75" customHeight="1" outlineLevel="2">
      <c r="A4337" s="791" t="s">
        <v>776</v>
      </c>
      <c r="B4337" s="791" t="s">
        <v>1042</v>
      </c>
      <c r="C4337" s="791" t="s">
        <v>778</v>
      </c>
      <c r="D4337" s="792" t="s">
        <v>779</v>
      </c>
      <c r="E4337" s="793" t="s">
        <v>947</v>
      </c>
      <c r="F4337" s="793" t="s">
        <v>970</v>
      </c>
      <c r="G4337" s="793" t="s">
        <v>782</v>
      </c>
      <c r="H4337" s="793" t="s">
        <v>804</v>
      </c>
      <c r="I4337" s="794">
        <v>5.9067239378912985E-2</v>
      </c>
      <c r="J4337" s="794">
        <v>1359.4232245515034</v>
      </c>
      <c r="K4337" s="771"/>
    </row>
    <row r="4338" spans="1:11" ht="18.75" customHeight="1" outlineLevel="2">
      <c r="A4338" s="791" t="s">
        <v>776</v>
      </c>
      <c r="B4338" s="791" t="s">
        <v>1042</v>
      </c>
      <c r="C4338" s="791" t="s">
        <v>778</v>
      </c>
      <c r="D4338" s="792" t="s">
        <v>779</v>
      </c>
      <c r="E4338" s="793" t="s">
        <v>947</v>
      </c>
      <c r="F4338" s="793" t="s">
        <v>971</v>
      </c>
      <c r="G4338" s="793" t="s">
        <v>782</v>
      </c>
      <c r="H4338" s="793" t="s">
        <v>804</v>
      </c>
      <c r="I4338" s="794">
        <v>3.4673620804727321E-3</v>
      </c>
      <c r="J4338" s="794">
        <v>253.39888957522263</v>
      </c>
      <c r="K4338" s="771"/>
    </row>
    <row r="4339" spans="1:11" ht="18.75" customHeight="1" outlineLevel="2">
      <c r="A4339" s="791" t="s">
        <v>776</v>
      </c>
      <c r="B4339" s="791" t="s">
        <v>1042</v>
      </c>
      <c r="C4339" s="791" t="s">
        <v>778</v>
      </c>
      <c r="D4339" s="792" t="s">
        <v>779</v>
      </c>
      <c r="E4339" s="793" t="s">
        <v>947</v>
      </c>
      <c r="F4339" s="793" t="s">
        <v>972</v>
      </c>
      <c r="G4339" s="793" t="s">
        <v>782</v>
      </c>
      <c r="H4339" s="793" t="s">
        <v>804</v>
      </c>
      <c r="I4339" s="794">
        <v>1.8009190151688394E-4</v>
      </c>
      <c r="J4339" s="794">
        <v>4.1573434001178855</v>
      </c>
      <c r="K4339" s="771"/>
    </row>
    <row r="4340" spans="1:11" ht="18.75" customHeight="1" outlineLevel="2">
      <c r="A4340" s="791" t="s">
        <v>776</v>
      </c>
      <c r="B4340" s="791" t="s">
        <v>1042</v>
      </c>
      <c r="C4340" s="791" t="s">
        <v>778</v>
      </c>
      <c r="D4340" s="792" t="s">
        <v>779</v>
      </c>
      <c r="E4340" s="793" t="s">
        <v>947</v>
      </c>
      <c r="F4340" s="793" t="s">
        <v>973</v>
      </c>
      <c r="G4340" s="793" t="s">
        <v>782</v>
      </c>
      <c r="H4340" s="793" t="s">
        <v>804</v>
      </c>
      <c r="I4340" s="794">
        <v>4.9166738762896891E-3</v>
      </c>
      <c r="J4340" s="794">
        <v>264.31987984761747</v>
      </c>
      <c r="K4340" s="771"/>
    </row>
    <row r="4341" spans="1:11" ht="18.75" customHeight="1" outlineLevel="2">
      <c r="A4341" s="791" t="s">
        <v>776</v>
      </c>
      <c r="B4341" s="791" t="s">
        <v>1042</v>
      </c>
      <c r="C4341" s="791" t="s">
        <v>778</v>
      </c>
      <c r="D4341" s="792" t="s">
        <v>779</v>
      </c>
      <c r="E4341" s="793" t="s">
        <v>947</v>
      </c>
      <c r="F4341" s="793" t="s">
        <v>974</v>
      </c>
      <c r="G4341" s="793" t="s">
        <v>785</v>
      </c>
      <c r="H4341" s="793" t="s">
        <v>727</v>
      </c>
      <c r="I4341" s="794">
        <v>6.2765490798894234E-3</v>
      </c>
      <c r="J4341" s="794">
        <v>151.84645024633971</v>
      </c>
      <c r="K4341" s="771"/>
    </row>
    <row r="4342" spans="1:11" ht="18.75" customHeight="1" outlineLevel="2">
      <c r="A4342" s="791" t="s">
        <v>776</v>
      </c>
      <c r="B4342" s="791" t="s">
        <v>1042</v>
      </c>
      <c r="C4342" s="791" t="s">
        <v>778</v>
      </c>
      <c r="D4342" s="792" t="s">
        <v>779</v>
      </c>
      <c r="E4342" s="793" t="s">
        <v>947</v>
      </c>
      <c r="F4342" s="793" t="s">
        <v>975</v>
      </c>
      <c r="G4342" s="793" t="s">
        <v>785</v>
      </c>
      <c r="H4342" s="793" t="s">
        <v>727</v>
      </c>
      <c r="I4342" s="794">
        <v>3.1236074848107712E-2</v>
      </c>
      <c r="J4342" s="794">
        <v>2202.9275228418255</v>
      </c>
      <c r="K4342" s="771"/>
    </row>
    <row r="4343" spans="1:11" ht="18.75" customHeight="1" outlineLevel="2">
      <c r="A4343" s="791" t="s">
        <v>776</v>
      </c>
      <c r="B4343" s="791" t="s">
        <v>1042</v>
      </c>
      <c r="C4343" s="791" t="s">
        <v>778</v>
      </c>
      <c r="D4343" s="792" t="s">
        <v>779</v>
      </c>
      <c r="E4343" s="793" t="s">
        <v>947</v>
      </c>
      <c r="F4343" s="793" t="s">
        <v>976</v>
      </c>
      <c r="G4343" s="793" t="s">
        <v>785</v>
      </c>
      <c r="H4343" s="793" t="s">
        <v>727</v>
      </c>
      <c r="I4343" s="794">
        <v>1.8349549405812411E-2</v>
      </c>
      <c r="J4343" s="794">
        <v>962.19342375391363</v>
      </c>
      <c r="K4343" s="771"/>
    </row>
    <row r="4344" spans="1:11" ht="18.75" customHeight="1" outlineLevel="2">
      <c r="A4344" s="791" t="s">
        <v>776</v>
      </c>
      <c r="B4344" s="791" t="s">
        <v>1042</v>
      </c>
      <c r="C4344" s="791" t="s">
        <v>778</v>
      </c>
      <c r="D4344" s="792" t="s">
        <v>779</v>
      </c>
      <c r="E4344" s="793" t="s">
        <v>947</v>
      </c>
      <c r="F4344" s="793" t="s">
        <v>977</v>
      </c>
      <c r="G4344" s="793" t="s">
        <v>785</v>
      </c>
      <c r="H4344" s="793" t="s">
        <v>727</v>
      </c>
      <c r="I4344" s="794">
        <v>2.1719930854079618E-2</v>
      </c>
      <c r="J4344" s="794">
        <v>975.70159072086062</v>
      </c>
      <c r="K4344" s="771"/>
    </row>
    <row r="4345" spans="1:11" ht="18.75" customHeight="1" outlineLevel="2">
      <c r="A4345" s="791" t="s">
        <v>776</v>
      </c>
      <c r="B4345" s="791" t="s">
        <v>1042</v>
      </c>
      <c r="C4345" s="791" t="s">
        <v>778</v>
      </c>
      <c r="D4345" s="792" t="s">
        <v>779</v>
      </c>
      <c r="E4345" s="793" t="s">
        <v>947</v>
      </c>
      <c r="F4345" s="793" t="s">
        <v>978</v>
      </c>
      <c r="G4345" s="793" t="s">
        <v>785</v>
      </c>
      <c r="H4345" s="793" t="s">
        <v>727</v>
      </c>
      <c r="I4345" s="794">
        <v>1.3756410890286939E-3</v>
      </c>
      <c r="J4345" s="794">
        <v>37.62907478727459</v>
      </c>
      <c r="K4345" s="771"/>
    </row>
    <row r="4346" spans="1:11" ht="18.75" customHeight="1" outlineLevel="2">
      <c r="A4346" s="791" t="s">
        <v>776</v>
      </c>
      <c r="B4346" s="791" t="s">
        <v>1042</v>
      </c>
      <c r="C4346" s="791" t="s">
        <v>778</v>
      </c>
      <c r="D4346" s="792" t="s">
        <v>779</v>
      </c>
      <c r="E4346" s="793" t="s">
        <v>947</v>
      </c>
      <c r="F4346" s="793" t="s">
        <v>979</v>
      </c>
      <c r="G4346" s="793" t="s">
        <v>785</v>
      </c>
      <c r="H4346" s="793" t="s">
        <v>727</v>
      </c>
      <c r="I4346" s="794">
        <v>7.2204072102474287E-2</v>
      </c>
      <c r="J4346" s="794">
        <v>2373.0852668571965</v>
      </c>
      <c r="K4346" s="771"/>
    </row>
    <row r="4347" spans="1:11" ht="18.75" customHeight="1" outlineLevel="2">
      <c r="A4347" s="791" t="s">
        <v>776</v>
      </c>
      <c r="B4347" s="791" t="s">
        <v>1042</v>
      </c>
      <c r="C4347" s="791" t="s">
        <v>778</v>
      </c>
      <c r="D4347" s="792" t="s">
        <v>779</v>
      </c>
      <c r="E4347" s="793" t="s">
        <v>947</v>
      </c>
      <c r="F4347" s="793" t="s">
        <v>980</v>
      </c>
      <c r="G4347" s="793" t="s">
        <v>785</v>
      </c>
      <c r="H4347" s="793" t="s">
        <v>727</v>
      </c>
      <c r="I4347" s="794">
        <v>1.7126879113499242E-2</v>
      </c>
      <c r="J4347" s="794">
        <v>1388.4255823019155</v>
      </c>
      <c r="K4347" s="771"/>
    </row>
    <row r="4348" spans="1:11" ht="18.75" customHeight="1" outlineLevel="2">
      <c r="A4348" s="791" t="s">
        <v>776</v>
      </c>
      <c r="B4348" s="791" t="s">
        <v>1042</v>
      </c>
      <c r="C4348" s="791" t="s">
        <v>778</v>
      </c>
      <c r="D4348" s="792" t="s">
        <v>779</v>
      </c>
      <c r="E4348" s="793" t="s">
        <v>947</v>
      </c>
      <c r="F4348" s="793" t="s">
        <v>981</v>
      </c>
      <c r="G4348" s="793" t="s">
        <v>813</v>
      </c>
      <c r="H4348" s="793" t="s">
        <v>814</v>
      </c>
      <c r="I4348" s="794">
        <v>3.3977262966583134E-6</v>
      </c>
      <c r="J4348" s="794">
        <v>8.5160207448164507E-2</v>
      </c>
      <c r="K4348" s="771"/>
    </row>
    <row r="4349" spans="1:11" ht="18.75" customHeight="1" outlineLevel="2">
      <c r="A4349" s="791" t="s">
        <v>776</v>
      </c>
      <c r="B4349" s="791" t="s">
        <v>1042</v>
      </c>
      <c r="C4349" s="791" t="s">
        <v>778</v>
      </c>
      <c r="D4349" s="792" t="s">
        <v>779</v>
      </c>
      <c r="E4349" s="793" t="s">
        <v>947</v>
      </c>
      <c r="F4349" s="793" t="s">
        <v>982</v>
      </c>
      <c r="G4349" s="793" t="s">
        <v>813</v>
      </c>
      <c r="H4349" s="793" t="s">
        <v>814</v>
      </c>
      <c r="I4349" s="794">
        <v>3.9933365720030772E-4</v>
      </c>
      <c r="J4349" s="794">
        <v>22.369043957210739</v>
      </c>
      <c r="K4349" s="771"/>
    </row>
    <row r="4350" spans="1:11" ht="18.75" customHeight="1" outlineLevel="2">
      <c r="A4350" s="791" t="s">
        <v>776</v>
      </c>
      <c r="B4350" s="791" t="s">
        <v>1042</v>
      </c>
      <c r="C4350" s="791" t="s">
        <v>778</v>
      </c>
      <c r="D4350" s="792" t="s">
        <v>779</v>
      </c>
      <c r="E4350" s="793" t="s">
        <v>947</v>
      </c>
      <c r="F4350" s="793" t="s">
        <v>983</v>
      </c>
      <c r="G4350" s="793" t="s">
        <v>813</v>
      </c>
      <c r="H4350" s="793" t="s">
        <v>814</v>
      </c>
      <c r="I4350" s="794">
        <v>2.6871405600460238E-2</v>
      </c>
      <c r="J4350" s="794">
        <v>596.9520908854596</v>
      </c>
      <c r="K4350" s="771"/>
    </row>
    <row r="4351" spans="1:11" ht="18.75" customHeight="1" outlineLevel="2">
      <c r="A4351" s="791" t="s">
        <v>776</v>
      </c>
      <c r="B4351" s="791" t="s">
        <v>1042</v>
      </c>
      <c r="C4351" s="791" t="s">
        <v>778</v>
      </c>
      <c r="D4351" s="792" t="s">
        <v>779</v>
      </c>
      <c r="E4351" s="793" t="s">
        <v>947</v>
      </c>
      <c r="F4351" s="793" t="s">
        <v>984</v>
      </c>
      <c r="G4351" s="793" t="s">
        <v>813</v>
      </c>
      <c r="H4351" s="793" t="s">
        <v>814</v>
      </c>
      <c r="I4351" s="794">
        <v>7.0666976837834607E-3</v>
      </c>
      <c r="J4351" s="794">
        <v>123.22992381227021</v>
      </c>
      <c r="K4351" s="771"/>
    </row>
    <row r="4352" spans="1:11" ht="18.75" customHeight="1" outlineLevel="2">
      <c r="A4352" s="791" t="s">
        <v>776</v>
      </c>
      <c r="B4352" s="791" t="s">
        <v>1042</v>
      </c>
      <c r="C4352" s="791" t="s">
        <v>778</v>
      </c>
      <c r="D4352" s="792" t="s">
        <v>779</v>
      </c>
      <c r="E4352" s="793" t="s">
        <v>947</v>
      </c>
      <c r="F4352" s="793" t="s">
        <v>985</v>
      </c>
      <c r="G4352" s="793" t="s">
        <v>813</v>
      </c>
      <c r="H4352" s="793" t="s">
        <v>814</v>
      </c>
      <c r="I4352" s="794">
        <v>1.6702913731557141E-2</v>
      </c>
      <c r="J4352" s="794">
        <v>813.76464835973843</v>
      </c>
      <c r="K4352" s="771"/>
    </row>
    <row r="4353" spans="1:11" ht="18.75" customHeight="1" outlineLevel="2">
      <c r="A4353" s="791" t="s">
        <v>776</v>
      </c>
      <c r="B4353" s="791" t="s">
        <v>1042</v>
      </c>
      <c r="C4353" s="791" t="s">
        <v>778</v>
      </c>
      <c r="D4353" s="792" t="s">
        <v>779</v>
      </c>
      <c r="E4353" s="793" t="s">
        <v>947</v>
      </c>
      <c r="F4353" s="793" t="s">
        <v>986</v>
      </c>
      <c r="G4353" s="793" t="s">
        <v>813</v>
      </c>
      <c r="H4353" s="793" t="s">
        <v>814</v>
      </c>
      <c r="I4353" s="794">
        <v>2.8644784041454274E-3</v>
      </c>
      <c r="J4353" s="794">
        <v>95.881968718081666</v>
      </c>
      <c r="K4353" s="771"/>
    </row>
    <row r="4354" spans="1:11" ht="18.75" customHeight="1" outlineLevel="2">
      <c r="A4354" s="791" t="s">
        <v>776</v>
      </c>
      <c r="B4354" s="791" t="s">
        <v>1042</v>
      </c>
      <c r="C4354" s="791" t="s">
        <v>778</v>
      </c>
      <c r="D4354" s="792" t="s">
        <v>779</v>
      </c>
      <c r="E4354" s="793" t="s">
        <v>947</v>
      </c>
      <c r="F4354" s="793" t="s">
        <v>987</v>
      </c>
      <c r="G4354" s="793" t="s">
        <v>813</v>
      </c>
      <c r="H4354" s="793" t="s">
        <v>814</v>
      </c>
      <c r="I4354" s="794">
        <v>8.0534410261632174E-5</v>
      </c>
      <c r="J4354" s="794">
        <v>2.4346533937927979</v>
      </c>
      <c r="K4354" s="771"/>
    </row>
    <row r="4355" spans="1:11" ht="18.75" customHeight="1" outlineLevel="2">
      <c r="A4355" s="791" t="s">
        <v>776</v>
      </c>
      <c r="B4355" s="791" t="s">
        <v>1042</v>
      </c>
      <c r="C4355" s="791" t="s">
        <v>778</v>
      </c>
      <c r="D4355" s="792" t="s">
        <v>779</v>
      </c>
      <c r="E4355" s="793" t="s">
        <v>947</v>
      </c>
      <c r="F4355" s="793" t="s">
        <v>988</v>
      </c>
      <c r="G4355" s="793" t="s">
        <v>791</v>
      </c>
      <c r="H4355" s="793" t="s">
        <v>826</v>
      </c>
      <c r="I4355" s="794">
        <v>1.1541026660561142E-5</v>
      </c>
      <c r="J4355" s="794">
        <v>9.8645819163590595E-2</v>
      </c>
      <c r="K4355" s="771"/>
    </row>
    <row r="4356" spans="1:11" ht="18.75" customHeight="1" outlineLevel="2">
      <c r="A4356" s="791" t="s">
        <v>776</v>
      </c>
      <c r="B4356" s="791" t="s">
        <v>1042</v>
      </c>
      <c r="C4356" s="791" t="s">
        <v>778</v>
      </c>
      <c r="D4356" s="792" t="s">
        <v>779</v>
      </c>
      <c r="E4356" s="793" t="s">
        <v>947</v>
      </c>
      <c r="F4356" s="793" t="s">
        <v>989</v>
      </c>
      <c r="G4356" s="793" t="s">
        <v>791</v>
      </c>
      <c r="H4356" s="793" t="s">
        <v>826</v>
      </c>
      <c r="I4356" s="794">
        <v>6.9811983672590408E-2</v>
      </c>
      <c r="J4356" s="794">
        <v>4095.9891890048857</v>
      </c>
      <c r="K4356" s="771"/>
    </row>
    <row r="4357" spans="1:11" ht="18.75" customHeight="1" outlineLevel="2">
      <c r="A4357" s="791" t="s">
        <v>776</v>
      </c>
      <c r="B4357" s="791" t="s">
        <v>1042</v>
      </c>
      <c r="C4357" s="791" t="s">
        <v>778</v>
      </c>
      <c r="D4357" s="792" t="s">
        <v>779</v>
      </c>
      <c r="E4357" s="793" t="s">
        <v>947</v>
      </c>
      <c r="F4357" s="793" t="s">
        <v>990</v>
      </c>
      <c r="G4357" s="793" t="s">
        <v>791</v>
      </c>
      <c r="H4357" s="793" t="s">
        <v>826</v>
      </c>
      <c r="I4357" s="794">
        <v>3.3320549268025124E-3</v>
      </c>
      <c r="J4357" s="794">
        <v>367.24033542877174</v>
      </c>
      <c r="K4357" s="771"/>
    </row>
    <row r="4358" spans="1:11" ht="18.75" customHeight="1" outlineLevel="2">
      <c r="A4358" s="791" t="s">
        <v>776</v>
      </c>
      <c r="B4358" s="791" t="s">
        <v>1042</v>
      </c>
      <c r="C4358" s="791" t="s">
        <v>778</v>
      </c>
      <c r="D4358" s="792" t="s">
        <v>779</v>
      </c>
      <c r="E4358" s="793" t="s">
        <v>947</v>
      </c>
      <c r="F4358" s="793" t="s">
        <v>991</v>
      </c>
      <c r="G4358" s="793" t="s">
        <v>791</v>
      </c>
      <c r="H4358" s="793" t="s">
        <v>826</v>
      </c>
      <c r="I4358" s="794">
        <v>2.6466753332583716E-5</v>
      </c>
      <c r="J4358" s="794">
        <v>2.0327014124186098</v>
      </c>
      <c r="K4358" s="771"/>
    </row>
    <row r="4359" spans="1:11" ht="18.75" customHeight="1" outlineLevel="2">
      <c r="A4359" s="791" t="s">
        <v>776</v>
      </c>
      <c r="B4359" s="791" t="s">
        <v>1042</v>
      </c>
      <c r="C4359" s="791" t="s">
        <v>778</v>
      </c>
      <c r="D4359" s="792" t="s">
        <v>779</v>
      </c>
      <c r="E4359" s="793" t="s">
        <v>947</v>
      </c>
      <c r="F4359" s="793" t="s">
        <v>992</v>
      </c>
      <c r="G4359" s="793" t="s">
        <v>791</v>
      </c>
      <c r="H4359" s="793" t="s">
        <v>826</v>
      </c>
      <c r="I4359" s="794">
        <v>5.1593163633404014E-6</v>
      </c>
      <c r="J4359" s="794">
        <v>0.42700844823951167</v>
      </c>
      <c r="K4359" s="771"/>
    </row>
    <row r="4360" spans="1:11" ht="18.75" customHeight="1" outlineLevel="2">
      <c r="A4360" s="791" t="s">
        <v>776</v>
      </c>
      <c r="B4360" s="791" t="s">
        <v>1042</v>
      </c>
      <c r="C4360" s="791" t="s">
        <v>778</v>
      </c>
      <c r="D4360" s="792" t="s">
        <v>779</v>
      </c>
      <c r="E4360" s="793" t="s">
        <v>947</v>
      </c>
      <c r="F4360" s="793" t="s">
        <v>993</v>
      </c>
      <c r="G4360" s="793" t="s">
        <v>791</v>
      </c>
      <c r="H4360" s="793" t="s">
        <v>826</v>
      </c>
      <c r="I4360" s="794">
        <v>3.3870847244513213E-4</v>
      </c>
      <c r="J4360" s="794">
        <v>31.143585191637452</v>
      </c>
      <c r="K4360" s="771"/>
    </row>
    <row r="4361" spans="1:11" ht="18.75" customHeight="1" outlineLevel="2">
      <c r="A4361" s="791" t="s">
        <v>776</v>
      </c>
      <c r="B4361" s="791" t="s">
        <v>1042</v>
      </c>
      <c r="C4361" s="791" t="s">
        <v>778</v>
      </c>
      <c r="D4361" s="792" t="s">
        <v>779</v>
      </c>
      <c r="E4361" s="793" t="s">
        <v>947</v>
      </c>
      <c r="F4361" s="793" t="s">
        <v>994</v>
      </c>
      <c r="G4361" s="793" t="s">
        <v>791</v>
      </c>
      <c r="H4361" s="793" t="s">
        <v>826</v>
      </c>
      <c r="I4361" s="794">
        <v>7.1611622058477491E-7</v>
      </c>
      <c r="J4361" s="794">
        <v>8.6164720858952493E-2</v>
      </c>
      <c r="K4361" s="771"/>
    </row>
    <row r="4362" spans="1:11" ht="18.75" customHeight="1" outlineLevel="2">
      <c r="A4362" s="791" t="s">
        <v>776</v>
      </c>
      <c r="B4362" s="791" t="s">
        <v>1042</v>
      </c>
      <c r="C4362" s="791" t="s">
        <v>778</v>
      </c>
      <c r="D4362" s="792" t="s">
        <v>779</v>
      </c>
      <c r="E4362" s="793" t="s">
        <v>947</v>
      </c>
      <c r="F4362" s="793" t="s">
        <v>995</v>
      </c>
      <c r="G4362" s="793" t="s">
        <v>791</v>
      </c>
      <c r="H4362" s="793" t="s">
        <v>826</v>
      </c>
      <c r="I4362" s="794">
        <v>3.0485890160964656E-4</v>
      </c>
      <c r="J4362" s="794">
        <v>28.796361847487383</v>
      </c>
      <c r="K4362" s="771"/>
    </row>
    <row r="4363" spans="1:11" ht="18.75" customHeight="1" outlineLevel="2">
      <c r="A4363" s="791" t="s">
        <v>776</v>
      </c>
      <c r="B4363" s="791" t="s">
        <v>1042</v>
      </c>
      <c r="C4363" s="791" t="s">
        <v>778</v>
      </c>
      <c r="D4363" s="792" t="s">
        <v>779</v>
      </c>
      <c r="E4363" s="793" t="s">
        <v>947</v>
      </c>
      <c r="F4363" s="793" t="s">
        <v>996</v>
      </c>
      <c r="G4363" s="793" t="s">
        <v>791</v>
      </c>
      <c r="H4363" s="793" t="s">
        <v>826</v>
      </c>
      <c r="I4363" s="794">
        <v>9.0136931063658249E-4</v>
      </c>
      <c r="J4363" s="794">
        <v>80.135541411250699</v>
      </c>
      <c r="K4363" s="771"/>
    </row>
    <row r="4364" spans="1:11" ht="18.75" customHeight="1" outlineLevel="2">
      <c r="A4364" s="791" t="s">
        <v>776</v>
      </c>
      <c r="B4364" s="791" t="s">
        <v>1042</v>
      </c>
      <c r="C4364" s="791" t="s">
        <v>778</v>
      </c>
      <c r="D4364" s="792" t="s">
        <v>779</v>
      </c>
      <c r="E4364" s="793" t="s">
        <v>947</v>
      </c>
      <c r="F4364" s="793" t="s">
        <v>997</v>
      </c>
      <c r="G4364" s="793" t="s">
        <v>791</v>
      </c>
      <c r="H4364" s="793" t="s">
        <v>826</v>
      </c>
      <c r="I4364" s="794">
        <v>1.3670333982895657E-3</v>
      </c>
      <c r="J4364" s="794">
        <v>59.089674832589886</v>
      </c>
      <c r="K4364" s="771"/>
    </row>
    <row r="4365" spans="1:11" ht="18.75" customHeight="1" outlineLevel="2">
      <c r="A4365" s="791" t="s">
        <v>776</v>
      </c>
      <c r="B4365" s="791" t="s">
        <v>1042</v>
      </c>
      <c r="C4365" s="791" t="s">
        <v>778</v>
      </c>
      <c r="D4365" s="792" t="s">
        <v>779</v>
      </c>
      <c r="E4365" s="793" t="s">
        <v>947</v>
      </c>
      <c r="F4365" s="793" t="s">
        <v>998</v>
      </c>
      <c r="G4365" s="793" t="s">
        <v>794</v>
      </c>
      <c r="H4365" s="793" t="s">
        <v>828</v>
      </c>
      <c r="I4365" s="794">
        <v>2.7142628093821314E-2</v>
      </c>
      <c r="J4365" s="794">
        <v>992.52381743425622</v>
      </c>
      <c r="K4365" s="771"/>
    </row>
    <row r="4366" spans="1:11" ht="18.75" customHeight="1" outlineLevel="2">
      <c r="A4366" s="791" t="s">
        <v>776</v>
      </c>
      <c r="B4366" s="791" t="s">
        <v>1042</v>
      </c>
      <c r="C4366" s="791" t="s">
        <v>778</v>
      </c>
      <c r="D4366" s="792" t="s">
        <v>779</v>
      </c>
      <c r="E4366" s="793" t="s">
        <v>947</v>
      </c>
      <c r="F4366" s="793" t="s">
        <v>999</v>
      </c>
      <c r="G4366" s="793" t="s">
        <v>794</v>
      </c>
      <c r="H4366" s="793" t="s">
        <v>828</v>
      </c>
      <c r="I4366" s="794">
        <v>6.401067978297972E-3</v>
      </c>
      <c r="J4366" s="794">
        <v>234.25372486863409</v>
      </c>
      <c r="K4366" s="771"/>
    </row>
    <row r="4367" spans="1:11" ht="18.75" customHeight="1" outlineLevel="2">
      <c r="A4367" s="791" t="s">
        <v>776</v>
      </c>
      <c r="B4367" s="791" t="s">
        <v>1042</v>
      </c>
      <c r="C4367" s="791" t="s">
        <v>778</v>
      </c>
      <c r="D4367" s="792" t="s">
        <v>779</v>
      </c>
      <c r="E4367" s="793" t="s">
        <v>947</v>
      </c>
      <c r="F4367" s="793" t="s">
        <v>1000</v>
      </c>
      <c r="G4367" s="793" t="s">
        <v>794</v>
      </c>
      <c r="H4367" s="793" t="s">
        <v>828</v>
      </c>
      <c r="I4367" s="794">
        <v>1.7965107298013018E-2</v>
      </c>
      <c r="J4367" s="794">
        <v>649.90836737422012</v>
      </c>
      <c r="K4367" s="771"/>
    </row>
    <row r="4368" spans="1:11" ht="18.75" customHeight="1" outlineLevel="2">
      <c r="A4368" s="791" t="s">
        <v>776</v>
      </c>
      <c r="B4368" s="791" t="s">
        <v>1042</v>
      </c>
      <c r="C4368" s="791" t="s">
        <v>778</v>
      </c>
      <c r="D4368" s="792" t="s">
        <v>779</v>
      </c>
      <c r="E4368" s="793" t="s">
        <v>947</v>
      </c>
      <c r="F4368" s="793" t="s">
        <v>1001</v>
      </c>
      <c r="G4368" s="793" t="s">
        <v>794</v>
      </c>
      <c r="H4368" s="793" t="s">
        <v>828</v>
      </c>
      <c r="I4368" s="794">
        <v>1.5170035226122766E-2</v>
      </c>
      <c r="J4368" s="794">
        <v>329.97832393588016</v>
      </c>
      <c r="K4368" s="771"/>
    </row>
    <row r="4369" spans="1:11" ht="18.75" customHeight="1" outlineLevel="2">
      <c r="A4369" s="791" t="s">
        <v>776</v>
      </c>
      <c r="B4369" s="791" t="s">
        <v>1042</v>
      </c>
      <c r="C4369" s="791" t="s">
        <v>778</v>
      </c>
      <c r="D4369" s="792" t="s">
        <v>779</v>
      </c>
      <c r="E4369" s="793" t="s">
        <v>947</v>
      </c>
      <c r="F4369" s="793" t="s">
        <v>1002</v>
      </c>
      <c r="G4369" s="793" t="s">
        <v>794</v>
      </c>
      <c r="H4369" s="793" t="s">
        <v>828</v>
      </c>
      <c r="I4369" s="794">
        <v>7.5462395938303976E-4</v>
      </c>
      <c r="J4369" s="794">
        <v>31.735635634723845</v>
      </c>
      <c r="K4369" s="771"/>
    </row>
    <row r="4370" spans="1:11" ht="18.75" customHeight="1" outlineLevel="2">
      <c r="A4370" s="791" t="s">
        <v>776</v>
      </c>
      <c r="B4370" s="791" t="s">
        <v>1042</v>
      </c>
      <c r="C4370" s="791" t="s">
        <v>778</v>
      </c>
      <c r="D4370" s="792" t="s">
        <v>779</v>
      </c>
      <c r="E4370" s="793" t="s">
        <v>947</v>
      </c>
      <c r="F4370" s="793" t="s">
        <v>1003</v>
      </c>
      <c r="G4370" s="793" t="s">
        <v>794</v>
      </c>
      <c r="H4370" s="793" t="s">
        <v>828</v>
      </c>
      <c r="I4370" s="794">
        <v>8.7301405002770927E-4</v>
      </c>
      <c r="J4370" s="794">
        <v>28.088586775544943</v>
      </c>
      <c r="K4370" s="771"/>
    </row>
    <row r="4371" spans="1:11" ht="18.75" customHeight="1" outlineLevel="2">
      <c r="A4371" s="791" t="s">
        <v>776</v>
      </c>
      <c r="B4371" s="791" t="s">
        <v>1042</v>
      </c>
      <c r="C4371" s="791" t="s">
        <v>778</v>
      </c>
      <c r="D4371" s="792" t="s">
        <v>779</v>
      </c>
      <c r="E4371" s="793" t="s">
        <v>947</v>
      </c>
      <c r="F4371" s="793" t="s">
        <v>1004</v>
      </c>
      <c r="G4371" s="793" t="s">
        <v>833</v>
      </c>
      <c r="H4371" s="793" t="s">
        <v>834</v>
      </c>
      <c r="I4371" s="794">
        <v>1.7144968471059596E-3</v>
      </c>
      <c r="J4371" s="794">
        <v>112.36447712585345</v>
      </c>
      <c r="K4371" s="771"/>
    </row>
    <row r="4372" spans="1:11" ht="18.75" customHeight="1" outlineLevel="2">
      <c r="A4372" s="791" t="s">
        <v>776</v>
      </c>
      <c r="B4372" s="791" t="s">
        <v>1042</v>
      </c>
      <c r="C4372" s="791" t="s">
        <v>778</v>
      </c>
      <c r="D4372" s="792" t="s">
        <v>779</v>
      </c>
      <c r="E4372" s="793" t="s">
        <v>947</v>
      </c>
      <c r="F4372" s="793" t="s">
        <v>1019</v>
      </c>
      <c r="G4372" s="793" t="s">
        <v>785</v>
      </c>
      <c r="H4372" s="793" t="s">
        <v>727</v>
      </c>
      <c r="I4372" s="794">
        <v>1.6779805988750959E-3</v>
      </c>
      <c r="J4372" s="794">
        <v>53.304081073667788</v>
      </c>
      <c r="K4372" s="771"/>
    </row>
    <row r="4373" spans="1:11" ht="18.75" customHeight="1" outlineLevel="2">
      <c r="A4373" s="791" t="s">
        <v>776</v>
      </c>
      <c r="B4373" s="791" t="s">
        <v>1042</v>
      </c>
      <c r="C4373" s="791" t="s">
        <v>778</v>
      </c>
      <c r="D4373" s="792" t="s">
        <v>779</v>
      </c>
      <c r="E4373" s="793" t="s">
        <v>947</v>
      </c>
      <c r="F4373" s="793" t="s">
        <v>1007</v>
      </c>
      <c r="G4373" s="793" t="s">
        <v>244</v>
      </c>
      <c r="H4373" s="793" t="s">
        <v>911</v>
      </c>
      <c r="I4373" s="794">
        <v>6.6487190776172642E-3</v>
      </c>
      <c r="J4373" s="794">
        <v>148.22765026752515</v>
      </c>
      <c r="K4373" s="771"/>
    </row>
    <row r="4374" spans="1:11" ht="18.75" customHeight="1" outlineLevel="2">
      <c r="A4374" s="791" t="s">
        <v>776</v>
      </c>
      <c r="B4374" s="791" t="s">
        <v>1042</v>
      </c>
      <c r="C4374" s="791" t="s">
        <v>778</v>
      </c>
      <c r="D4374" s="792" t="s">
        <v>1010</v>
      </c>
      <c r="E4374" s="793" t="s">
        <v>662</v>
      </c>
      <c r="F4374" s="793" t="s">
        <v>1011</v>
      </c>
      <c r="G4374" s="793" t="s">
        <v>1012</v>
      </c>
      <c r="H4374" s="793" t="s">
        <v>1013</v>
      </c>
      <c r="I4374" s="794">
        <v>5.3340394465162537E-4</v>
      </c>
      <c r="J4374" s="794">
        <v>1.7945618337421327</v>
      </c>
      <c r="K4374" s="771"/>
    </row>
    <row r="4375" spans="1:11" ht="18.75" customHeight="1" outlineLevel="2">
      <c r="A4375" s="791" t="s">
        <v>776</v>
      </c>
      <c r="B4375" s="791" t="s">
        <v>1042</v>
      </c>
      <c r="C4375" s="791" t="s">
        <v>778</v>
      </c>
      <c r="D4375" s="792" t="s">
        <v>1010</v>
      </c>
      <c r="E4375" s="793" t="s">
        <v>763</v>
      </c>
      <c r="F4375" s="793" t="s">
        <v>1014</v>
      </c>
      <c r="G4375" s="793" t="s">
        <v>1012</v>
      </c>
      <c r="H4375" s="793" t="s">
        <v>913</v>
      </c>
      <c r="I4375" s="794">
        <v>5.974222133531192E-5</v>
      </c>
      <c r="J4375" s="794">
        <v>1.0013058330208504</v>
      </c>
      <c r="K4375" s="771"/>
    </row>
    <row r="4376" spans="1:11" ht="18.75" customHeight="1" outlineLevel="2">
      <c r="A4376" s="791" t="s">
        <v>776</v>
      </c>
      <c r="B4376" s="791" t="s">
        <v>1042</v>
      </c>
      <c r="C4376" s="791" t="s">
        <v>778</v>
      </c>
      <c r="D4376" s="792" t="s">
        <v>1010</v>
      </c>
      <c r="E4376" s="793" t="s">
        <v>947</v>
      </c>
      <c r="F4376" s="793" t="s">
        <v>1015</v>
      </c>
      <c r="G4376" s="793" t="s">
        <v>1012</v>
      </c>
      <c r="H4376" s="793" t="s">
        <v>1013</v>
      </c>
      <c r="I4376" s="794">
        <v>1.0399644786004787E-3</v>
      </c>
      <c r="J4376" s="794">
        <v>55.384308353396094</v>
      </c>
      <c r="K4376" s="771"/>
    </row>
    <row r="4377" spans="1:11" ht="18.75" customHeight="1" outlineLevel="2">
      <c r="A4377" s="791" t="s">
        <v>776</v>
      </c>
      <c r="B4377" s="791" t="s">
        <v>1043</v>
      </c>
      <c r="C4377" s="791" t="s">
        <v>778</v>
      </c>
      <c r="D4377" s="792" t="s">
        <v>779</v>
      </c>
      <c r="E4377" s="793" t="s">
        <v>780</v>
      </c>
      <c r="F4377" s="793" t="s">
        <v>781</v>
      </c>
      <c r="G4377" s="793" t="s">
        <v>782</v>
      </c>
      <c r="H4377" s="793" t="s">
        <v>783</v>
      </c>
      <c r="I4377" s="794">
        <v>4.2892716730208048E-3</v>
      </c>
      <c r="J4377" s="794">
        <v>6.3096163179438017E-2</v>
      </c>
      <c r="K4377" s="771"/>
    </row>
    <row r="4378" spans="1:11" ht="18.75" customHeight="1" outlineLevel="2">
      <c r="A4378" s="791" t="s">
        <v>776</v>
      </c>
      <c r="B4378" s="791" t="s">
        <v>1043</v>
      </c>
      <c r="C4378" s="791" t="s">
        <v>778</v>
      </c>
      <c r="D4378" s="792" t="s">
        <v>779</v>
      </c>
      <c r="E4378" s="793" t="s">
        <v>780</v>
      </c>
      <c r="F4378" s="793" t="s">
        <v>784</v>
      </c>
      <c r="G4378" s="793" t="s">
        <v>785</v>
      </c>
      <c r="H4378" s="793" t="s">
        <v>783</v>
      </c>
      <c r="I4378" s="794">
        <v>1.7642403680616012</v>
      </c>
      <c r="J4378" s="794">
        <v>286.50198756113508</v>
      </c>
      <c r="K4378" s="771"/>
    </row>
    <row r="4379" spans="1:11" ht="18.75" customHeight="1" outlineLevel="2">
      <c r="A4379" s="791" t="s">
        <v>776</v>
      </c>
      <c r="B4379" s="791" t="s">
        <v>1043</v>
      </c>
      <c r="C4379" s="791" t="s">
        <v>778</v>
      </c>
      <c r="D4379" s="792" t="s">
        <v>779</v>
      </c>
      <c r="E4379" s="793" t="s">
        <v>780</v>
      </c>
      <c r="F4379" s="793" t="s">
        <v>786</v>
      </c>
      <c r="G4379" s="793" t="s">
        <v>785</v>
      </c>
      <c r="H4379" s="793" t="s">
        <v>783</v>
      </c>
      <c r="I4379" s="794">
        <v>1.4327384478964693E-3</v>
      </c>
      <c r="J4379" s="794">
        <v>0.24271814897084326</v>
      </c>
      <c r="K4379" s="771"/>
    </row>
    <row r="4380" spans="1:11" ht="18.75" customHeight="1" outlineLevel="2">
      <c r="A4380" s="791" t="s">
        <v>776</v>
      </c>
      <c r="B4380" s="791" t="s">
        <v>1043</v>
      </c>
      <c r="C4380" s="791" t="s">
        <v>778</v>
      </c>
      <c r="D4380" s="792" t="s">
        <v>779</v>
      </c>
      <c r="E4380" s="793" t="s">
        <v>780</v>
      </c>
      <c r="F4380" s="793" t="s">
        <v>787</v>
      </c>
      <c r="G4380" s="793" t="s">
        <v>785</v>
      </c>
      <c r="H4380" s="793" t="s">
        <v>783</v>
      </c>
      <c r="I4380" s="794">
        <v>7.1998915567264468E-4</v>
      </c>
      <c r="J4380" s="794">
        <v>0.13226484746524594</v>
      </c>
      <c r="K4380" s="771"/>
    </row>
    <row r="4381" spans="1:11" ht="18.75" customHeight="1" outlineLevel="2">
      <c r="A4381" s="791" t="s">
        <v>776</v>
      </c>
      <c r="B4381" s="791" t="s">
        <v>1043</v>
      </c>
      <c r="C4381" s="791" t="s">
        <v>778</v>
      </c>
      <c r="D4381" s="792" t="s">
        <v>779</v>
      </c>
      <c r="E4381" s="793" t="s">
        <v>780</v>
      </c>
      <c r="F4381" s="793" t="s">
        <v>788</v>
      </c>
      <c r="G4381" s="793" t="s">
        <v>785</v>
      </c>
      <c r="H4381" s="793" t="s">
        <v>783</v>
      </c>
      <c r="I4381" s="794">
        <v>3.648474533925518E-3</v>
      </c>
      <c r="J4381" s="794">
        <v>0.58116943570560098</v>
      </c>
      <c r="K4381" s="771"/>
    </row>
    <row r="4382" spans="1:11" ht="18.75" customHeight="1" outlineLevel="2">
      <c r="A4382" s="791" t="s">
        <v>776</v>
      </c>
      <c r="B4382" s="791" t="s">
        <v>1043</v>
      </c>
      <c r="C4382" s="791" t="s">
        <v>778</v>
      </c>
      <c r="D4382" s="792" t="s">
        <v>779</v>
      </c>
      <c r="E4382" s="793" t="s">
        <v>780</v>
      </c>
      <c r="F4382" s="793" t="s">
        <v>789</v>
      </c>
      <c r="G4382" s="793" t="s">
        <v>785</v>
      </c>
      <c r="H4382" s="793" t="s">
        <v>783</v>
      </c>
      <c r="I4382" s="794">
        <v>6.5902326394559818E-3</v>
      </c>
      <c r="J4382" s="794">
        <v>1.6211413877830501</v>
      </c>
      <c r="K4382" s="771"/>
    </row>
    <row r="4383" spans="1:11" ht="18.75" customHeight="1" outlineLevel="2">
      <c r="A4383" s="791" t="s">
        <v>776</v>
      </c>
      <c r="B4383" s="791" t="s">
        <v>1043</v>
      </c>
      <c r="C4383" s="791" t="s">
        <v>778</v>
      </c>
      <c r="D4383" s="792" t="s">
        <v>779</v>
      </c>
      <c r="E4383" s="793" t="s">
        <v>780</v>
      </c>
      <c r="F4383" s="793" t="s">
        <v>790</v>
      </c>
      <c r="G4383" s="793" t="s">
        <v>791</v>
      </c>
      <c r="H4383" s="793" t="s">
        <v>783</v>
      </c>
      <c r="I4383" s="794">
        <v>5.3267658151863765E-3</v>
      </c>
      <c r="J4383" s="794">
        <v>7.0754952323998324E-2</v>
      </c>
      <c r="K4383" s="771"/>
    </row>
    <row r="4384" spans="1:11" ht="18.75" customHeight="1" outlineLevel="2">
      <c r="A4384" s="791" t="s">
        <v>776</v>
      </c>
      <c r="B4384" s="791" t="s">
        <v>1043</v>
      </c>
      <c r="C4384" s="791" t="s">
        <v>778</v>
      </c>
      <c r="D4384" s="792" t="s">
        <v>779</v>
      </c>
      <c r="E4384" s="793" t="s">
        <v>780</v>
      </c>
      <c r="F4384" s="793" t="s">
        <v>792</v>
      </c>
      <c r="G4384" s="793" t="s">
        <v>791</v>
      </c>
      <c r="H4384" s="793" t="s">
        <v>783</v>
      </c>
      <c r="I4384" s="794">
        <v>3.9539729750227078E-2</v>
      </c>
      <c r="J4384" s="794">
        <v>7.6789959135539112</v>
      </c>
      <c r="K4384" s="771"/>
    </row>
    <row r="4385" spans="1:11" ht="18.75" customHeight="1" outlineLevel="2">
      <c r="A4385" s="791" t="s">
        <v>776</v>
      </c>
      <c r="B4385" s="791" t="s">
        <v>1043</v>
      </c>
      <c r="C4385" s="791" t="s">
        <v>778</v>
      </c>
      <c r="D4385" s="792" t="s">
        <v>779</v>
      </c>
      <c r="E4385" s="793" t="s">
        <v>780</v>
      </c>
      <c r="F4385" s="793" t="s">
        <v>793</v>
      </c>
      <c r="G4385" s="793" t="s">
        <v>794</v>
      </c>
      <c r="H4385" s="793" t="s">
        <v>783</v>
      </c>
      <c r="I4385" s="794">
        <v>1.3124285942821889</v>
      </c>
      <c r="J4385" s="794">
        <v>34.061012825242024</v>
      </c>
      <c r="K4385" s="771"/>
    </row>
    <row r="4386" spans="1:11" ht="18.75" customHeight="1" outlineLevel="2">
      <c r="A4386" s="791" t="s">
        <v>776</v>
      </c>
      <c r="B4386" s="791" t="s">
        <v>1043</v>
      </c>
      <c r="C4386" s="791" t="s">
        <v>778</v>
      </c>
      <c r="D4386" s="792" t="s">
        <v>779</v>
      </c>
      <c r="E4386" s="793" t="s">
        <v>780</v>
      </c>
      <c r="F4386" s="793" t="s">
        <v>795</v>
      </c>
      <c r="G4386" s="793" t="s">
        <v>794</v>
      </c>
      <c r="H4386" s="793" t="s">
        <v>783</v>
      </c>
      <c r="I4386" s="794">
        <v>3.9687659505466329E-2</v>
      </c>
      <c r="J4386" s="794">
        <v>1.62613086766663</v>
      </c>
      <c r="K4386" s="771"/>
    </row>
    <row r="4387" spans="1:11" ht="18.75" customHeight="1" outlineLevel="2">
      <c r="A4387" s="791" t="s">
        <v>776</v>
      </c>
      <c r="B4387" s="791" t="s">
        <v>1043</v>
      </c>
      <c r="C4387" s="791" t="s">
        <v>778</v>
      </c>
      <c r="D4387" s="792" t="s">
        <v>779</v>
      </c>
      <c r="E4387" s="793" t="s">
        <v>780</v>
      </c>
      <c r="F4387" s="793" t="s">
        <v>796</v>
      </c>
      <c r="G4387" s="793" t="s">
        <v>794</v>
      </c>
      <c r="H4387" s="793" t="s">
        <v>783</v>
      </c>
      <c r="I4387" s="794">
        <v>2.0628669091416578E-2</v>
      </c>
      <c r="J4387" s="794">
        <v>2.3772186127132886</v>
      </c>
      <c r="K4387" s="771"/>
    </row>
    <row r="4388" spans="1:11" ht="18.75" customHeight="1" outlineLevel="2">
      <c r="A4388" s="791" t="s">
        <v>776</v>
      </c>
      <c r="B4388" s="791" t="s">
        <v>1043</v>
      </c>
      <c r="C4388" s="791" t="s">
        <v>778</v>
      </c>
      <c r="D4388" s="792" t="s">
        <v>779</v>
      </c>
      <c r="E4388" s="793" t="s">
        <v>780</v>
      </c>
      <c r="F4388" s="793" t="s">
        <v>797</v>
      </c>
      <c r="G4388" s="793" t="s">
        <v>794</v>
      </c>
      <c r="H4388" s="793" t="s">
        <v>783</v>
      </c>
      <c r="I4388" s="794">
        <v>0.40340445647560125</v>
      </c>
      <c r="J4388" s="794">
        <v>84.418602281584882</v>
      </c>
      <c r="K4388" s="771"/>
    </row>
    <row r="4389" spans="1:11" ht="18.75" customHeight="1" outlineLevel="2">
      <c r="A4389" s="791" t="s">
        <v>776</v>
      </c>
      <c r="B4389" s="791" t="s">
        <v>1043</v>
      </c>
      <c r="C4389" s="791" t="s">
        <v>778</v>
      </c>
      <c r="D4389" s="792" t="s">
        <v>779</v>
      </c>
      <c r="E4389" s="793" t="s">
        <v>662</v>
      </c>
      <c r="F4389" s="793" t="s">
        <v>798</v>
      </c>
      <c r="G4389" s="793" t="s">
        <v>799</v>
      </c>
      <c r="H4389" s="793" t="s">
        <v>800</v>
      </c>
      <c r="I4389" s="794">
        <v>0.62709222247279706</v>
      </c>
      <c r="J4389" s="794">
        <v>180.18387379956295</v>
      </c>
      <c r="K4389" s="771"/>
    </row>
    <row r="4390" spans="1:11" ht="18.75" customHeight="1" outlineLevel="2">
      <c r="A4390" s="791" t="s">
        <v>776</v>
      </c>
      <c r="B4390" s="791" t="s">
        <v>1043</v>
      </c>
      <c r="C4390" s="791" t="s">
        <v>778</v>
      </c>
      <c r="D4390" s="792" t="s">
        <v>779</v>
      </c>
      <c r="E4390" s="793" t="s">
        <v>662</v>
      </c>
      <c r="F4390" s="793" t="s">
        <v>801</v>
      </c>
      <c r="G4390" s="793" t="s">
        <v>799</v>
      </c>
      <c r="H4390" s="793" t="s">
        <v>800</v>
      </c>
      <c r="I4390" s="794">
        <v>0.19155200138827844</v>
      </c>
      <c r="J4390" s="794">
        <v>77.381798849913579</v>
      </c>
      <c r="K4390" s="771"/>
    </row>
    <row r="4391" spans="1:11" ht="18.75" customHeight="1" outlineLevel="2">
      <c r="A4391" s="791" t="s">
        <v>776</v>
      </c>
      <c r="B4391" s="791" t="s">
        <v>1043</v>
      </c>
      <c r="C4391" s="791" t="s">
        <v>778</v>
      </c>
      <c r="D4391" s="792" t="s">
        <v>779</v>
      </c>
      <c r="E4391" s="793" t="s">
        <v>662</v>
      </c>
      <c r="F4391" s="793" t="s">
        <v>802</v>
      </c>
      <c r="G4391" s="793" t="s">
        <v>799</v>
      </c>
      <c r="H4391" s="793" t="s">
        <v>800</v>
      </c>
      <c r="I4391" s="794">
        <v>8.7185679491838947E-2</v>
      </c>
      <c r="J4391" s="794">
        <v>112.12724707176625</v>
      </c>
      <c r="K4391" s="771"/>
    </row>
    <row r="4392" spans="1:11" ht="18.75" customHeight="1" outlineLevel="2">
      <c r="A4392" s="791" t="s">
        <v>776</v>
      </c>
      <c r="B4392" s="791" t="s">
        <v>1043</v>
      </c>
      <c r="C4392" s="791" t="s">
        <v>778</v>
      </c>
      <c r="D4392" s="792" t="s">
        <v>779</v>
      </c>
      <c r="E4392" s="793" t="s">
        <v>662</v>
      </c>
      <c r="F4392" s="793" t="s">
        <v>803</v>
      </c>
      <c r="G4392" s="793" t="s">
        <v>782</v>
      </c>
      <c r="H4392" s="793" t="s">
        <v>804</v>
      </c>
      <c r="I4392" s="794">
        <v>1.3258373061722348E-2</v>
      </c>
      <c r="J4392" s="794">
        <v>8.2265541969123852</v>
      </c>
      <c r="K4392" s="771"/>
    </row>
    <row r="4393" spans="1:11" ht="18.75" customHeight="1" outlineLevel="2">
      <c r="A4393" s="791" t="s">
        <v>776</v>
      </c>
      <c r="B4393" s="791" t="s">
        <v>1043</v>
      </c>
      <c r="C4393" s="791" t="s">
        <v>778</v>
      </c>
      <c r="D4393" s="792" t="s">
        <v>779</v>
      </c>
      <c r="E4393" s="793" t="s">
        <v>662</v>
      </c>
      <c r="F4393" s="793" t="s">
        <v>805</v>
      </c>
      <c r="G4393" s="793" t="s">
        <v>782</v>
      </c>
      <c r="H4393" s="793" t="s">
        <v>804</v>
      </c>
      <c r="I4393" s="794">
        <v>1.1003052280488246E-3</v>
      </c>
      <c r="J4393" s="794">
        <v>0.53288466381209276</v>
      </c>
      <c r="K4393" s="771"/>
    </row>
    <row r="4394" spans="1:11" ht="18.75" customHeight="1" outlineLevel="2">
      <c r="A4394" s="791" t="s">
        <v>776</v>
      </c>
      <c r="B4394" s="791" t="s">
        <v>1043</v>
      </c>
      <c r="C4394" s="791" t="s">
        <v>778</v>
      </c>
      <c r="D4394" s="792" t="s">
        <v>779</v>
      </c>
      <c r="E4394" s="793" t="s">
        <v>662</v>
      </c>
      <c r="F4394" s="793" t="s">
        <v>806</v>
      </c>
      <c r="G4394" s="793" t="s">
        <v>782</v>
      </c>
      <c r="H4394" s="793" t="s">
        <v>804</v>
      </c>
      <c r="I4394" s="794">
        <v>1.3334244634277293E-3</v>
      </c>
      <c r="J4394" s="794">
        <v>0.63694837471391463</v>
      </c>
      <c r="K4394" s="771"/>
    </row>
    <row r="4395" spans="1:11" ht="18.75" customHeight="1" outlineLevel="2">
      <c r="A4395" s="791" t="s">
        <v>776</v>
      </c>
      <c r="B4395" s="791" t="s">
        <v>1043</v>
      </c>
      <c r="C4395" s="791" t="s">
        <v>778</v>
      </c>
      <c r="D4395" s="792" t="s">
        <v>779</v>
      </c>
      <c r="E4395" s="793" t="s">
        <v>662</v>
      </c>
      <c r="F4395" s="793" t="s">
        <v>807</v>
      </c>
      <c r="G4395" s="793" t="s">
        <v>782</v>
      </c>
      <c r="H4395" s="793" t="s">
        <v>804</v>
      </c>
      <c r="I4395" s="794">
        <v>9.861239279836775E-6</v>
      </c>
      <c r="J4395" s="794">
        <v>4.4133659425577322E-3</v>
      </c>
      <c r="K4395" s="771"/>
    </row>
    <row r="4396" spans="1:11" ht="18.75" customHeight="1" outlineLevel="2">
      <c r="A4396" s="791" t="s">
        <v>776</v>
      </c>
      <c r="B4396" s="791" t="s">
        <v>1043</v>
      </c>
      <c r="C4396" s="791" t="s">
        <v>778</v>
      </c>
      <c r="D4396" s="792" t="s">
        <v>779</v>
      </c>
      <c r="E4396" s="793" t="s">
        <v>662</v>
      </c>
      <c r="F4396" s="793" t="s">
        <v>808</v>
      </c>
      <c r="G4396" s="793" t="s">
        <v>782</v>
      </c>
      <c r="H4396" s="793" t="s">
        <v>804</v>
      </c>
      <c r="I4396" s="794">
        <v>3.8010363378093603E-2</v>
      </c>
      <c r="J4396" s="794">
        <v>21.224361992697908</v>
      </c>
      <c r="K4396" s="771"/>
    </row>
    <row r="4397" spans="1:11" ht="18.75" customHeight="1" outlineLevel="2">
      <c r="A4397" s="791" t="s">
        <v>776</v>
      </c>
      <c r="B4397" s="791" t="s">
        <v>1043</v>
      </c>
      <c r="C4397" s="791" t="s">
        <v>778</v>
      </c>
      <c r="D4397" s="792" t="s">
        <v>779</v>
      </c>
      <c r="E4397" s="793" t="s">
        <v>662</v>
      </c>
      <c r="F4397" s="793" t="s">
        <v>809</v>
      </c>
      <c r="G4397" s="793" t="s">
        <v>782</v>
      </c>
      <c r="H4397" s="793" t="s">
        <v>804</v>
      </c>
      <c r="I4397" s="794">
        <v>2.7791937049079511E-4</v>
      </c>
      <c r="J4397" s="794">
        <v>0.12438188646628609</v>
      </c>
      <c r="K4397" s="771"/>
    </row>
    <row r="4398" spans="1:11" ht="18.75" customHeight="1" outlineLevel="2">
      <c r="A4398" s="791" t="s">
        <v>776</v>
      </c>
      <c r="B4398" s="791" t="s">
        <v>1043</v>
      </c>
      <c r="C4398" s="791" t="s">
        <v>778</v>
      </c>
      <c r="D4398" s="792" t="s">
        <v>779</v>
      </c>
      <c r="E4398" s="793" t="s">
        <v>662</v>
      </c>
      <c r="F4398" s="793" t="s">
        <v>810</v>
      </c>
      <c r="G4398" s="793" t="s">
        <v>785</v>
      </c>
      <c r="H4398" s="793" t="s">
        <v>727</v>
      </c>
      <c r="I4398" s="794">
        <v>1.7473055156560953E-3</v>
      </c>
      <c r="J4398" s="794">
        <v>0.78199898423805259</v>
      </c>
      <c r="K4398" s="771"/>
    </row>
    <row r="4399" spans="1:11" ht="18.75" customHeight="1" outlineLevel="2">
      <c r="A4399" s="791" t="s">
        <v>776</v>
      </c>
      <c r="B4399" s="791" t="s">
        <v>1043</v>
      </c>
      <c r="C4399" s="791" t="s">
        <v>778</v>
      </c>
      <c r="D4399" s="792" t="s">
        <v>779</v>
      </c>
      <c r="E4399" s="793" t="s">
        <v>662</v>
      </c>
      <c r="F4399" s="793" t="s">
        <v>811</v>
      </c>
      <c r="G4399" s="793" t="s">
        <v>785</v>
      </c>
      <c r="H4399" s="793" t="s">
        <v>727</v>
      </c>
      <c r="I4399" s="794">
        <v>1.3370616570042477E-4</v>
      </c>
      <c r="J4399" s="794">
        <v>5.9839693238087063E-2</v>
      </c>
      <c r="K4399" s="771"/>
    </row>
    <row r="4400" spans="1:11" ht="18.75" customHeight="1" outlineLevel="2">
      <c r="A4400" s="791" t="s">
        <v>776</v>
      </c>
      <c r="B4400" s="791" t="s">
        <v>1043</v>
      </c>
      <c r="C4400" s="791" t="s">
        <v>778</v>
      </c>
      <c r="D4400" s="792" t="s">
        <v>779</v>
      </c>
      <c r="E4400" s="793" t="s">
        <v>662</v>
      </c>
      <c r="F4400" s="793" t="s">
        <v>812</v>
      </c>
      <c r="G4400" s="793" t="s">
        <v>813</v>
      </c>
      <c r="H4400" s="793" t="s">
        <v>814</v>
      </c>
      <c r="I4400" s="794">
        <v>5.6506034846216533E-3</v>
      </c>
      <c r="J4400" s="794">
        <v>3.0946459370516988</v>
      </c>
      <c r="K4400" s="771"/>
    </row>
    <row r="4401" spans="1:11" ht="18.75" customHeight="1" outlineLevel="2">
      <c r="A4401" s="791" t="s">
        <v>776</v>
      </c>
      <c r="B4401" s="791" t="s">
        <v>1043</v>
      </c>
      <c r="C4401" s="791" t="s">
        <v>778</v>
      </c>
      <c r="D4401" s="792" t="s">
        <v>779</v>
      </c>
      <c r="E4401" s="793" t="s">
        <v>662</v>
      </c>
      <c r="F4401" s="793" t="s">
        <v>815</v>
      </c>
      <c r="G4401" s="793" t="s">
        <v>813</v>
      </c>
      <c r="H4401" s="793" t="s">
        <v>814</v>
      </c>
      <c r="I4401" s="794">
        <v>2.6054766814890464E-2</v>
      </c>
      <c r="J4401" s="794">
        <v>14.003015857248082</v>
      </c>
      <c r="K4401" s="771"/>
    </row>
    <row r="4402" spans="1:11" ht="18.75" customHeight="1" outlineLevel="2">
      <c r="A4402" s="791" t="s">
        <v>776</v>
      </c>
      <c r="B4402" s="791" t="s">
        <v>1043</v>
      </c>
      <c r="C4402" s="791" t="s">
        <v>778</v>
      </c>
      <c r="D4402" s="792" t="s">
        <v>779</v>
      </c>
      <c r="E4402" s="793" t="s">
        <v>662</v>
      </c>
      <c r="F4402" s="793" t="s">
        <v>816</v>
      </c>
      <c r="G4402" s="793" t="s">
        <v>813</v>
      </c>
      <c r="H4402" s="793" t="s">
        <v>814</v>
      </c>
      <c r="I4402" s="794">
        <v>7.9529541965749559E-2</v>
      </c>
      <c r="J4402" s="794">
        <v>41.319332104225744</v>
      </c>
      <c r="K4402" s="771"/>
    </row>
    <row r="4403" spans="1:11" ht="18.75" customHeight="1" outlineLevel="2">
      <c r="A4403" s="791" t="s">
        <v>776</v>
      </c>
      <c r="B4403" s="791" t="s">
        <v>1043</v>
      </c>
      <c r="C4403" s="791" t="s">
        <v>778</v>
      </c>
      <c r="D4403" s="792" t="s">
        <v>779</v>
      </c>
      <c r="E4403" s="793" t="s">
        <v>662</v>
      </c>
      <c r="F4403" s="793" t="s">
        <v>817</v>
      </c>
      <c r="G4403" s="793" t="s">
        <v>813</v>
      </c>
      <c r="H4403" s="793" t="s">
        <v>814</v>
      </c>
      <c r="I4403" s="794">
        <v>0.24636261596616429</v>
      </c>
      <c r="J4403" s="794">
        <v>134.85983627700455</v>
      </c>
      <c r="K4403" s="771"/>
    </row>
    <row r="4404" spans="1:11" ht="18.75" customHeight="1" outlineLevel="2">
      <c r="A4404" s="791" t="s">
        <v>776</v>
      </c>
      <c r="B4404" s="791" t="s">
        <v>1043</v>
      </c>
      <c r="C4404" s="791" t="s">
        <v>778</v>
      </c>
      <c r="D4404" s="792" t="s">
        <v>779</v>
      </c>
      <c r="E4404" s="793" t="s">
        <v>662</v>
      </c>
      <c r="F4404" s="793" t="s">
        <v>818</v>
      </c>
      <c r="G4404" s="793" t="s">
        <v>813</v>
      </c>
      <c r="H4404" s="793" t="s">
        <v>814</v>
      </c>
      <c r="I4404" s="794">
        <v>9.7697573662732365E-2</v>
      </c>
      <c r="J4404" s="794">
        <v>57.383626495946956</v>
      </c>
      <c r="K4404" s="771"/>
    </row>
    <row r="4405" spans="1:11" ht="18.75" customHeight="1" outlineLevel="2">
      <c r="A4405" s="791" t="s">
        <v>776</v>
      </c>
      <c r="B4405" s="791" t="s">
        <v>1043</v>
      </c>
      <c r="C4405" s="791" t="s">
        <v>778</v>
      </c>
      <c r="D4405" s="792" t="s">
        <v>779</v>
      </c>
      <c r="E4405" s="793" t="s">
        <v>662</v>
      </c>
      <c r="F4405" s="793" t="s">
        <v>819</v>
      </c>
      <c r="G4405" s="793" t="s">
        <v>813</v>
      </c>
      <c r="H4405" s="793" t="s">
        <v>814</v>
      </c>
      <c r="I4405" s="794">
        <v>0.23311742640761501</v>
      </c>
      <c r="J4405" s="794">
        <v>117.84943381980283</v>
      </c>
      <c r="K4405" s="771"/>
    </row>
    <row r="4406" spans="1:11" ht="18.75" customHeight="1" outlineLevel="2">
      <c r="A4406" s="791" t="s">
        <v>776</v>
      </c>
      <c r="B4406" s="791" t="s">
        <v>1043</v>
      </c>
      <c r="C4406" s="791" t="s">
        <v>778</v>
      </c>
      <c r="D4406" s="792" t="s">
        <v>779</v>
      </c>
      <c r="E4406" s="793" t="s">
        <v>662</v>
      </c>
      <c r="F4406" s="793" t="s">
        <v>820</v>
      </c>
      <c r="G4406" s="793" t="s">
        <v>813</v>
      </c>
      <c r="H4406" s="793" t="s">
        <v>814</v>
      </c>
      <c r="I4406" s="794">
        <v>6.8861697916976966E-2</v>
      </c>
      <c r="J4406" s="794">
        <v>36.931954787914869</v>
      </c>
      <c r="K4406" s="771"/>
    </row>
    <row r="4407" spans="1:11" ht="18.75" customHeight="1" outlineLevel="2">
      <c r="A4407" s="791" t="s">
        <v>776</v>
      </c>
      <c r="B4407" s="791" t="s">
        <v>1043</v>
      </c>
      <c r="C4407" s="791" t="s">
        <v>778</v>
      </c>
      <c r="D4407" s="792" t="s">
        <v>779</v>
      </c>
      <c r="E4407" s="793" t="s">
        <v>662</v>
      </c>
      <c r="F4407" s="793" t="s">
        <v>821</v>
      </c>
      <c r="G4407" s="793" t="s">
        <v>813</v>
      </c>
      <c r="H4407" s="793" t="s">
        <v>814</v>
      </c>
      <c r="I4407" s="794">
        <v>0.20574775051916472</v>
      </c>
      <c r="J4407" s="794">
        <v>110.04320537254875</v>
      </c>
      <c r="K4407" s="771"/>
    </row>
    <row r="4408" spans="1:11" ht="18.75" customHeight="1" outlineLevel="2">
      <c r="A4408" s="791" t="s">
        <v>776</v>
      </c>
      <c r="B4408" s="791" t="s">
        <v>1043</v>
      </c>
      <c r="C4408" s="791" t="s">
        <v>778</v>
      </c>
      <c r="D4408" s="792" t="s">
        <v>779</v>
      </c>
      <c r="E4408" s="793" t="s">
        <v>662</v>
      </c>
      <c r="F4408" s="793" t="s">
        <v>824</v>
      </c>
      <c r="G4408" s="793" t="s">
        <v>813</v>
      </c>
      <c r="H4408" s="793" t="s">
        <v>814</v>
      </c>
      <c r="I4408" s="794">
        <v>1.1767968239911707E-4</v>
      </c>
      <c r="J4408" s="794">
        <v>5.8719895930296924E-2</v>
      </c>
      <c r="K4408" s="771"/>
    </row>
    <row r="4409" spans="1:11" ht="18.75" customHeight="1" outlineLevel="2">
      <c r="A4409" s="791" t="s">
        <v>776</v>
      </c>
      <c r="B4409" s="791" t="s">
        <v>1043</v>
      </c>
      <c r="C4409" s="791" t="s">
        <v>778</v>
      </c>
      <c r="D4409" s="792" t="s">
        <v>779</v>
      </c>
      <c r="E4409" s="793" t="s">
        <v>662</v>
      </c>
      <c r="F4409" s="793" t="s">
        <v>825</v>
      </c>
      <c r="G4409" s="793" t="s">
        <v>791</v>
      </c>
      <c r="H4409" s="793" t="s">
        <v>826</v>
      </c>
      <c r="I4409" s="794">
        <v>6.6151333930892641E-4</v>
      </c>
      <c r="J4409" s="794">
        <v>0.40228108717872307</v>
      </c>
      <c r="K4409" s="771"/>
    </row>
    <row r="4410" spans="1:11" ht="18.75" customHeight="1" outlineLevel="2">
      <c r="A4410" s="791" t="s">
        <v>776</v>
      </c>
      <c r="B4410" s="791" t="s">
        <v>1043</v>
      </c>
      <c r="C4410" s="791" t="s">
        <v>778</v>
      </c>
      <c r="D4410" s="792" t="s">
        <v>779</v>
      </c>
      <c r="E4410" s="793" t="s">
        <v>662</v>
      </c>
      <c r="F4410" s="793" t="s">
        <v>827</v>
      </c>
      <c r="G4410" s="793" t="s">
        <v>794</v>
      </c>
      <c r="H4410" s="793" t="s">
        <v>828</v>
      </c>
      <c r="I4410" s="794">
        <v>1.1566087900711616E-2</v>
      </c>
      <c r="J4410" s="794">
        <v>5.7264857231632611</v>
      </c>
      <c r="K4410" s="771"/>
    </row>
    <row r="4411" spans="1:11" ht="18.75" customHeight="1" outlineLevel="2">
      <c r="A4411" s="791" t="s">
        <v>776</v>
      </c>
      <c r="B4411" s="791" t="s">
        <v>1043</v>
      </c>
      <c r="C4411" s="791" t="s">
        <v>778</v>
      </c>
      <c r="D4411" s="792" t="s">
        <v>779</v>
      </c>
      <c r="E4411" s="793" t="s">
        <v>662</v>
      </c>
      <c r="F4411" s="793" t="s">
        <v>829</v>
      </c>
      <c r="G4411" s="793" t="s">
        <v>794</v>
      </c>
      <c r="H4411" s="793" t="s">
        <v>828</v>
      </c>
      <c r="I4411" s="794">
        <v>7.3810110677050234E-2</v>
      </c>
      <c r="J4411" s="794">
        <v>38.202077824741096</v>
      </c>
      <c r="K4411" s="771"/>
    </row>
    <row r="4412" spans="1:11" ht="18.75" customHeight="1" outlineLevel="2">
      <c r="A4412" s="791" t="s">
        <v>776</v>
      </c>
      <c r="B4412" s="791" t="s">
        <v>1043</v>
      </c>
      <c r="C4412" s="791" t="s">
        <v>778</v>
      </c>
      <c r="D4412" s="792" t="s">
        <v>779</v>
      </c>
      <c r="E4412" s="793" t="s">
        <v>662</v>
      </c>
      <c r="F4412" s="793" t="s">
        <v>830</v>
      </c>
      <c r="G4412" s="793" t="s">
        <v>794</v>
      </c>
      <c r="H4412" s="793" t="s">
        <v>828</v>
      </c>
      <c r="I4412" s="794">
        <v>2.9605114867924236E-5</v>
      </c>
      <c r="J4412" s="794">
        <v>1.3249657572603194E-2</v>
      </c>
      <c r="K4412" s="771"/>
    </row>
    <row r="4413" spans="1:11" ht="18.75" customHeight="1" outlineLevel="2">
      <c r="A4413" s="791" t="s">
        <v>776</v>
      </c>
      <c r="B4413" s="791" t="s">
        <v>1043</v>
      </c>
      <c r="C4413" s="791" t="s">
        <v>778</v>
      </c>
      <c r="D4413" s="792" t="s">
        <v>779</v>
      </c>
      <c r="E4413" s="793" t="s">
        <v>662</v>
      </c>
      <c r="F4413" s="793" t="s">
        <v>831</v>
      </c>
      <c r="G4413" s="793" t="s">
        <v>794</v>
      </c>
      <c r="H4413" s="793" t="s">
        <v>828</v>
      </c>
      <c r="I4413" s="794">
        <v>5.1640732813913151E-4</v>
      </c>
      <c r="J4413" s="794">
        <v>0.23111630682478271</v>
      </c>
      <c r="K4413" s="771"/>
    </row>
    <row r="4414" spans="1:11" ht="18.75" customHeight="1" outlineLevel="2">
      <c r="A4414" s="791" t="s">
        <v>776</v>
      </c>
      <c r="B4414" s="791" t="s">
        <v>1043</v>
      </c>
      <c r="C4414" s="791" t="s">
        <v>778</v>
      </c>
      <c r="D4414" s="792" t="s">
        <v>779</v>
      </c>
      <c r="E4414" s="793" t="s">
        <v>662</v>
      </c>
      <c r="F4414" s="793" t="s">
        <v>832</v>
      </c>
      <c r="G4414" s="793" t="s">
        <v>833</v>
      </c>
      <c r="H4414" s="793" t="s">
        <v>834</v>
      </c>
      <c r="I4414" s="794">
        <v>3.2644910742693753E-2</v>
      </c>
      <c r="J4414" s="794">
        <v>18.846836708263666</v>
      </c>
      <c r="K4414" s="771"/>
    </row>
    <row r="4415" spans="1:11" ht="18.75" customHeight="1" outlineLevel="2">
      <c r="A4415" s="791" t="s">
        <v>776</v>
      </c>
      <c r="B4415" s="791" t="s">
        <v>1043</v>
      </c>
      <c r="C4415" s="791" t="s">
        <v>778</v>
      </c>
      <c r="D4415" s="792" t="s">
        <v>779</v>
      </c>
      <c r="E4415" s="793" t="s">
        <v>662</v>
      </c>
      <c r="F4415" s="793" t="s">
        <v>835</v>
      </c>
      <c r="G4415" s="793" t="s">
        <v>799</v>
      </c>
      <c r="H4415" s="793" t="s">
        <v>800</v>
      </c>
      <c r="I4415" s="794">
        <v>0.11837199798375821</v>
      </c>
      <c r="J4415" s="794">
        <v>84.03409685442287</v>
      </c>
      <c r="K4415" s="771"/>
    </row>
    <row r="4416" spans="1:11" ht="18.75" customHeight="1" outlineLevel="2">
      <c r="A4416" s="791" t="s">
        <v>776</v>
      </c>
      <c r="B4416" s="791" t="s">
        <v>1043</v>
      </c>
      <c r="C4416" s="791" t="s">
        <v>778</v>
      </c>
      <c r="D4416" s="792" t="s">
        <v>779</v>
      </c>
      <c r="E4416" s="793" t="s">
        <v>662</v>
      </c>
      <c r="F4416" s="793" t="s">
        <v>836</v>
      </c>
      <c r="G4416" s="793" t="s">
        <v>799</v>
      </c>
      <c r="H4416" s="793" t="s">
        <v>800</v>
      </c>
      <c r="I4416" s="794">
        <v>0.87232075686243726</v>
      </c>
      <c r="J4416" s="794">
        <v>798.89408669602778</v>
      </c>
      <c r="K4416" s="771"/>
    </row>
    <row r="4417" spans="1:11" ht="18.75" customHeight="1" outlineLevel="2">
      <c r="A4417" s="791" t="s">
        <v>776</v>
      </c>
      <c r="B4417" s="791" t="s">
        <v>1043</v>
      </c>
      <c r="C4417" s="791" t="s">
        <v>778</v>
      </c>
      <c r="D4417" s="792" t="s">
        <v>779</v>
      </c>
      <c r="E4417" s="793" t="s">
        <v>662</v>
      </c>
      <c r="F4417" s="793" t="s">
        <v>837</v>
      </c>
      <c r="G4417" s="793" t="s">
        <v>799</v>
      </c>
      <c r="H4417" s="793" t="s">
        <v>800</v>
      </c>
      <c r="I4417" s="794">
        <v>0.2730981876723943</v>
      </c>
      <c r="J4417" s="794">
        <v>364.37090130568959</v>
      </c>
      <c r="K4417" s="771"/>
    </row>
    <row r="4418" spans="1:11" ht="18.75" customHeight="1" outlineLevel="2">
      <c r="A4418" s="791" t="s">
        <v>776</v>
      </c>
      <c r="B4418" s="791" t="s">
        <v>1043</v>
      </c>
      <c r="C4418" s="791" t="s">
        <v>778</v>
      </c>
      <c r="D4418" s="792" t="s">
        <v>779</v>
      </c>
      <c r="E4418" s="793" t="s">
        <v>662</v>
      </c>
      <c r="F4418" s="793" t="s">
        <v>838</v>
      </c>
      <c r="G4418" s="793" t="s">
        <v>799</v>
      </c>
      <c r="H4418" s="793" t="s">
        <v>800</v>
      </c>
      <c r="I4418" s="794">
        <v>0.11723911211816328</v>
      </c>
      <c r="J4418" s="794">
        <v>107.15204737313532</v>
      </c>
      <c r="K4418" s="771"/>
    </row>
    <row r="4419" spans="1:11" ht="18.75" customHeight="1" outlineLevel="2">
      <c r="A4419" s="791" t="s">
        <v>776</v>
      </c>
      <c r="B4419" s="791" t="s">
        <v>1043</v>
      </c>
      <c r="C4419" s="791" t="s">
        <v>778</v>
      </c>
      <c r="D4419" s="792" t="s">
        <v>779</v>
      </c>
      <c r="E4419" s="793" t="s">
        <v>662</v>
      </c>
      <c r="F4419" s="793" t="s">
        <v>839</v>
      </c>
      <c r="G4419" s="793" t="s">
        <v>782</v>
      </c>
      <c r="H4419" s="793" t="s">
        <v>804</v>
      </c>
      <c r="I4419" s="794">
        <v>4.4524187930069029E-3</v>
      </c>
      <c r="J4419" s="794">
        <v>7.2924667036026083</v>
      </c>
      <c r="K4419" s="771"/>
    </row>
    <row r="4420" spans="1:11" ht="18.75" customHeight="1" outlineLevel="2">
      <c r="A4420" s="791" t="s">
        <v>776</v>
      </c>
      <c r="B4420" s="791" t="s">
        <v>1043</v>
      </c>
      <c r="C4420" s="791" t="s">
        <v>778</v>
      </c>
      <c r="D4420" s="792" t="s">
        <v>779</v>
      </c>
      <c r="E4420" s="793" t="s">
        <v>662</v>
      </c>
      <c r="F4420" s="793" t="s">
        <v>840</v>
      </c>
      <c r="G4420" s="793" t="s">
        <v>782</v>
      </c>
      <c r="H4420" s="793" t="s">
        <v>804</v>
      </c>
      <c r="I4420" s="794">
        <v>3.5575768491160496E-5</v>
      </c>
      <c r="J4420" s="794">
        <v>5.4431926733977599E-2</v>
      </c>
      <c r="K4420" s="771"/>
    </row>
    <row r="4421" spans="1:11" ht="18.75" customHeight="1" outlineLevel="2">
      <c r="A4421" s="791" t="s">
        <v>776</v>
      </c>
      <c r="B4421" s="791" t="s">
        <v>1043</v>
      </c>
      <c r="C4421" s="791" t="s">
        <v>778</v>
      </c>
      <c r="D4421" s="792" t="s">
        <v>779</v>
      </c>
      <c r="E4421" s="793" t="s">
        <v>662</v>
      </c>
      <c r="F4421" s="793" t="s">
        <v>841</v>
      </c>
      <c r="G4421" s="793" t="s">
        <v>782</v>
      </c>
      <c r="H4421" s="793" t="s">
        <v>804</v>
      </c>
      <c r="I4421" s="794">
        <v>9.6191429523868645E-3</v>
      </c>
      <c r="J4421" s="794">
        <v>13.6997869728648</v>
      </c>
      <c r="K4421" s="771"/>
    </row>
    <row r="4422" spans="1:11" ht="18.75" customHeight="1" outlineLevel="2">
      <c r="A4422" s="791" t="s">
        <v>776</v>
      </c>
      <c r="B4422" s="791" t="s">
        <v>1043</v>
      </c>
      <c r="C4422" s="791" t="s">
        <v>778</v>
      </c>
      <c r="D4422" s="792" t="s">
        <v>779</v>
      </c>
      <c r="E4422" s="793" t="s">
        <v>662</v>
      </c>
      <c r="F4422" s="793" t="s">
        <v>842</v>
      </c>
      <c r="G4422" s="793" t="s">
        <v>782</v>
      </c>
      <c r="H4422" s="793" t="s">
        <v>804</v>
      </c>
      <c r="I4422" s="794">
        <v>7.8495895397979638E-3</v>
      </c>
      <c r="J4422" s="794">
        <v>12.898119596531753</v>
      </c>
      <c r="K4422" s="771"/>
    </row>
    <row r="4423" spans="1:11" ht="18.75" customHeight="1" outlineLevel="2">
      <c r="A4423" s="791" t="s">
        <v>776</v>
      </c>
      <c r="B4423" s="791" t="s">
        <v>1043</v>
      </c>
      <c r="C4423" s="791" t="s">
        <v>778</v>
      </c>
      <c r="D4423" s="792" t="s">
        <v>779</v>
      </c>
      <c r="E4423" s="793" t="s">
        <v>662</v>
      </c>
      <c r="F4423" s="793" t="s">
        <v>843</v>
      </c>
      <c r="G4423" s="793" t="s">
        <v>782</v>
      </c>
      <c r="H4423" s="793" t="s">
        <v>804</v>
      </c>
      <c r="I4423" s="794">
        <v>1.7554536147782584E-2</v>
      </c>
      <c r="J4423" s="794">
        <v>25.740672776909026</v>
      </c>
      <c r="K4423" s="771"/>
    </row>
    <row r="4424" spans="1:11" ht="18.75" customHeight="1" outlineLevel="2">
      <c r="A4424" s="791" t="s">
        <v>776</v>
      </c>
      <c r="B4424" s="791" t="s">
        <v>1043</v>
      </c>
      <c r="C4424" s="791" t="s">
        <v>778</v>
      </c>
      <c r="D4424" s="792" t="s">
        <v>779</v>
      </c>
      <c r="E4424" s="793" t="s">
        <v>662</v>
      </c>
      <c r="F4424" s="793" t="s">
        <v>844</v>
      </c>
      <c r="G4424" s="793" t="s">
        <v>782</v>
      </c>
      <c r="H4424" s="793" t="s">
        <v>804</v>
      </c>
      <c r="I4424" s="794">
        <v>7.6154497486583339E-3</v>
      </c>
      <c r="J4424" s="794">
        <v>10.83872765365229</v>
      </c>
      <c r="K4424" s="771"/>
    </row>
    <row r="4425" spans="1:11" ht="18.75" customHeight="1" outlineLevel="2">
      <c r="A4425" s="791" t="s">
        <v>776</v>
      </c>
      <c r="B4425" s="791" t="s">
        <v>1043</v>
      </c>
      <c r="C4425" s="791" t="s">
        <v>778</v>
      </c>
      <c r="D4425" s="792" t="s">
        <v>779</v>
      </c>
      <c r="E4425" s="793" t="s">
        <v>662</v>
      </c>
      <c r="F4425" s="793" t="s">
        <v>845</v>
      </c>
      <c r="G4425" s="793" t="s">
        <v>782</v>
      </c>
      <c r="H4425" s="793" t="s">
        <v>804</v>
      </c>
      <c r="I4425" s="794">
        <v>4.1474763479886455E-4</v>
      </c>
      <c r="J4425" s="794">
        <v>0.56489463095713621</v>
      </c>
      <c r="K4425" s="771"/>
    </row>
    <row r="4426" spans="1:11" ht="18.75" customHeight="1" outlineLevel="2">
      <c r="A4426" s="791" t="s">
        <v>776</v>
      </c>
      <c r="B4426" s="791" t="s">
        <v>1043</v>
      </c>
      <c r="C4426" s="791" t="s">
        <v>778</v>
      </c>
      <c r="D4426" s="792" t="s">
        <v>779</v>
      </c>
      <c r="E4426" s="793" t="s">
        <v>662</v>
      </c>
      <c r="F4426" s="793" t="s">
        <v>846</v>
      </c>
      <c r="G4426" s="793" t="s">
        <v>782</v>
      </c>
      <c r="H4426" s="793" t="s">
        <v>804</v>
      </c>
      <c r="I4426" s="794">
        <v>1.4434240250798636E-2</v>
      </c>
      <c r="J4426" s="794">
        <v>22.682130877230339</v>
      </c>
      <c r="K4426" s="771"/>
    </row>
    <row r="4427" spans="1:11" ht="18.75" customHeight="1" outlineLevel="2">
      <c r="A4427" s="791" t="s">
        <v>776</v>
      </c>
      <c r="B4427" s="791" t="s">
        <v>1043</v>
      </c>
      <c r="C4427" s="791" t="s">
        <v>778</v>
      </c>
      <c r="D4427" s="792" t="s">
        <v>779</v>
      </c>
      <c r="E4427" s="793" t="s">
        <v>662</v>
      </c>
      <c r="F4427" s="793" t="s">
        <v>847</v>
      </c>
      <c r="G4427" s="793" t="s">
        <v>782</v>
      </c>
      <c r="H4427" s="793" t="s">
        <v>804</v>
      </c>
      <c r="I4427" s="794">
        <v>6.8828323887913873E-3</v>
      </c>
      <c r="J4427" s="794">
        <v>8.4123948269403233</v>
      </c>
      <c r="K4427" s="771"/>
    </row>
    <row r="4428" spans="1:11" ht="18.75" customHeight="1" outlineLevel="2">
      <c r="A4428" s="791" t="s">
        <v>776</v>
      </c>
      <c r="B4428" s="791" t="s">
        <v>1043</v>
      </c>
      <c r="C4428" s="791" t="s">
        <v>778</v>
      </c>
      <c r="D4428" s="792" t="s">
        <v>779</v>
      </c>
      <c r="E4428" s="793" t="s">
        <v>662</v>
      </c>
      <c r="F4428" s="793" t="s">
        <v>848</v>
      </c>
      <c r="G4428" s="793" t="s">
        <v>782</v>
      </c>
      <c r="H4428" s="793" t="s">
        <v>804</v>
      </c>
      <c r="I4428" s="794">
        <v>3.2515141778067268E-2</v>
      </c>
      <c r="J4428" s="794">
        <v>47.264600724874114</v>
      </c>
      <c r="K4428" s="771"/>
    </row>
    <row r="4429" spans="1:11" ht="18.75" customHeight="1" outlineLevel="2">
      <c r="A4429" s="791" t="s">
        <v>776</v>
      </c>
      <c r="B4429" s="791" t="s">
        <v>1043</v>
      </c>
      <c r="C4429" s="791" t="s">
        <v>778</v>
      </c>
      <c r="D4429" s="792" t="s">
        <v>779</v>
      </c>
      <c r="E4429" s="793" t="s">
        <v>662</v>
      </c>
      <c r="F4429" s="793" t="s">
        <v>849</v>
      </c>
      <c r="G4429" s="793" t="s">
        <v>782</v>
      </c>
      <c r="H4429" s="793" t="s">
        <v>804</v>
      </c>
      <c r="I4429" s="794">
        <v>1.6482888414142544E-2</v>
      </c>
      <c r="J4429" s="794">
        <v>22.697762105970614</v>
      </c>
      <c r="K4429" s="771"/>
    </row>
    <row r="4430" spans="1:11" ht="18.75" customHeight="1" outlineLevel="2">
      <c r="A4430" s="791" t="s">
        <v>776</v>
      </c>
      <c r="B4430" s="791" t="s">
        <v>1043</v>
      </c>
      <c r="C4430" s="791" t="s">
        <v>778</v>
      </c>
      <c r="D4430" s="792" t="s">
        <v>779</v>
      </c>
      <c r="E4430" s="793" t="s">
        <v>662</v>
      </c>
      <c r="F4430" s="793" t="s">
        <v>850</v>
      </c>
      <c r="G4430" s="793" t="s">
        <v>782</v>
      </c>
      <c r="H4430" s="793" t="s">
        <v>804</v>
      </c>
      <c r="I4430" s="794">
        <v>1.3042873657883283E-3</v>
      </c>
      <c r="J4430" s="794">
        <v>1.8282756866687104</v>
      </c>
      <c r="K4430" s="771"/>
    </row>
    <row r="4431" spans="1:11" ht="18.75" customHeight="1" outlineLevel="2">
      <c r="A4431" s="791" t="s">
        <v>776</v>
      </c>
      <c r="B4431" s="791" t="s">
        <v>1043</v>
      </c>
      <c r="C4431" s="791" t="s">
        <v>778</v>
      </c>
      <c r="D4431" s="792" t="s">
        <v>779</v>
      </c>
      <c r="E4431" s="793" t="s">
        <v>662</v>
      </c>
      <c r="F4431" s="793" t="s">
        <v>851</v>
      </c>
      <c r="G4431" s="793" t="s">
        <v>782</v>
      </c>
      <c r="H4431" s="793" t="s">
        <v>804</v>
      </c>
      <c r="I4431" s="794">
        <v>2.139544726045009E-3</v>
      </c>
      <c r="J4431" s="794">
        <v>3.0701326150189043</v>
      </c>
      <c r="K4431" s="771"/>
    </row>
    <row r="4432" spans="1:11" ht="18.75" customHeight="1" outlineLevel="2">
      <c r="A4432" s="791" t="s">
        <v>776</v>
      </c>
      <c r="B4432" s="791" t="s">
        <v>1043</v>
      </c>
      <c r="C4432" s="791" t="s">
        <v>778</v>
      </c>
      <c r="D4432" s="792" t="s">
        <v>779</v>
      </c>
      <c r="E4432" s="793" t="s">
        <v>662</v>
      </c>
      <c r="F4432" s="793" t="s">
        <v>852</v>
      </c>
      <c r="G4432" s="793" t="s">
        <v>782</v>
      </c>
      <c r="H4432" s="793" t="s">
        <v>804</v>
      </c>
      <c r="I4432" s="794">
        <v>9.3754595399306209E-4</v>
      </c>
      <c r="J4432" s="794">
        <v>2.7434150687270389</v>
      </c>
      <c r="K4432" s="771"/>
    </row>
    <row r="4433" spans="1:11" ht="18.75" customHeight="1" outlineLevel="2">
      <c r="A4433" s="791" t="s">
        <v>776</v>
      </c>
      <c r="B4433" s="791" t="s">
        <v>1043</v>
      </c>
      <c r="C4433" s="791" t="s">
        <v>778</v>
      </c>
      <c r="D4433" s="792" t="s">
        <v>779</v>
      </c>
      <c r="E4433" s="793" t="s">
        <v>662</v>
      </c>
      <c r="F4433" s="793" t="s">
        <v>853</v>
      </c>
      <c r="G4433" s="793" t="s">
        <v>782</v>
      </c>
      <c r="H4433" s="793" t="s">
        <v>804</v>
      </c>
      <c r="I4433" s="794">
        <v>7.5420295463759276E-4</v>
      </c>
      <c r="J4433" s="794">
        <v>6.506906638219915</v>
      </c>
      <c r="K4433" s="771"/>
    </row>
    <row r="4434" spans="1:11" ht="18.75" customHeight="1" outlineLevel="2">
      <c r="A4434" s="791" t="s">
        <v>776</v>
      </c>
      <c r="B4434" s="791" t="s">
        <v>1043</v>
      </c>
      <c r="C4434" s="791" t="s">
        <v>778</v>
      </c>
      <c r="D4434" s="792" t="s">
        <v>779</v>
      </c>
      <c r="E4434" s="793" t="s">
        <v>662</v>
      </c>
      <c r="F4434" s="793" t="s">
        <v>854</v>
      </c>
      <c r="G4434" s="793" t="s">
        <v>782</v>
      </c>
      <c r="H4434" s="793" t="s">
        <v>804</v>
      </c>
      <c r="I4434" s="794">
        <v>1.0258654810032691E-2</v>
      </c>
      <c r="J4434" s="794">
        <v>15.515242006183273</v>
      </c>
      <c r="K4434" s="771"/>
    </row>
    <row r="4435" spans="1:11" ht="18.75" customHeight="1" outlineLevel="2">
      <c r="A4435" s="791" t="s">
        <v>776</v>
      </c>
      <c r="B4435" s="791" t="s">
        <v>1043</v>
      </c>
      <c r="C4435" s="791" t="s">
        <v>778</v>
      </c>
      <c r="D4435" s="792" t="s">
        <v>779</v>
      </c>
      <c r="E4435" s="793" t="s">
        <v>662</v>
      </c>
      <c r="F4435" s="793" t="s">
        <v>855</v>
      </c>
      <c r="G4435" s="793" t="s">
        <v>782</v>
      </c>
      <c r="H4435" s="793" t="s">
        <v>804</v>
      </c>
      <c r="I4435" s="794">
        <v>7.328323533241617E-3</v>
      </c>
      <c r="J4435" s="794">
        <v>10.813511392144736</v>
      </c>
      <c r="K4435" s="771"/>
    </row>
    <row r="4436" spans="1:11" ht="18.75" customHeight="1" outlineLevel="2">
      <c r="A4436" s="791" t="s">
        <v>776</v>
      </c>
      <c r="B4436" s="791" t="s">
        <v>1043</v>
      </c>
      <c r="C4436" s="791" t="s">
        <v>778</v>
      </c>
      <c r="D4436" s="792" t="s">
        <v>779</v>
      </c>
      <c r="E4436" s="793" t="s">
        <v>662</v>
      </c>
      <c r="F4436" s="793" t="s">
        <v>856</v>
      </c>
      <c r="G4436" s="793" t="s">
        <v>782</v>
      </c>
      <c r="H4436" s="793" t="s">
        <v>804</v>
      </c>
      <c r="I4436" s="794">
        <v>2.8769826003492371E-3</v>
      </c>
      <c r="J4436" s="794">
        <v>3.5432022339925413</v>
      </c>
      <c r="K4436" s="771"/>
    </row>
    <row r="4437" spans="1:11" ht="18.75" customHeight="1" outlineLevel="2">
      <c r="A4437" s="791" t="s">
        <v>776</v>
      </c>
      <c r="B4437" s="791" t="s">
        <v>1043</v>
      </c>
      <c r="C4437" s="791" t="s">
        <v>778</v>
      </c>
      <c r="D4437" s="792" t="s">
        <v>779</v>
      </c>
      <c r="E4437" s="793" t="s">
        <v>662</v>
      </c>
      <c r="F4437" s="793" t="s">
        <v>857</v>
      </c>
      <c r="G4437" s="793" t="s">
        <v>782</v>
      </c>
      <c r="H4437" s="793" t="s">
        <v>804</v>
      </c>
      <c r="I4437" s="794">
        <v>2.396903478607952E-3</v>
      </c>
      <c r="J4437" s="794">
        <v>2.5890254814180476</v>
      </c>
      <c r="K4437" s="771"/>
    </row>
    <row r="4438" spans="1:11" ht="18.75" customHeight="1" outlineLevel="2">
      <c r="A4438" s="791" t="s">
        <v>776</v>
      </c>
      <c r="B4438" s="791" t="s">
        <v>1043</v>
      </c>
      <c r="C4438" s="791" t="s">
        <v>778</v>
      </c>
      <c r="D4438" s="792" t="s">
        <v>779</v>
      </c>
      <c r="E4438" s="793" t="s">
        <v>662</v>
      </c>
      <c r="F4438" s="793" t="s">
        <v>858</v>
      </c>
      <c r="G4438" s="793" t="s">
        <v>785</v>
      </c>
      <c r="H4438" s="793" t="s">
        <v>727</v>
      </c>
      <c r="I4438" s="794">
        <v>4.3069211111949481E-2</v>
      </c>
      <c r="J4438" s="794">
        <v>86.680702873685362</v>
      </c>
      <c r="K4438" s="771"/>
    </row>
    <row r="4439" spans="1:11" ht="18.75" customHeight="1" outlineLevel="2">
      <c r="A4439" s="791" t="s">
        <v>776</v>
      </c>
      <c r="B4439" s="791" t="s">
        <v>1043</v>
      </c>
      <c r="C4439" s="791" t="s">
        <v>778</v>
      </c>
      <c r="D4439" s="792" t="s">
        <v>779</v>
      </c>
      <c r="E4439" s="793" t="s">
        <v>662</v>
      </c>
      <c r="F4439" s="793" t="s">
        <v>859</v>
      </c>
      <c r="G4439" s="793" t="s">
        <v>785</v>
      </c>
      <c r="H4439" s="793" t="s">
        <v>727</v>
      </c>
      <c r="I4439" s="794">
        <v>3.0932518288938015E-2</v>
      </c>
      <c r="J4439" s="794">
        <v>328.04310518014904</v>
      </c>
      <c r="K4439" s="771"/>
    </row>
    <row r="4440" spans="1:11" ht="18.75" customHeight="1" outlineLevel="2">
      <c r="A4440" s="791" t="s">
        <v>776</v>
      </c>
      <c r="B4440" s="791" t="s">
        <v>1043</v>
      </c>
      <c r="C4440" s="791" t="s">
        <v>778</v>
      </c>
      <c r="D4440" s="792" t="s">
        <v>779</v>
      </c>
      <c r="E4440" s="793" t="s">
        <v>662</v>
      </c>
      <c r="F4440" s="793" t="s">
        <v>860</v>
      </c>
      <c r="G4440" s="793" t="s">
        <v>785</v>
      </c>
      <c r="H4440" s="793" t="s">
        <v>727</v>
      </c>
      <c r="I4440" s="794">
        <v>2.5660981148724255E-2</v>
      </c>
      <c r="J4440" s="794">
        <v>70.490540200105315</v>
      </c>
      <c r="K4440" s="771"/>
    </row>
    <row r="4441" spans="1:11" ht="18.75" customHeight="1" outlineLevel="2">
      <c r="A4441" s="791" t="s">
        <v>776</v>
      </c>
      <c r="B4441" s="791" t="s">
        <v>1043</v>
      </c>
      <c r="C4441" s="791" t="s">
        <v>778</v>
      </c>
      <c r="D4441" s="792" t="s">
        <v>779</v>
      </c>
      <c r="E4441" s="793" t="s">
        <v>662</v>
      </c>
      <c r="F4441" s="793" t="s">
        <v>861</v>
      </c>
      <c r="G4441" s="793" t="s">
        <v>785</v>
      </c>
      <c r="H4441" s="793" t="s">
        <v>727</v>
      </c>
      <c r="I4441" s="794">
        <v>9.8705481436355921E-2</v>
      </c>
      <c r="J4441" s="794">
        <v>132.40063371251762</v>
      </c>
      <c r="K4441" s="771"/>
    </row>
    <row r="4442" spans="1:11" ht="18.75" customHeight="1" outlineLevel="2">
      <c r="A4442" s="791" t="s">
        <v>776</v>
      </c>
      <c r="B4442" s="791" t="s">
        <v>1043</v>
      </c>
      <c r="C4442" s="791" t="s">
        <v>778</v>
      </c>
      <c r="D4442" s="792" t="s">
        <v>779</v>
      </c>
      <c r="E4442" s="793" t="s">
        <v>662</v>
      </c>
      <c r="F4442" s="793" t="s">
        <v>862</v>
      </c>
      <c r="G4442" s="793" t="s">
        <v>785</v>
      </c>
      <c r="H4442" s="793" t="s">
        <v>727</v>
      </c>
      <c r="I4442" s="794">
        <v>2.78581387956211E-3</v>
      </c>
      <c r="J4442" s="794">
        <v>6.0751042806091311</v>
      </c>
      <c r="K4442" s="771"/>
    </row>
    <row r="4443" spans="1:11" ht="18.75" customHeight="1" outlineLevel="2">
      <c r="A4443" s="791" t="s">
        <v>776</v>
      </c>
      <c r="B4443" s="791" t="s">
        <v>1043</v>
      </c>
      <c r="C4443" s="791" t="s">
        <v>778</v>
      </c>
      <c r="D4443" s="792" t="s">
        <v>779</v>
      </c>
      <c r="E4443" s="793" t="s">
        <v>662</v>
      </c>
      <c r="F4443" s="793" t="s">
        <v>863</v>
      </c>
      <c r="G4443" s="793" t="s">
        <v>785</v>
      </c>
      <c r="H4443" s="793" t="s">
        <v>727</v>
      </c>
      <c r="I4443" s="794">
        <v>1.8930176434687059E-3</v>
      </c>
      <c r="J4443" s="794">
        <v>2.8239066615735018</v>
      </c>
      <c r="K4443" s="771"/>
    </row>
    <row r="4444" spans="1:11" ht="18.75" customHeight="1" outlineLevel="2">
      <c r="A4444" s="791" t="s">
        <v>776</v>
      </c>
      <c r="B4444" s="791" t="s">
        <v>1043</v>
      </c>
      <c r="C4444" s="791" t="s">
        <v>778</v>
      </c>
      <c r="D4444" s="792" t="s">
        <v>779</v>
      </c>
      <c r="E4444" s="793" t="s">
        <v>662</v>
      </c>
      <c r="F4444" s="793" t="s">
        <v>864</v>
      </c>
      <c r="G4444" s="793" t="s">
        <v>785</v>
      </c>
      <c r="H4444" s="793" t="s">
        <v>727</v>
      </c>
      <c r="I4444" s="794">
        <v>2.0274357874841987E-3</v>
      </c>
      <c r="J4444" s="794">
        <v>28.971294741711517</v>
      </c>
      <c r="K4444" s="771"/>
    </row>
    <row r="4445" spans="1:11" ht="18.75" customHeight="1" outlineLevel="2">
      <c r="A4445" s="791" t="s">
        <v>776</v>
      </c>
      <c r="B4445" s="791" t="s">
        <v>1043</v>
      </c>
      <c r="C4445" s="791" t="s">
        <v>778</v>
      </c>
      <c r="D4445" s="792" t="s">
        <v>779</v>
      </c>
      <c r="E4445" s="793" t="s">
        <v>662</v>
      </c>
      <c r="F4445" s="793" t="s">
        <v>865</v>
      </c>
      <c r="G4445" s="793" t="s">
        <v>813</v>
      </c>
      <c r="H4445" s="793" t="s">
        <v>814</v>
      </c>
      <c r="I4445" s="794">
        <v>0.48667095682765255</v>
      </c>
      <c r="J4445" s="794">
        <v>521.98532470912414</v>
      </c>
      <c r="K4445" s="771"/>
    </row>
    <row r="4446" spans="1:11" ht="18.75" customHeight="1" outlineLevel="2">
      <c r="A4446" s="791" t="s">
        <v>776</v>
      </c>
      <c r="B4446" s="791" t="s">
        <v>1043</v>
      </c>
      <c r="C4446" s="791" t="s">
        <v>778</v>
      </c>
      <c r="D4446" s="792" t="s">
        <v>779</v>
      </c>
      <c r="E4446" s="793" t="s">
        <v>662</v>
      </c>
      <c r="F4446" s="793" t="s">
        <v>866</v>
      </c>
      <c r="G4446" s="793" t="s">
        <v>813</v>
      </c>
      <c r="H4446" s="793" t="s">
        <v>814</v>
      </c>
      <c r="I4446" s="794">
        <v>0.25316770491781349</v>
      </c>
      <c r="J4446" s="794">
        <v>344.48657070845405</v>
      </c>
      <c r="K4446" s="771"/>
    </row>
    <row r="4447" spans="1:11" ht="18.75" customHeight="1" outlineLevel="2">
      <c r="A4447" s="791" t="s">
        <v>776</v>
      </c>
      <c r="B4447" s="791" t="s">
        <v>1043</v>
      </c>
      <c r="C4447" s="791" t="s">
        <v>778</v>
      </c>
      <c r="D4447" s="792" t="s">
        <v>779</v>
      </c>
      <c r="E4447" s="793" t="s">
        <v>662</v>
      </c>
      <c r="F4447" s="793" t="s">
        <v>867</v>
      </c>
      <c r="G4447" s="793" t="s">
        <v>813</v>
      </c>
      <c r="H4447" s="793" t="s">
        <v>814</v>
      </c>
      <c r="I4447" s="794">
        <v>4.1894918798725013E-2</v>
      </c>
      <c r="J4447" s="794">
        <v>44.917737312059849</v>
      </c>
      <c r="K4447" s="771"/>
    </row>
    <row r="4448" spans="1:11" ht="18.75" customHeight="1" outlineLevel="2">
      <c r="A4448" s="791" t="s">
        <v>776</v>
      </c>
      <c r="B4448" s="791" t="s">
        <v>1043</v>
      </c>
      <c r="C4448" s="791" t="s">
        <v>778</v>
      </c>
      <c r="D4448" s="792" t="s">
        <v>779</v>
      </c>
      <c r="E4448" s="793" t="s">
        <v>662</v>
      </c>
      <c r="F4448" s="793" t="s">
        <v>868</v>
      </c>
      <c r="G4448" s="793" t="s">
        <v>813</v>
      </c>
      <c r="H4448" s="793" t="s">
        <v>814</v>
      </c>
      <c r="I4448" s="794">
        <v>0.16133655817084397</v>
      </c>
      <c r="J4448" s="794">
        <v>204.33694362229193</v>
      </c>
      <c r="K4448" s="771"/>
    </row>
    <row r="4449" spans="1:11" ht="18.75" customHeight="1" outlineLevel="2">
      <c r="A4449" s="791" t="s">
        <v>776</v>
      </c>
      <c r="B4449" s="791" t="s">
        <v>1043</v>
      </c>
      <c r="C4449" s="791" t="s">
        <v>778</v>
      </c>
      <c r="D4449" s="792" t="s">
        <v>779</v>
      </c>
      <c r="E4449" s="793" t="s">
        <v>662</v>
      </c>
      <c r="F4449" s="793" t="s">
        <v>869</v>
      </c>
      <c r="G4449" s="793" t="s">
        <v>813</v>
      </c>
      <c r="H4449" s="793" t="s">
        <v>814</v>
      </c>
      <c r="I4449" s="794">
        <v>2.282250540153036E-3</v>
      </c>
      <c r="J4449" s="794">
        <v>2.9015704211473277</v>
      </c>
      <c r="K4449" s="771"/>
    </row>
    <row r="4450" spans="1:11" ht="18.75" customHeight="1" outlineLevel="2">
      <c r="A4450" s="791" t="s">
        <v>776</v>
      </c>
      <c r="B4450" s="791" t="s">
        <v>1043</v>
      </c>
      <c r="C4450" s="791" t="s">
        <v>778</v>
      </c>
      <c r="D4450" s="792" t="s">
        <v>779</v>
      </c>
      <c r="E4450" s="793" t="s">
        <v>662</v>
      </c>
      <c r="F4450" s="793" t="s">
        <v>870</v>
      </c>
      <c r="G4450" s="793" t="s">
        <v>813</v>
      </c>
      <c r="H4450" s="793" t="s">
        <v>814</v>
      </c>
      <c r="I4450" s="794">
        <v>5.6206502367068195E-3</v>
      </c>
      <c r="J4450" s="794">
        <v>7.9791730258337985</v>
      </c>
      <c r="K4450" s="771"/>
    </row>
    <row r="4451" spans="1:11" ht="18.75" customHeight="1" outlineLevel="2">
      <c r="A4451" s="791" t="s">
        <v>776</v>
      </c>
      <c r="B4451" s="791" t="s">
        <v>1043</v>
      </c>
      <c r="C4451" s="791" t="s">
        <v>778</v>
      </c>
      <c r="D4451" s="792" t="s">
        <v>779</v>
      </c>
      <c r="E4451" s="793" t="s">
        <v>662</v>
      </c>
      <c r="F4451" s="793" t="s">
        <v>871</v>
      </c>
      <c r="G4451" s="793" t="s">
        <v>813</v>
      </c>
      <c r="H4451" s="793" t="s">
        <v>814</v>
      </c>
      <c r="I4451" s="794">
        <v>4.3466116510042056E-3</v>
      </c>
      <c r="J4451" s="794">
        <v>5.535539839351606</v>
      </c>
      <c r="K4451" s="771"/>
    </row>
    <row r="4452" spans="1:11" ht="18.75" customHeight="1" outlineLevel="2">
      <c r="A4452" s="791" t="s">
        <v>776</v>
      </c>
      <c r="B4452" s="791" t="s">
        <v>1043</v>
      </c>
      <c r="C4452" s="791" t="s">
        <v>778</v>
      </c>
      <c r="D4452" s="792" t="s">
        <v>779</v>
      </c>
      <c r="E4452" s="793" t="s">
        <v>662</v>
      </c>
      <c r="F4452" s="793" t="s">
        <v>872</v>
      </c>
      <c r="G4452" s="793" t="s">
        <v>813</v>
      </c>
      <c r="H4452" s="793" t="s">
        <v>814</v>
      </c>
      <c r="I4452" s="794">
        <v>0.19209618852658636</v>
      </c>
      <c r="J4452" s="794">
        <v>327.42211862254027</v>
      </c>
      <c r="K4452" s="771"/>
    </row>
    <row r="4453" spans="1:11" ht="18.75" customHeight="1" outlineLevel="2">
      <c r="A4453" s="791" t="s">
        <v>776</v>
      </c>
      <c r="B4453" s="791" t="s">
        <v>1043</v>
      </c>
      <c r="C4453" s="791" t="s">
        <v>778</v>
      </c>
      <c r="D4453" s="792" t="s">
        <v>779</v>
      </c>
      <c r="E4453" s="793" t="s">
        <v>662</v>
      </c>
      <c r="F4453" s="793" t="s">
        <v>875</v>
      </c>
      <c r="G4453" s="793" t="s">
        <v>813</v>
      </c>
      <c r="H4453" s="793" t="s">
        <v>814</v>
      </c>
      <c r="I4453" s="794">
        <v>7.2514594288589487E-2</v>
      </c>
      <c r="J4453" s="794">
        <v>106.01683444083699</v>
      </c>
      <c r="K4453" s="771"/>
    </row>
    <row r="4454" spans="1:11" ht="18.75" customHeight="1" outlineLevel="2">
      <c r="A4454" s="791" t="s">
        <v>776</v>
      </c>
      <c r="B4454" s="791" t="s">
        <v>1043</v>
      </c>
      <c r="C4454" s="791" t="s">
        <v>778</v>
      </c>
      <c r="D4454" s="792" t="s">
        <v>779</v>
      </c>
      <c r="E4454" s="793" t="s">
        <v>662</v>
      </c>
      <c r="F4454" s="793" t="s">
        <v>876</v>
      </c>
      <c r="G4454" s="793" t="s">
        <v>813</v>
      </c>
      <c r="H4454" s="793" t="s">
        <v>814</v>
      </c>
      <c r="I4454" s="794">
        <v>2.891181541118077E-2</v>
      </c>
      <c r="J4454" s="794">
        <v>43.76686632914565</v>
      </c>
      <c r="K4454" s="771"/>
    </row>
    <row r="4455" spans="1:11" ht="18.75" customHeight="1" outlineLevel="2">
      <c r="A4455" s="791" t="s">
        <v>776</v>
      </c>
      <c r="B4455" s="791" t="s">
        <v>1043</v>
      </c>
      <c r="C4455" s="791" t="s">
        <v>778</v>
      </c>
      <c r="D4455" s="792" t="s">
        <v>779</v>
      </c>
      <c r="E4455" s="793" t="s">
        <v>662</v>
      </c>
      <c r="F4455" s="793" t="s">
        <v>877</v>
      </c>
      <c r="G4455" s="793" t="s">
        <v>813</v>
      </c>
      <c r="H4455" s="793" t="s">
        <v>814</v>
      </c>
      <c r="I4455" s="794">
        <v>3.8144937613346211E-2</v>
      </c>
      <c r="J4455" s="794">
        <v>49.539799441559062</v>
      </c>
      <c r="K4455" s="771"/>
    </row>
    <row r="4456" spans="1:11" ht="18.75" customHeight="1" outlineLevel="2">
      <c r="A4456" s="791" t="s">
        <v>776</v>
      </c>
      <c r="B4456" s="791" t="s">
        <v>1043</v>
      </c>
      <c r="C4456" s="791" t="s">
        <v>778</v>
      </c>
      <c r="D4456" s="792" t="s">
        <v>779</v>
      </c>
      <c r="E4456" s="793" t="s">
        <v>662</v>
      </c>
      <c r="F4456" s="793" t="s">
        <v>878</v>
      </c>
      <c r="G4456" s="793" t="s">
        <v>813</v>
      </c>
      <c r="H4456" s="793" t="s">
        <v>814</v>
      </c>
      <c r="I4456" s="794">
        <v>1.9463846916987437E-2</v>
      </c>
      <c r="J4456" s="794">
        <v>23.5211930439689</v>
      </c>
      <c r="K4456" s="771"/>
    </row>
    <row r="4457" spans="1:11" ht="18.75" customHeight="1" outlineLevel="2">
      <c r="A4457" s="791" t="s">
        <v>776</v>
      </c>
      <c r="B4457" s="791" t="s">
        <v>1043</v>
      </c>
      <c r="C4457" s="791" t="s">
        <v>778</v>
      </c>
      <c r="D4457" s="792" t="s">
        <v>779</v>
      </c>
      <c r="E4457" s="793" t="s">
        <v>662</v>
      </c>
      <c r="F4457" s="793" t="s">
        <v>879</v>
      </c>
      <c r="G4457" s="793" t="s">
        <v>813</v>
      </c>
      <c r="H4457" s="793" t="s">
        <v>814</v>
      </c>
      <c r="I4457" s="794">
        <v>0.96979009178720443</v>
      </c>
      <c r="J4457" s="794">
        <v>1421.0698142362889</v>
      </c>
      <c r="K4457" s="771"/>
    </row>
    <row r="4458" spans="1:11" ht="18.75" customHeight="1" outlineLevel="2">
      <c r="A4458" s="791" t="s">
        <v>776</v>
      </c>
      <c r="B4458" s="791" t="s">
        <v>1043</v>
      </c>
      <c r="C4458" s="791" t="s">
        <v>778</v>
      </c>
      <c r="D4458" s="792" t="s">
        <v>779</v>
      </c>
      <c r="E4458" s="793" t="s">
        <v>662</v>
      </c>
      <c r="F4458" s="793" t="s">
        <v>880</v>
      </c>
      <c r="G4458" s="793" t="s">
        <v>813</v>
      </c>
      <c r="H4458" s="793" t="s">
        <v>814</v>
      </c>
      <c r="I4458" s="794">
        <v>0.39282432774247006</v>
      </c>
      <c r="J4458" s="794">
        <v>594.79354968605833</v>
      </c>
      <c r="K4458" s="771"/>
    </row>
    <row r="4459" spans="1:11" ht="18.75" customHeight="1" outlineLevel="2">
      <c r="A4459" s="791" t="s">
        <v>776</v>
      </c>
      <c r="B4459" s="791" t="s">
        <v>1043</v>
      </c>
      <c r="C4459" s="791" t="s">
        <v>778</v>
      </c>
      <c r="D4459" s="792" t="s">
        <v>779</v>
      </c>
      <c r="E4459" s="793" t="s">
        <v>662</v>
      </c>
      <c r="F4459" s="793" t="s">
        <v>881</v>
      </c>
      <c r="G4459" s="793" t="s">
        <v>813</v>
      </c>
      <c r="H4459" s="793" t="s">
        <v>814</v>
      </c>
      <c r="I4459" s="794">
        <v>4.3956791333932974E-2</v>
      </c>
      <c r="J4459" s="794">
        <v>99.314961999214418</v>
      </c>
      <c r="K4459" s="771"/>
    </row>
    <row r="4460" spans="1:11" ht="18.75" customHeight="1" outlineLevel="2">
      <c r="A4460" s="791" t="s">
        <v>776</v>
      </c>
      <c r="B4460" s="791" t="s">
        <v>1043</v>
      </c>
      <c r="C4460" s="791" t="s">
        <v>778</v>
      </c>
      <c r="D4460" s="792" t="s">
        <v>779</v>
      </c>
      <c r="E4460" s="793" t="s">
        <v>662</v>
      </c>
      <c r="F4460" s="793" t="s">
        <v>882</v>
      </c>
      <c r="G4460" s="793" t="s">
        <v>813</v>
      </c>
      <c r="H4460" s="793" t="s">
        <v>814</v>
      </c>
      <c r="I4460" s="794">
        <v>1.2099180751828158</v>
      </c>
      <c r="J4460" s="794">
        <v>1920.0320096688115</v>
      </c>
      <c r="K4460" s="771"/>
    </row>
    <row r="4461" spans="1:11" ht="18.75" customHeight="1" outlineLevel="2">
      <c r="A4461" s="791" t="s">
        <v>776</v>
      </c>
      <c r="B4461" s="791" t="s">
        <v>1043</v>
      </c>
      <c r="C4461" s="791" t="s">
        <v>778</v>
      </c>
      <c r="D4461" s="792" t="s">
        <v>779</v>
      </c>
      <c r="E4461" s="793" t="s">
        <v>662</v>
      </c>
      <c r="F4461" s="793" t="s">
        <v>883</v>
      </c>
      <c r="G4461" s="793" t="s">
        <v>813</v>
      </c>
      <c r="H4461" s="793" t="s">
        <v>814</v>
      </c>
      <c r="I4461" s="794">
        <v>4.4150496273599522E-2</v>
      </c>
      <c r="J4461" s="794">
        <v>50.513953900798072</v>
      </c>
      <c r="K4461" s="771"/>
    </row>
    <row r="4462" spans="1:11" ht="18.75" customHeight="1" outlineLevel="2">
      <c r="A4462" s="791" t="s">
        <v>776</v>
      </c>
      <c r="B4462" s="791" t="s">
        <v>1043</v>
      </c>
      <c r="C4462" s="791" t="s">
        <v>778</v>
      </c>
      <c r="D4462" s="792" t="s">
        <v>779</v>
      </c>
      <c r="E4462" s="793" t="s">
        <v>662</v>
      </c>
      <c r="F4462" s="793" t="s">
        <v>884</v>
      </c>
      <c r="G4462" s="793" t="s">
        <v>813</v>
      </c>
      <c r="H4462" s="793" t="s">
        <v>814</v>
      </c>
      <c r="I4462" s="794">
        <v>5.0773427719676315E-2</v>
      </c>
      <c r="J4462" s="794">
        <v>58.999371978230776</v>
      </c>
      <c r="K4462" s="771"/>
    </row>
    <row r="4463" spans="1:11" ht="18.75" customHeight="1" outlineLevel="2">
      <c r="A4463" s="791" t="s">
        <v>776</v>
      </c>
      <c r="B4463" s="791" t="s">
        <v>1043</v>
      </c>
      <c r="C4463" s="791" t="s">
        <v>778</v>
      </c>
      <c r="D4463" s="792" t="s">
        <v>779</v>
      </c>
      <c r="E4463" s="793" t="s">
        <v>662</v>
      </c>
      <c r="F4463" s="793" t="s">
        <v>885</v>
      </c>
      <c r="G4463" s="793" t="s">
        <v>791</v>
      </c>
      <c r="H4463" s="793" t="s">
        <v>826</v>
      </c>
      <c r="I4463" s="794">
        <v>6.6172504711359162E-4</v>
      </c>
      <c r="J4463" s="794">
        <v>0.9785813615947071</v>
      </c>
      <c r="K4463" s="771"/>
    </row>
    <row r="4464" spans="1:11" ht="18.75" customHeight="1" outlineLevel="2">
      <c r="A4464" s="791" t="s">
        <v>776</v>
      </c>
      <c r="B4464" s="791" t="s">
        <v>1043</v>
      </c>
      <c r="C4464" s="791" t="s">
        <v>778</v>
      </c>
      <c r="D4464" s="792" t="s">
        <v>779</v>
      </c>
      <c r="E4464" s="793" t="s">
        <v>662</v>
      </c>
      <c r="F4464" s="793" t="s">
        <v>886</v>
      </c>
      <c r="G4464" s="793" t="s">
        <v>791</v>
      </c>
      <c r="H4464" s="793" t="s">
        <v>826</v>
      </c>
      <c r="I4464" s="794">
        <v>8.6602630886970628E-4</v>
      </c>
      <c r="J4464" s="794">
        <v>3.7867577274360271</v>
      </c>
      <c r="K4464" s="771"/>
    </row>
    <row r="4465" spans="1:11" ht="18.75" customHeight="1" outlineLevel="2">
      <c r="A4465" s="791" t="s">
        <v>776</v>
      </c>
      <c r="B4465" s="791" t="s">
        <v>1043</v>
      </c>
      <c r="C4465" s="791" t="s">
        <v>778</v>
      </c>
      <c r="D4465" s="792" t="s">
        <v>779</v>
      </c>
      <c r="E4465" s="793" t="s">
        <v>662</v>
      </c>
      <c r="F4465" s="793" t="s">
        <v>887</v>
      </c>
      <c r="G4465" s="793" t="s">
        <v>791</v>
      </c>
      <c r="H4465" s="793" t="s">
        <v>826</v>
      </c>
      <c r="I4465" s="794">
        <v>3.2320099688236279E-5</v>
      </c>
      <c r="J4465" s="794">
        <v>3.0376371169055491E-2</v>
      </c>
      <c r="K4465" s="771"/>
    </row>
    <row r="4466" spans="1:11" ht="18.75" customHeight="1" outlineLevel="2">
      <c r="A4466" s="791" t="s">
        <v>776</v>
      </c>
      <c r="B4466" s="791" t="s">
        <v>1043</v>
      </c>
      <c r="C4466" s="791" t="s">
        <v>778</v>
      </c>
      <c r="D4466" s="792" t="s">
        <v>779</v>
      </c>
      <c r="E4466" s="793" t="s">
        <v>662</v>
      </c>
      <c r="F4466" s="793" t="s">
        <v>888</v>
      </c>
      <c r="G4466" s="793" t="s">
        <v>791</v>
      </c>
      <c r="H4466" s="793" t="s">
        <v>826</v>
      </c>
      <c r="I4466" s="794">
        <v>2.8990610076499025E-3</v>
      </c>
      <c r="J4466" s="794">
        <v>2.7192837430289893</v>
      </c>
      <c r="K4466" s="771"/>
    </row>
    <row r="4467" spans="1:11" ht="18.75" customHeight="1" outlineLevel="2">
      <c r="A4467" s="791" t="s">
        <v>776</v>
      </c>
      <c r="B4467" s="791" t="s">
        <v>1043</v>
      </c>
      <c r="C4467" s="791" t="s">
        <v>778</v>
      </c>
      <c r="D4467" s="792" t="s">
        <v>779</v>
      </c>
      <c r="E4467" s="793" t="s">
        <v>662</v>
      </c>
      <c r="F4467" s="793" t="s">
        <v>889</v>
      </c>
      <c r="G4467" s="793" t="s">
        <v>791</v>
      </c>
      <c r="H4467" s="793" t="s">
        <v>826</v>
      </c>
      <c r="I4467" s="794">
        <v>5.5673481338466889E-4</v>
      </c>
      <c r="J4467" s="794">
        <v>0.80454246473426894</v>
      </c>
      <c r="K4467" s="771"/>
    </row>
    <row r="4468" spans="1:11" ht="18.75" customHeight="1" outlineLevel="2">
      <c r="A4468" s="791" t="s">
        <v>776</v>
      </c>
      <c r="B4468" s="791" t="s">
        <v>1043</v>
      </c>
      <c r="C4468" s="791" t="s">
        <v>778</v>
      </c>
      <c r="D4468" s="792" t="s">
        <v>779</v>
      </c>
      <c r="E4468" s="793" t="s">
        <v>662</v>
      </c>
      <c r="F4468" s="793" t="s">
        <v>890</v>
      </c>
      <c r="G4468" s="793" t="s">
        <v>791</v>
      </c>
      <c r="H4468" s="793" t="s">
        <v>826</v>
      </c>
      <c r="I4468" s="794">
        <v>7.9585179796893071E-3</v>
      </c>
      <c r="J4468" s="794">
        <v>8.9142873755338616</v>
      </c>
      <c r="K4468" s="771"/>
    </row>
    <row r="4469" spans="1:11" ht="18.75" customHeight="1" outlineLevel="2">
      <c r="A4469" s="791" t="s">
        <v>776</v>
      </c>
      <c r="B4469" s="791" t="s">
        <v>1043</v>
      </c>
      <c r="C4469" s="791" t="s">
        <v>778</v>
      </c>
      <c r="D4469" s="792" t="s">
        <v>779</v>
      </c>
      <c r="E4469" s="793" t="s">
        <v>662</v>
      </c>
      <c r="F4469" s="793" t="s">
        <v>891</v>
      </c>
      <c r="G4469" s="793" t="s">
        <v>791</v>
      </c>
      <c r="H4469" s="793" t="s">
        <v>826</v>
      </c>
      <c r="I4469" s="794">
        <v>4.0755639383963899E-2</v>
      </c>
      <c r="J4469" s="794">
        <v>19.984917108483693</v>
      </c>
      <c r="K4469" s="771"/>
    </row>
    <row r="4470" spans="1:11" ht="18.75" customHeight="1" outlineLevel="2">
      <c r="A4470" s="791" t="s">
        <v>776</v>
      </c>
      <c r="B4470" s="791" t="s">
        <v>1043</v>
      </c>
      <c r="C4470" s="791" t="s">
        <v>778</v>
      </c>
      <c r="D4470" s="792" t="s">
        <v>779</v>
      </c>
      <c r="E4470" s="793" t="s">
        <v>662</v>
      </c>
      <c r="F4470" s="793" t="s">
        <v>892</v>
      </c>
      <c r="G4470" s="793" t="s">
        <v>791</v>
      </c>
      <c r="H4470" s="793" t="s">
        <v>826</v>
      </c>
      <c r="I4470" s="794">
        <v>4.5912201731287093E-3</v>
      </c>
      <c r="J4470" s="794">
        <v>4.3065095764544061</v>
      </c>
      <c r="K4470" s="771"/>
    </row>
    <row r="4471" spans="1:11" ht="18.75" customHeight="1" outlineLevel="2">
      <c r="A4471" s="791" t="s">
        <v>776</v>
      </c>
      <c r="B4471" s="791" t="s">
        <v>1043</v>
      </c>
      <c r="C4471" s="791" t="s">
        <v>778</v>
      </c>
      <c r="D4471" s="792" t="s">
        <v>779</v>
      </c>
      <c r="E4471" s="793" t="s">
        <v>662</v>
      </c>
      <c r="F4471" s="793" t="s">
        <v>893</v>
      </c>
      <c r="G4471" s="793" t="s">
        <v>791</v>
      </c>
      <c r="H4471" s="793" t="s">
        <v>826</v>
      </c>
      <c r="I4471" s="794">
        <v>6.0266061413440384E-3</v>
      </c>
      <c r="J4471" s="794">
        <v>6.1455450026991061</v>
      </c>
      <c r="K4471" s="771"/>
    </row>
    <row r="4472" spans="1:11" ht="18.75" customHeight="1" outlineLevel="2">
      <c r="A4472" s="791" t="s">
        <v>776</v>
      </c>
      <c r="B4472" s="791" t="s">
        <v>1043</v>
      </c>
      <c r="C4472" s="791" t="s">
        <v>778</v>
      </c>
      <c r="D4472" s="792" t="s">
        <v>779</v>
      </c>
      <c r="E4472" s="793" t="s">
        <v>662</v>
      </c>
      <c r="F4472" s="793" t="s">
        <v>894</v>
      </c>
      <c r="G4472" s="793" t="s">
        <v>791</v>
      </c>
      <c r="H4472" s="793" t="s">
        <v>826</v>
      </c>
      <c r="I4472" s="794">
        <v>7.215555269648174E-4</v>
      </c>
      <c r="J4472" s="794">
        <v>6.5677816082632159</v>
      </c>
      <c r="K4472" s="771"/>
    </row>
    <row r="4473" spans="1:11" ht="18.75" customHeight="1" outlineLevel="2">
      <c r="A4473" s="791" t="s">
        <v>776</v>
      </c>
      <c r="B4473" s="791" t="s">
        <v>1043</v>
      </c>
      <c r="C4473" s="791" t="s">
        <v>778</v>
      </c>
      <c r="D4473" s="792" t="s">
        <v>779</v>
      </c>
      <c r="E4473" s="793" t="s">
        <v>662</v>
      </c>
      <c r="F4473" s="793" t="s">
        <v>895</v>
      </c>
      <c r="G4473" s="793" t="s">
        <v>794</v>
      </c>
      <c r="H4473" s="793" t="s">
        <v>828</v>
      </c>
      <c r="I4473" s="794">
        <v>0.84602859034540945</v>
      </c>
      <c r="J4473" s="794">
        <v>1178.2940682748492</v>
      </c>
      <c r="K4473" s="771"/>
    </row>
    <row r="4474" spans="1:11" ht="18.75" customHeight="1" outlineLevel="2">
      <c r="A4474" s="791" t="s">
        <v>776</v>
      </c>
      <c r="B4474" s="791" t="s">
        <v>1043</v>
      </c>
      <c r="C4474" s="791" t="s">
        <v>778</v>
      </c>
      <c r="D4474" s="792" t="s">
        <v>779</v>
      </c>
      <c r="E4474" s="793" t="s">
        <v>662</v>
      </c>
      <c r="F4474" s="793" t="s">
        <v>896</v>
      </c>
      <c r="G4474" s="793" t="s">
        <v>794</v>
      </c>
      <c r="H4474" s="793" t="s">
        <v>828</v>
      </c>
      <c r="I4474" s="794">
        <v>0.19873044663901149</v>
      </c>
      <c r="J4474" s="794">
        <v>294.79863723097776</v>
      </c>
      <c r="K4474" s="771"/>
    </row>
    <row r="4475" spans="1:11" ht="18.75" customHeight="1" outlineLevel="2">
      <c r="A4475" s="791" t="s">
        <v>776</v>
      </c>
      <c r="B4475" s="791" t="s">
        <v>1043</v>
      </c>
      <c r="C4475" s="791" t="s">
        <v>778</v>
      </c>
      <c r="D4475" s="792" t="s">
        <v>779</v>
      </c>
      <c r="E4475" s="793" t="s">
        <v>662</v>
      </c>
      <c r="F4475" s="793" t="s">
        <v>897</v>
      </c>
      <c r="G4475" s="793" t="s">
        <v>794</v>
      </c>
      <c r="H4475" s="793" t="s">
        <v>828</v>
      </c>
      <c r="I4475" s="794">
        <v>9.1677509290901432E-2</v>
      </c>
      <c r="J4475" s="794">
        <v>155.87978084067811</v>
      </c>
      <c r="K4475" s="771"/>
    </row>
    <row r="4476" spans="1:11" ht="18.75" customHeight="1" outlineLevel="2">
      <c r="A4476" s="791" t="s">
        <v>776</v>
      </c>
      <c r="B4476" s="791" t="s">
        <v>1043</v>
      </c>
      <c r="C4476" s="791" t="s">
        <v>778</v>
      </c>
      <c r="D4476" s="792" t="s">
        <v>779</v>
      </c>
      <c r="E4476" s="793" t="s">
        <v>662</v>
      </c>
      <c r="F4476" s="793" t="s">
        <v>898</v>
      </c>
      <c r="G4476" s="793" t="s">
        <v>794</v>
      </c>
      <c r="H4476" s="793" t="s">
        <v>828</v>
      </c>
      <c r="I4476" s="794">
        <v>0.21124275736677145</v>
      </c>
      <c r="J4476" s="794">
        <v>335.09940225177354</v>
      </c>
      <c r="K4476" s="771"/>
    </row>
    <row r="4477" spans="1:11" ht="18.75" customHeight="1" outlineLevel="2">
      <c r="A4477" s="791" t="s">
        <v>776</v>
      </c>
      <c r="B4477" s="791" t="s">
        <v>1043</v>
      </c>
      <c r="C4477" s="791" t="s">
        <v>778</v>
      </c>
      <c r="D4477" s="792" t="s">
        <v>779</v>
      </c>
      <c r="E4477" s="793" t="s">
        <v>662</v>
      </c>
      <c r="F4477" s="793" t="s">
        <v>899</v>
      </c>
      <c r="G4477" s="793" t="s">
        <v>794</v>
      </c>
      <c r="H4477" s="793" t="s">
        <v>828</v>
      </c>
      <c r="I4477" s="794">
        <v>0.37212691161968769</v>
      </c>
      <c r="J4477" s="794">
        <v>529.44832864954947</v>
      </c>
      <c r="K4477" s="771"/>
    </row>
    <row r="4478" spans="1:11" ht="18.75" customHeight="1" outlineLevel="2">
      <c r="A4478" s="791" t="s">
        <v>776</v>
      </c>
      <c r="B4478" s="791" t="s">
        <v>1043</v>
      </c>
      <c r="C4478" s="791" t="s">
        <v>778</v>
      </c>
      <c r="D4478" s="792" t="s">
        <v>779</v>
      </c>
      <c r="E4478" s="793" t="s">
        <v>662</v>
      </c>
      <c r="F4478" s="793" t="s">
        <v>900</v>
      </c>
      <c r="G4478" s="793" t="s">
        <v>794</v>
      </c>
      <c r="H4478" s="793" t="s">
        <v>828</v>
      </c>
      <c r="I4478" s="794">
        <v>1.7239680874804261E-2</v>
      </c>
      <c r="J4478" s="794">
        <v>24.840837393762353</v>
      </c>
      <c r="K4478" s="771"/>
    </row>
    <row r="4479" spans="1:11" ht="18.75" customHeight="1" outlineLevel="2">
      <c r="A4479" s="791" t="s">
        <v>776</v>
      </c>
      <c r="B4479" s="791" t="s">
        <v>1043</v>
      </c>
      <c r="C4479" s="791" t="s">
        <v>778</v>
      </c>
      <c r="D4479" s="792" t="s">
        <v>779</v>
      </c>
      <c r="E4479" s="793" t="s">
        <v>662</v>
      </c>
      <c r="F4479" s="793" t="s">
        <v>901</v>
      </c>
      <c r="G4479" s="793" t="s">
        <v>833</v>
      </c>
      <c r="H4479" s="793" t="s">
        <v>834</v>
      </c>
      <c r="I4479" s="794">
        <v>4.3324518786644763E-2</v>
      </c>
      <c r="J4479" s="794">
        <v>45.417940388303158</v>
      </c>
      <c r="K4479" s="771"/>
    </row>
    <row r="4480" spans="1:11" ht="18.75" customHeight="1" outlineLevel="2">
      <c r="A4480" s="791" t="s">
        <v>776</v>
      </c>
      <c r="B4480" s="791" t="s">
        <v>1043</v>
      </c>
      <c r="C4480" s="791" t="s">
        <v>778</v>
      </c>
      <c r="D4480" s="792" t="s">
        <v>779</v>
      </c>
      <c r="E4480" s="793" t="s">
        <v>662</v>
      </c>
      <c r="F4480" s="793" t="s">
        <v>902</v>
      </c>
      <c r="G4480" s="793" t="s">
        <v>833</v>
      </c>
      <c r="H4480" s="793" t="s">
        <v>834</v>
      </c>
      <c r="I4480" s="794">
        <v>3.7710883742812388E-4</v>
      </c>
      <c r="J4480" s="794">
        <v>0.48404826215781876</v>
      </c>
      <c r="K4480" s="771"/>
    </row>
    <row r="4481" spans="1:11" ht="18.75" customHeight="1" outlineLevel="2">
      <c r="A4481" s="791" t="s">
        <v>776</v>
      </c>
      <c r="B4481" s="791" t="s">
        <v>1043</v>
      </c>
      <c r="C4481" s="791" t="s">
        <v>778</v>
      </c>
      <c r="D4481" s="792" t="s">
        <v>779</v>
      </c>
      <c r="E4481" s="793" t="s">
        <v>662</v>
      </c>
      <c r="F4481" s="793" t="s">
        <v>903</v>
      </c>
      <c r="G4481" s="793" t="s">
        <v>904</v>
      </c>
      <c r="H4481" s="793" t="s">
        <v>905</v>
      </c>
      <c r="I4481" s="794">
        <v>2.4205489091147867</v>
      </c>
      <c r="J4481" s="794">
        <v>2059.4480722149638</v>
      </c>
      <c r="K4481" s="771"/>
    </row>
    <row r="4482" spans="1:11" ht="18.75" customHeight="1" outlineLevel="2">
      <c r="A4482" s="791" t="s">
        <v>776</v>
      </c>
      <c r="B4482" s="791" t="s">
        <v>1043</v>
      </c>
      <c r="C4482" s="791" t="s">
        <v>778</v>
      </c>
      <c r="D4482" s="792" t="s">
        <v>779</v>
      </c>
      <c r="E4482" s="793" t="s">
        <v>662</v>
      </c>
      <c r="F4482" s="793" t="s">
        <v>906</v>
      </c>
      <c r="G4482" s="793" t="s">
        <v>904</v>
      </c>
      <c r="H4482" s="793" t="s">
        <v>905</v>
      </c>
      <c r="I4482" s="794">
        <v>1.0188396431095386</v>
      </c>
      <c r="J4482" s="794">
        <v>869.18267563760617</v>
      </c>
      <c r="K4482" s="771"/>
    </row>
    <row r="4483" spans="1:11" ht="18.75" customHeight="1" outlineLevel="2">
      <c r="A4483" s="791" t="s">
        <v>776</v>
      </c>
      <c r="B4483" s="791" t="s">
        <v>1043</v>
      </c>
      <c r="C4483" s="791" t="s">
        <v>778</v>
      </c>
      <c r="D4483" s="792" t="s">
        <v>779</v>
      </c>
      <c r="E4483" s="793" t="s">
        <v>662</v>
      </c>
      <c r="F4483" s="793" t="s">
        <v>907</v>
      </c>
      <c r="G4483" s="793" t="s">
        <v>908</v>
      </c>
      <c r="H4483" s="793" t="s">
        <v>905</v>
      </c>
      <c r="I4483" s="794">
        <v>0.53742798107367462</v>
      </c>
      <c r="J4483" s="794">
        <v>904.70605939642041</v>
      </c>
      <c r="K4483" s="771"/>
    </row>
    <row r="4484" spans="1:11" ht="18.75" customHeight="1" outlineLevel="2">
      <c r="A4484" s="791" t="s">
        <v>776</v>
      </c>
      <c r="B4484" s="791" t="s">
        <v>1043</v>
      </c>
      <c r="C4484" s="791" t="s">
        <v>778</v>
      </c>
      <c r="D4484" s="792" t="s">
        <v>779</v>
      </c>
      <c r="E4484" s="793" t="s">
        <v>662</v>
      </c>
      <c r="F4484" s="793" t="s">
        <v>909</v>
      </c>
      <c r="G4484" s="793" t="s">
        <v>910</v>
      </c>
      <c r="H4484" s="793" t="s">
        <v>911</v>
      </c>
      <c r="I4484" s="794">
        <v>1.260824527984776E-4</v>
      </c>
      <c r="J4484" s="794">
        <v>0.18879500801690588</v>
      </c>
      <c r="K4484" s="771"/>
    </row>
    <row r="4485" spans="1:11" ht="18.75" customHeight="1" outlineLevel="2">
      <c r="A4485" s="791" t="s">
        <v>776</v>
      </c>
      <c r="B4485" s="791" t="s">
        <v>1043</v>
      </c>
      <c r="C4485" s="791" t="s">
        <v>778</v>
      </c>
      <c r="D4485" s="792" t="s">
        <v>779</v>
      </c>
      <c r="E4485" s="793" t="s">
        <v>763</v>
      </c>
      <c r="F4485" s="793" t="s">
        <v>912</v>
      </c>
      <c r="G4485" s="793" t="s">
        <v>799</v>
      </c>
      <c r="H4485" s="793" t="s">
        <v>913</v>
      </c>
      <c r="I4485" s="794">
        <v>3.845308853103403E-3</v>
      </c>
      <c r="J4485" s="794">
        <v>7.3639532715053093</v>
      </c>
      <c r="K4485" s="771"/>
    </row>
    <row r="4486" spans="1:11" ht="18.75" customHeight="1" outlineLevel="2">
      <c r="A4486" s="791" t="s">
        <v>776</v>
      </c>
      <c r="B4486" s="791" t="s">
        <v>1043</v>
      </c>
      <c r="C4486" s="791" t="s">
        <v>778</v>
      </c>
      <c r="D4486" s="792" t="s">
        <v>779</v>
      </c>
      <c r="E4486" s="793" t="s">
        <v>763</v>
      </c>
      <c r="F4486" s="793" t="s">
        <v>914</v>
      </c>
      <c r="G4486" s="793" t="s">
        <v>782</v>
      </c>
      <c r="H4486" s="793" t="s">
        <v>913</v>
      </c>
      <c r="I4486" s="794">
        <v>2.2975917649869688E-4</v>
      </c>
      <c r="J4486" s="794">
        <v>1.0695280519083818</v>
      </c>
      <c r="K4486" s="771"/>
    </row>
    <row r="4487" spans="1:11" ht="18.75" customHeight="1" outlineLevel="2">
      <c r="A4487" s="791" t="s">
        <v>776</v>
      </c>
      <c r="B4487" s="791" t="s">
        <v>1043</v>
      </c>
      <c r="C4487" s="791" t="s">
        <v>778</v>
      </c>
      <c r="D4487" s="792" t="s">
        <v>779</v>
      </c>
      <c r="E4487" s="793" t="s">
        <v>763</v>
      </c>
      <c r="F4487" s="793" t="s">
        <v>915</v>
      </c>
      <c r="G4487" s="793" t="s">
        <v>782</v>
      </c>
      <c r="H4487" s="793" t="s">
        <v>913</v>
      </c>
      <c r="I4487" s="794">
        <v>1.2322721908435309E-4</v>
      </c>
      <c r="J4487" s="794">
        <v>1.78862612688516</v>
      </c>
      <c r="K4487" s="771"/>
    </row>
    <row r="4488" spans="1:11" ht="18.75" customHeight="1" outlineLevel="2">
      <c r="A4488" s="791" t="s">
        <v>776</v>
      </c>
      <c r="B4488" s="791" t="s">
        <v>1043</v>
      </c>
      <c r="C4488" s="791" t="s">
        <v>778</v>
      </c>
      <c r="D4488" s="792" t="s">
        <v>779</v>
      </c>
      <c r="E4488" s="793" t="s">
        <v>763</v>
      </c>
      <c r="F4488" s="793" t="s">
        <v>916</v>
      </c>
      <c r="G4488" s="793" t="s">
        <v>782</v>
      </c>
      <c r="H4488" s="793" t="s">
        <v>913</v>
      </c>
      <c r="I4488" s="794">
        <v>1.8270360898315485E-4</v>
      </c>
      <c r="J4488" s="794">
        <v>0.31586973746527891</v>
      </c>
      <c r="K4488" s="771"/>
    </row>
    <row r="4489" spans="1:11" ht="18.75" customHeight="1" outlineLevel="2">
      <c r="A4489" s="791" t="s">
        <v>776</v>
      </c>
      <c r="B4489" s="791" t="s">
        <v>1043</v>
      </c>
      <c r="C4489" s="791" t="s">
        <v>778</v>
      </c>
      <c r="D4489" s="792" t="s">
        <v>779</v>
      </c>
      <c r="E4489" s="793" t="s">
        <v>763</v>
      </c>
      <c r="F4489" s="793" t="s">
        <v>917</v>
      </c>
      <c r="G4489" s="793" t="s">
        <v>782</v>
      </c>
      <c r="H4489" s="793" t="s">
        <v>913</v>
      </c>
      <c r="I4489" s="794">
        <v>3.3449216972910068E-5</v>
      </c>
      <c r="J4489" s="794">
        <v>0.18312406548848004</v>
      </c>
      <c r="K4489" s="771"/>
    </row>
    <row r="4490" spans="1:11" ht="18.75" customHeight="1" outlineLevel="2">
      <c r="A4490" s="791" t="s">
        <v>776</v>
      </c>
      <c r="B4490" s="791" t="s">
        <v>1043</v>
      </c>
      <c r="C4490" s="791" t="s">
        <v>778</v>
      </c>
      <c r="D4490" s="792" t="s">
        <v>779</v>
      </c>
      <c r="E4490" s="793" t="s">
        <v>763</v>
      </c>
      <c r="F4490" s="793" t="s">
        <v>918</v>
      </c>
      <c r="G4490" s="793" t="s">
        <v>782</v>
      </c>
      <c r="H4490" s="793" t="s">
        <v>913</v>
      </c>
      <c r="I4490" s="794">
        <v>7.4034707245899164E-4</v>
      </c>
      <c r="J4490" s="794">
        <v>3.307637574286483</v>
      </c>
      <c r="K4490" s="771"/>
    </row>
    <row r="4491" spans="1:11" ht="18.75" customHeight="1" outlineLevel="2">
      <c r="A4491" s="791" t="s">
        <v>776</v>
      </c>
      <c r="B4491" s="791" t="s">
        <v>1043</v>
      </c>
      <c r="C4491" s="791" t="s">
        <v>778</v>
      </c>
      <c r="D4491" s="792" t="s">
        <v>779</v>
      </c>
      <c r="E4491" s="793" t="s">
        <v>763</v>
      </c>
      <c r="F4491" s="793" t="s">
        <v>919</v>
      </c>
      <c r="G4491" s="793" t="s">
        <v>782</v>
      </c>
      <c r="H4491" s="793" t="s">
        <v>913</v>
      </c>
      <c r="I4491" s="794">
        <v>1.4161512785694132E-3</v>
      </c>
      <c r="J4491" s="794">
        <v>1.6613563860809095</v>
      </c>
      <c r="K4491" s="771"/>
    </row>
    <row r="4492" spans="1:11" ht="18.75" customHeight="1" outlineLevel="2">
      <c r="A4492" s="791" t="s">
        <v>776</v>
      </c>
      <c r="B4492" s="791" t="s">
        <v>1043</v>
      </c>
      <c r="C4492" s="791" t="s">
        <v>778</v>
      </c>
      <c r="D4492" s="792" t="s">
        <v>779</v>
      </c>
      <c r="E4492" s="793" t="s">
        <v>763</v>
      </c>
      <c r="F4492" s="793" t="s">
        <v>920</v>
      </c>
      <c r="G4492" s="793" t="s">
        <v>782</v>
      </c>
      <c r="H4492" s="793" t="s">
        <v>913</v>
      </c>
      <c r="I4492" s="794">
        <v>1.5381258272852461E-4</v>
      </c>
      <c r="J4492" s="794">
        <v>3.0601731910601311</v>
      </c>
      <c r="K4492" s="771"/>
    </row>
    <row r="4493" spans="1:11" ht="18.75" customHeight="1" outlineLevel="2">
      <c r="A4493" s="791" t="s">
        <v>776</v>
      </c>
      <c r="B4493" s="791" t="s">
        <v>1043</v>
      </c>
      <c r="C4493" s="791" t="s">
        <v>778</v>
      </c>
      <c r="D4493" s="792" t="s">
        <v>779</v>
      </c>
      <c r="E4493" s="793" t="s">
        <v>763</v>
      </c>
      <c r="F4493" s="793" t="s">
        <v>921</v>
      </c>
      <c r="G4493" s="793" t="s">
        <v>782</v>
      </c>
      <c r="H4493" s="793" t="s">
        <v>913</v>
      </c>
      <c r="I4493" s="794">
        <v>7.1388397274167303E-4</v>
      </c>
      <c r="J4493" s="794">
        <v>1.2469208837673449</v>
      </c>
      <c r="K4493" s="771"/>
    </row>
    <row r="4494" spans="1:11" ht="18.75" customHeight="1" outlineLevel="2">
      <c r="A4494" s="791" t="s">
        <v>776</v>
      </c>
      <c r="B4494" s="791" t="s">
        <v>1043</v>
      </c>
      <c r="C4494" s="791" t="s">
        <v>778</v>
      </c>
      <c r="D4494" s="792" t="s">
        <v>779</v>
      </c>
      <c r="E4494" s="793" t="s">
        <v>763</v>
      </c>
      <c r="F4494" s="793" t="s">
        <v>922</v>
      </c>
      <c r="G4494" s="793" t="s">
        <v>782</v>
      </c>
      <c r="H4494" s="793" t="s">
        <v>913</v>
      </c>
      <c r="I4494" s="794">
        <v>1.0671739016713737E-4</v>
      </c>
      <c r="J4494" s="794">
        <v>0.2043703519024834</v>
      </c>
      <c r="K4494" s="771"/>
    </row>
    <row r="4495" spans="1:11" ht="18.75" customHeight="1" outlineLevel="2">
      <c r="A4495" s="791" t="s">
        <v>776</v>
      </c>
      <c r="B4495" s="791" t="s">
        <v>1043</v>
      </c>
      <c r="C4495" s="791" t="s">
        <v>778</v>
      </c>
      <c r="D4495" s="792" t="s">
        <v>779</v>
      </c>
      <c r="E4495" s="793" t="s">
        <v>763</v>
      </c>
      <c r="F4495" s="793" t="s">
        <v>923</v>
      </c>
      <c r="G4495" s="793" t="s">
        <v>782</v>
      </c>
      <c r="H4495" s="793" t="s">
        <v>913</v>
      </c>
      <c r="I4495" s="794">
        <v>5.8486587550366659E-4</v>
      </c>
      <c r="J4495" s="794">
        <v>2.1250957317857764</v>
      </c>
      <c r="K4495" s="771"/>
    </row>
    <row r="4496" spans="1:11" ht="18.75" customHeight="1" outlineLevel="2">
      <c r="A4496" s="791" t="s">
        <v>776</v>
      </c>
      <c r="B4496" s="791" t="s">
        <v>1043</v>
      </c>
      <c r="C4496" s="791" t="s">
        <v>778</v>
      </c>
      <c r="D4496" s="792" t="s">
        <v>779</v>
      </c>
      <c r="E4496" s="793" t="s">
        <v>763</v>
      </c>
      <c r="F4496" s="793" t="s">
        <v>924</v>
      </c>
      <c r="G4496" s="793" t="s">
        <v>782</v>
      </c>
      <c r="H4496" s="793" t="s">
        <v>913</v>
      </c>
      <c r="I4496" s="794">
        <v>4.818340199432293E-4</v>
      </c>
      <c r="J4496" s="794">
        <v>5.1316410917633624</v>
      </c>
      <c r="K4496" s="771"/>
    </row>
    <row r="4497" spans="1:11" ht="18.75" customHeight="1" outlineLevel="2">
      <c r="A4497" s="791" t="s">
        <v>776</v>
      </c>
      <c r="B4497" s="791" t="s">
        <v>1043</v>
      </c>
      <c r="C4497" s="791" t="s">
        <v>778</v>
      </c>
      <c r="D4497" s="792" t="s">
        <v>779</v>
      </c>
      <c r="E4497" s="793" t="s">
        <v>763</v>
      </c>
      <c r="F4497" s="793" t="s">
        <v>925</v>
      </c>
      <c r="G4497" s="793" t="s">
        <v>782</v>
      </c>
      <c r="H4497" s="793" t="s">
        <v>913</v>
      </c>
      <c r="I4497" s="794">
        <v>3.3904025978971815E-5</v>
      </c>
      <c r="J4497" s="794">
        <v>0.5399156408867305</v>
      </c>
      <c r="K4497" s="771"/>
    </row>
    <row r="4498" spans="1:11" ht="18.75" customHeight="1" outlineLevel="2">
      <c r="A4498" s="791" t="s">
        <v>776</v>
      </c>
      <c r="B4498" s="791" t="s">
        <v>1043</v>
      </c>
      <c r="C4498" s="791" t="s">
        <v>778</v>
      </c>
      <c r="D4498" s="792" t="s">
        <v>779</v>
      </c>
      <c r="E4498" s="793" t="s">
        <v>763</v>
      </c>
      <c r="F4498" s="793" t="s">
        <v>926</v>
      </c>
      <c r="G4498" s="793" t="s">
        <v>782</v>
      </c>
      <c r="H4498" s="793" t="s">
        <v>913</v>
      </c>
      <c r="I4498" s="794">
        <v>2.5143124738794872E-3</v>
      </c>
      <c r="J4498" s="794">
        <v>4.6223210364145544</v>
      </c>
      <c r="K4498" s="771"/>
    </row>
    <row r="4499" spans="1:11" ht="18.75" customHeight="1" outlineLevel="2">
      <c r="A4499" s="791" t="s">
        <v>776</v>
      </c>
      <c r="B4499" s="791" t="s">
        <v>1043</v>
      </c>
      <c r="C4499" s="791" t="s">
        <v>778</v>
      </c>
      <c r="D4499" s="792" t="s">
        <v>779</v>
      </c>
      <c r="E4499" s="793" t="s">
        <v>763</v>
      </c>
      <c r="F4499" s="793" t="s">
        <v>927</v>
      </c>
      <c r="G4499" s="793" t="s">
        <v>782</v>
      </c>
      <c r="H4499" s="793" t="s">
        <v>913</v>
      </c>
      <c r="I4499" s="794">
        <v>1.4014749120871374E-3</v>
      </c>
      <c r="J4499" s="794">
        <v>1.9398600104541914</v>
      </c>
      <c r="K4499" s="771"/>
    </row>
    <row r="4500" spans="1:11" ht="18.75" customHeight="1" outlineLevel="2">
      <c r="A4500" s="791" t="s">
        <v>776</v>
      </c>
      <c r="B4500" s="791" t="s">
        <v>1043</v>
      </c>
      <c r="C4500" s="791" t="s">
        <v>778</v>
      </c>
      <c r="D4500" s="792" t="s">
        <v>779</v>
      </c>
      <c r="E4500" s="793" t="s">
        <v>763</v>
      </c>
      <c r="F4500" s="793" t="s">
        <v>928</v>
      </c>
      <c r="G4500" s="793" t="s">
        <v>785</v>
      </c>
      <c r="H4500" s="793" t="s">
        <v>913</v>
      </c>
      <c r="I4500" s="794">
        <v>1.5244993853192659E-2</v>
      </c>
      <c r="J4500" s="794">
        <v>46.930042196157508</v>
      </c>
      <c r="K4500" s="771"/>
    </row>
    <row r="4501" spans="1:11" ht="18.75" customHeight="1" outlineLevel="2">
      <c r="A4501" s="791" t="s">
        <v>776</v>
      </c>
      <c r="B4501" s="791" t="s">
        <v>1043</v>
      </c>
      <c r="C4501" s="791" t="s">
        <v>778</v>
      </c>
      <c r="D4501" s="792" t="s">
        <v>779</v>
      </c>
      <c r="E4501" s="793" t="s">
        <v>763</v>
      </c>
      <c r="F4501" s="793" t="s">
        <v>929</v>
      </c>
      <c r="G4501" s="793" t="s">
        <v>785</v>
      </c>
      <c r="H4501" s="793" t="s">
        <v>913</v>
      </c>
      <c r="I4501" s="794">
        <v>0.30308083285377674</v>
      </c>
      <c r="J4501" s="794">
        <v>4268.8009808945844</v>
      </c>
      <c r="K4501" s="771"/>
    </row>
    <row r="4502" spans="1:11" ht="18.75" customHeight="1" outlineLevel="2">
      <c r="A4502" s="791" t="s">
        <v>776</v>
      </c>
      <c r="B4502" s="791" t="s">
        <v>1043</v>
      </c>
      <c r="C4502" s="791" t="s">
        <v>778</v>
      </c>
      <c r="D4502" s="792" t="s">
        <v>779</v>
      </c>
      <c r="E4502" s="793" t="s">
        <v>763</v>
      </c>
      <c r="F4502" s="793" t="s">
        <v>930</v>
      </c>
      <c r="G4502" s="793" t="s">
        <v>785</v>
      </c>
      <c r="H4502" s="793" t="s">
        <v>913</v>
      </c>
      <c r="I4502" s="794">
        <v>1.8043916193506225E-3</v>
      </c>
      <c r="J4502" s="794">
        <v>31.800921157814876</v>
      </c>
      <c r="K4502" s="771"/>
    </row>
    <row r="4503" spans="1:11" ht="18.75" customHeight="1" outlineLevel="2">
      <c r="A4503" s="791" t="s">
        <v>776</v>
      </c>
      <c r="B4503" s="791" t="s">
        <v>1043</v>
      </c>
      <c r="C4503" s="791" t="s">
        <v>778</v>
      </c>
      <c r="D4503" s="792" t="s">
        <v>779</v>
      </c>
      <c r="E4503" s="793" t="s">
        <v>763</v>
      </c>
      <c r="F4503" s="793" t="s">
        <v>931</v>
      </c>
      <c r="G4503" s="793" t="s">
        <v>785</v>
      </c>
      <c r="H4503" s="793" t="s">
        <v>913</v>
      </c>
      <c r="I4503" s="794">
        <v>6.0360486256246155E-4</v>
      </c>
      <c r="J4503" s="794">
        <v>10.031143145068187</v>
      </c>
      <c r="K4503" s="771"/>
    </row>
    <row r="4504" spans="1:11" ht="18.75" customHeight="1" outlineLevel="2">
      <c r="A4504" s="791" t="s">
        <v>776</v>
      </c>
      <c r="B4504" s="791" t="s">
        <v>1043</v>
      </c>
      <c r="C4504" s="791" t="s">
        <v>778</v>
      </c>
      <c r="D4504" s="792" t="s">
        <v>779</v>
      </c>
      <c r="E4504" s="793" t="s">
        <v>763</v>
      </c>
      <c r="F4504" s="793" t="s">
        <v>932</v>
      </c>
      <c r="G4504" s="793" t="s">
        <v>785</v>
      </c>
      <c r="H4504" s="793" t="s">
        <v>913</v>
      </c>
      <c r="I4504" s="794">
        <v>6.4449978520577376E-4</v>
      </c>
      <c r="J4504" s="794">
        <v>2.4773937241408195</v>
      </c>
      <c r="K4504" s="771"/>
    </row>
    <row r="4505" spans="1:11" ht="18.75" customHeight="1" outlineLevel="2">
      <c r="A4505" s="791" t="s">
        <v>776</v>
      </c>
      <c r="B4505" s="791" t="s">
        <v>1043</v>
      </c>
      <c r="C4505" s="791" t="s">
        <v>778</v>
      </c>
      <c r="D4505" s="792" t="s">
        <v>779</v>
      </c>
      <c r="E4505" s="793" t="s">
        <v>763</v>
      </c>
      <c r="F4505" s="793" t="s">
        <v>933</v>
      </c>
      <c r="G4505" s="793" t="s">
        <v>785</v>
      </c>
      <c r="H4505" s="793" t="s">
        <v>913</v>
      </c>
      <c r="I4505" s="794">
        <v>9.0463518446452611E-4</v>
      </c>
      <c r="J4505" s="794">
        <v>19.702145101777234</v>
      </c>
      <c r="K4505" s="771"/>
    </row>
    <row r="4506" spans="1:11" ht="18.75" customHeight="1" outlineLevel="2">
      <c r="A4506" s="791" t="s">
        <v>776</v>
      </c>
      <c r="B4506" s="791" t="s">
        <v>1043</v>
      </c>
      <c r="C4506" s="791" t="s">
        <v>778</v>
      </c>
      <c r="D4506" s="792" t="s">
        <v>779</v>
      </c>
      <c r="E4506" s="793" t="s">
        <v>763</v>
      </c>
      <c r="F4506" s="793" t="s">
        <v>934</v>
      </c>
      <c r="G4506" s="793" t="s">
        <v>813</v>
      </c>
      <c r="H4506" s="793" t="s">
        <v>913</v>
      </c>
      <c r="I4506" s="794">
        <v>2.1600788164908504E-3</v>
      </c>
      <c r="J4506" s="794">
        <v>32.734483936175117</v>
      </c>
      <c r="K4506" s="771"/>
    </row>
    <row r="4507" spans="1:11" ht="18.75" customHeight="1" outlineLevel="2">
      <c r="A4507" s="791" t="s">
        <v>776</v>
      </c>
      <c r="B4507" s="791" t="s">
        <v>1043</v>
      </c>
      <c r="C4507" s="791" t="s">
        <v>778</v>
      </c>
      <c r="D4507" s="792" t="s">
        <v>779</v>
      </c>
      <c r="E4507" s="793" t="s">
        <v>763</v>
      </c>
      <c r="F4507" s="793" t="s">
        <v>935</v>
      </c>
      <c r="G4507" s="793" t="s">
        <v>791</v>
      </c>
      <c r="H4507" s="793" t="s">
        <v>913</v>
      </c>
      <c r="I4507" s="794">
        <v>3.0810504516870594E-5</v>
      </c>
      <c r="J4507" s="794">
        <v>3.8823759057108331E-2</v>
      </c>
      <c r="K4507" s="771"/>
    </row>
    <row r="4508" spans="1:11" ht="18.75" customHeight="1" outlineLevel="2">
      <c r="A4508" s="791" t="s">
        <v>776</v>
      </c>
      <c r="B4508" s="791" t="s">
        <v>1043</v>
      </c>
      <c r="C4508" s="791" t="s">
        <v>778</v>
      </c>
      <c r="D4508" s="792" t="s">
        <v>779</v>
      </c>
      <c r="E4508" s="793" t="s">
        <v>763</v>
      </c>
      <c r="F4508" s="793" t="s">
        <v>936</v>
      </c>
      <c r="G4508" s="793" t="s">
        <v>791</v>
      </c>
      <c r="H4508" s="793" t="s">
        <v>913</v>
      </c>
      <c r="I4508" s="794">
        <v>4.4641596359792986E-6</v>
      </c>
      <c r="J4508" s="794">
        <v>7.561777629766428E-2</v>
      </c>
      <c r="K4508" s="771"/>
    </row>
    <row r="4509" spans="1:11" ht="18.75" customHeight="1" outlineLevel="2">
      <c r="A4509" s="791" t="s">
        <v>776</v>
      </c>
      <c r="B4509" s="791" t="s">
        <v>1043</v>
      </c>
      <c r="C4509" s="791" t="s">
        <v>778</v>
      </c>
      <c r="D4509" s="792" t="s">
        <v>779</v>
      </c>
      <c r="E4509" s="793" t="s">
        <v>763</v>
      </c>
      <c r="F4509" s="793" t="s">
        <v>937</v>
      </c>
      <c r="G4509" s="793" t="s">
        <v>794</v>
      </c>
      <c r="H4509" s="793" t="s">
        <v>913</v>
      </c>
      <c r="I4509" s="794">
        <v>4.6118065195293587E-2</v>
      </c>
      <c r="J4509" s="794">
        <v>113.23469529612494</v>
      </c>
      <c r="K4509" s="771"/>
    </row>
    <row r="4510" spans="1:11" ht="18.75" customHeight="1" outlineLevel="2">
      <c r="A4510" s="791" t="s">
        <v>776</v>
      </c>
      <c r="B4510" s="791" t="s">
        <v>1043</v>
      </c>
      <c r="C4510" s="791" t="s">
        <v>778</v>
      </c>
      <c r="D4510" s="792" t="s">
        <v>779</v>
      </c>
      <c r="E4510" s="793" t="s">
        <v>763</v>
      </c>
      <c r="F4510" s="793" t="s">
        <v>938</v>
      </c>
      <c r="G4510" s="793" t="s">
        <v>794</v>
      </c>
      <c r="H4510" s="793" t="s">
        <v>913</v>
      </c>
      <c r="I4510" s="794">
        <v>5.4265410064655174E-3</v>
      </c>
      <c r="J4510" s="794">
        <v>24.7856470554878</v>
      </c>
      <c r="K4510" s="771"/>
    </row>
    <row r="4511" spans="1:11" ht="18.75" customHeight="1" outlineLevel="2">
      <c r="A4511" s="791" t="s">
        <v>776</v>
      </c>
      <c r="B4511" s="791" t="s">
        <v>1043</v>
      </c>
      <c r="C4511" s="791" t="s">
        <v>778</v>
      </c>
      <c r="D4511" s="792" t="s">
        <v>779</v>
      </c>
      <c r="E4511" s="793" t="s">
        <v>763</v>
      </c>
      <c r="F4511" s="793" t="s">
        <v>939</v>
      </c>
      <c r="G4511" s="793" t="s">
        <v>794</v>
      </c>
      <c r="H4511" s="793" t="s">
        <v>913</v>
      </c>
      <c r="I4511" s="794">
        <v>2.8294463534376223E-3</v>
      </c>
      <c r="J4511" s="794">
        <v>28.941556153153279</v>
      </c>
      <c r="K4511" s="771"/>
    </row>
    <row r="4512" spans="1:11" ht="18.75" customHeight="1" outlineLevel="2">
      <c r="A4512" s="791" t="s">
        <v>776</v>
      </c>
      <c r="B4512" s="791" t="s">
        <v>1043</v>
      </c>
      <c r="C4512" s="791" t="s">
        <v>778</v>
      </c>
      <c r="D4512" s="792" t="s">
        <v>779</v>
      </c>
      <c r="E4512" s="793" t="s">
        <v>763</v>
      </c>
      <c r="F4512" s="793" t="s">
        <v>940</v>
      </c>
      <c r="G4512" s="793" t="s">
        <v>794</v>
      </c>
      <c r="H4512" s="793" t="s">
        <v>913</v>
      </c>
      <c r="I4512" s="794">
        <v>4.6841307916932829E-3</v>
      </c>
      <c r="J4512" s="794">
        <v>35.970128869048921</v>
      </c>
      <c r="K4512" s="771"/>
    </row>
    <row r="4513" spans="1:11" ht="18.75" customHeight="1" outlineLevel="2">
      <c r="A4513" s="791" t="s">
        <v>776</v>
      </c>
      <c r="B4513" s="791" t="s">
        <v>1043</v>
      </c>
      <c r="C4513" s="791" t="s">
        <v>778</v>
      </c>
      <c r="D4513" s="792" t="s">
        <v>779</v>
      </c>
      <c r="E4513" s="793" t="s">
        <v>763</v>
      </c>
      <c r="F4513" s="793" t="s">
        <v>941</v>
      </c>
      <c r="G4513" s="793" t="s">
        <v>794</v>
      </c>
      <c r="H4513" s="793" t="s">
        <v>913</v>
      </c>
      <c r="I4513" s="794">
        <v>1.6214659807165183E-4</v>
      </c>
      <c r="J4513" s="794">
        <v>0.48921354234766545</v>
      </c>
      <c r="K4513" s="771"/>
    </row>
    <row r="4514" spans="1:11" ht="18.75" customHeight="1" outlineLevel="2">
      <c r="A4514" s="791" t="s">
        <v>776</v>
      </c>
      <c r="B4514" s="791" t="s">
        <v>1043</v>
      </c>
      <c r="C4514" s="791" t="s">
        <v>778</v>
      </c>
      <c r="D4514" s="792" t="s">
        <v>779</v>
      </c>
      <c r="E4514" s="793" t="s">
        <v>763</v>
      </c>
      <c r="F4514" s="793" t="s">
        <v>942</v>
      </c>
      <c r="G4514" s="793" t="s">
        <v>794</v>
      </c>
      <c r="H4514" s="793" t="s">
        <v>913</v>
      </c>
      <c r="I4514" s="794">
        <v>3.8436525117555737E-5</v>
      </c>
      <c r="J4514" s="794">
        <v>0.44416369234520736</v>
      </c>
      <c r="K4514" s="771"/>
    </row>
    <row r="4515" spans="1:11" ht="18.75" customHeight="1" outlineLevel="2">
      <c r="A4515" s="791" t="s">
        <v>776</v>
      </c>
      <c r="B4515" s="791" t="s">
        <v>1043</v>
      </c>
      <c r="C4515" s="791" t="s">
        <v>778</v>
      </c>
      <c r="D4515" s="792" t="s">
        <v>779</v>
      </c>
      <c r="E4515" s="793" t="s">
        <v>763</v>
      </c>
      <c r="F4515" s="793" t="s">
        <v>943</v>
      </c>
      <c r="G4515" s="793" t="s">
        <v>944</v>
      </c>
      <c r="H4515" s="793" t="s">
        <v>913</v>
      </c>
      <c r="I4515" s="794">
        <v>1.3265109170854409E-6</v>
      </c>
      <c r="J4515" s="794">
        <v>5.7309824787437572E-3</v>
      </c>
      <c r="K4515" s="771"/>
    </row>
    <row r="4516" spans="1:11" ht="18.75" customHeight="1" outlineLevel="2">
      <c r="A4516" s="791" t="s">
        <v>776</v>
      </c>
      <c r="B4516" s="791" t="s">
        <v>1043</v>
      </c>
      <c r="C4516" s="791" t="s">
        <v>778</v>
      </c>
      <c r="D4516" s="792" t="s">
        <v>779</v>
      </c>
      <c r="E4516" s="793" t="s">
        <v>764</v>
      </c>
      <c r="F4516" s="793" t="s">
        <v>945</v>
      </c>
      <c r="G4516" s="793" t="s">
        <v>244</v>
      </c>
      <c r="H4516" s="793" t="s">
        <v>905</v>
      </c>
      <c r="I4516" s="794">
        <v>1.9100596611007582E-2</v>
      </c>
      <c r="J4516" s="794">
        <v>687.44544272926032</v>
      </c>
      <c r="K4516" s="771"/>
    </row>
    <row r="4517" spans="1:11" ht="18.75" customHeight="1" outlineLevel="2">
      <c r="A4517" s="791" t="s">
        <v>776</v>
      </c>
      <c r="B4517" s="791" t="s">
        <v>1043</v>
      </c>
      <c r="C4517" s="791" t="s">
        <v>778</v>
      </c>
      <c r="D4517" s="792" t="s">
        <v>779</v>
      </c>
      <c r="E4517" s="793" t="s">
        <v>764</v>
      </c>
      <c r="F4517" s="793" t="s">
        <v>946</v>
      </c>
      <c r="G4517" s="793" t="s">
        <v>244</v>
      </c>
      <c r="H4517" s="793" t="s">
        <v>905</v>
      </c>
      <c r="I4517" s="794">
        <v>2.1482492150582918E-4</v>
      </c>
      <c r="J4517" s="794">
        <v>4.0751053032866862</v>
      </c>
      <c r="K4517" s="771"/>
    </row>
    <row r="4518" spans="1:11" ht="18.75" customHeight="1" outlineLevel="2">
      <c r="A4518" s="791" t="s">
        <v>776</v>
      </c>
      <c r="B4518" s="791" t="s">
        <v>1043</v>
      </c>
      <c r="C4518" s="791" t="s">
        <v>778</v>
      </c>
      <c r="D4518" s="792" t="s">
        <v>779</v>
      </c>
      <c r="E4518" s="793" t="s">
        <v>947</v>
      </c>
      <c r="F4518" s="793" t="s">
        <v>948</v>
      </c>
      <c r="G4518" s="793" t="s">
        <v>799</v>
      </c>
      <c r="H4518" s="793" t="s">
        <v>800</v>
      </c>
      <c r="I4518" s="794">
        <v>4.6617266909343138E-3</v>
      </c>
      <c r="J4518" s="794">
        <v>115.24447296446012</v>
      </c>
      <c r="K4518" s="771"/>
    </row>
    <row r="4519" spans="1:11" ht="18.75" customHeight="1" outlineLevel="2">
      <c r="A4519" s="791" t="s">
        <v>776</v>
      </c>
      <c r="B4519" s="791" t="s">
        <v>1043</v>
      </c>
      <c r="C4519" s="791" t="s">
        <v>778</v>
      </c>
      <c r="D4519" s="792" t="s">
        <v>779</v>
      </c>
      <c r="E4519" s="793" t="s">
        <v>947</v>
      </c>
      <c r="F4519" s="793" t="s">
        <v>949</v>
      </c>
      <c r="G4519" s="793" t="s">
        <v>782</v>
      </c>
      <c r="H4519" s="793" t="s">
        <v>804</v>
      </c>
      <c r="I4519" s="794">
        <v>2.1933131103561258E-3</v>
      </c>
      <c r="J4519" s="794">
        <v>127.91497429225744</v>
      </c>
      <c r="K4519" s="771"/>
    </row>
    <row r="4520" spans="1:11" ht="18.75" customHeight="1" outlineLevel="2">
      <c r="A4520" s="791" t="s">
        <v>776</v>
      </c>
      <c r="B4520" s="791" t="s">
        <v>1043</v>
      </c>
      <c r="C4520" s="791" t="s">
        <v>778</v>
      </c>
      <c r="D4520" s="792" t="s">
        <v>779</v>
      </c>
      <c r="E4520" s="793" t="s">
        <v>947</v>
      </c>
      <c r="F4520" s="793" t="s">
        <v>950</v>
      </c>
      <c r="G4520" s="793" t="s">
        <v>782</v>
      </c>
      <c r="H4520" s="793" t="s">
        <v>804</v>
      </c>
      <c r="I4520" s="794">
        <v>1.8858750785362985E-5</v>
      </c>
      <c r="J4520" s="794">
        <v>0.20830676806131473</v>
      </c>
      <c r="K4520" s="771"/>
    </row>
    <row r="4521" spans="1:11" ht="18.75" customHeight="1" outlineLevel="2">
      <c r="A4521" s="791" t="s">
        <v>776</v>
      </c>
      <c r="B4521" s="791" t="s">
        <v>1043</v>
      </c>
      <c r="C4521" s="791" t="s">
        <v>778</v>
      </c>
      <c r="D4521" s="792" t="s">
        <v>779</v>
      </c>
      <c r="E4521" s="793" t="s">
        <v>947</v>
      </c>
      <c r="F4521" s="793" t="s">
        <v>951</v>
      </c>
      <c r="G4521" s="793" t="s">
        <v>782</v>
      </c>
      <c r="H4521" s="793" t="s">
        <v>804</v>
      </c>
      <c r="I4521" s="794">
        <v>2.7350054400991961E-4</v>
      </c>
      <c r="J4521" s="794">
        <v>3.4313807359754094</v>
      </c>
      <c r="K4521" s="771"/>
    </row>
    <row r="4522" spans="1:11" ht="18.75" customHeight="1" outlineLevel="2">
      <c r="A4522" s="791" t="s">
        <v>776</v>
      </c>
      <c r="B4522" s="791" t="s">
        <v>1043</v>
      </c>
      <c r="C4522" s="791" t="s">
        <v>778</v>
      </c>
      <c r="D4522" s="792" t="s">
        <v>779</v>
      </c>
      <c r="E4522" s="793" t="s">
        <v>947</v>
      </c>
      <c r="F4522" s="793" t="s">
        <v>952</v>
      </c>
      <c r="G4522" s="793" t="s">
        <v>782</v>
      </c>
      <c r="H4522" s="793" t="s">
        <v>804</v>
      </c>
      <c r="I4522" s="794">
        <v>6.2456679202369404E-3</v>
      </c>
      <c r="J4522" s="794">
        <v>320.19046907502917</v>
      </c>
      <c r="K4522" s="771"/>
    </row>
    <row r="4523" spans="1:11" ht="18.75" customHeight="1" outlineLevel="2">
      <c r="A4523" s="791" t="s">
        <v>776</v>
      </c>
      <c r="B4523" s="791" t="s">
        <v>1043</v>
      </c>
      <c r="C4523" s="791" t="s">
        <v>778</v>
      </c>
      <c r="D4523" s="792" t="s">
        <v>779</v>
      </c>
      <c r="E4523" s="793" t="s">
        <v>947</v>
      </c>
      <c r="F4523" s="793" t="s">
        <v>953</v>
      </c>
      <c r="G4523" s="793" t="s">
        <v>782</v>
      </c>
      <c r="H4523" s="793" t="s">
        <v>804</v>
      </c>
      <c r="I4523" s="794">
        <v>4.7412560571536543E-3</v>
      </c>
      <c r="J4523" s="794">
        <v>348.38896609341919</v>
      </c>
      <c r="K4523" s="771"/>
    </row>
    <row r="4524" spans="1:11" ht="18.75" customHeight="1" outlineLevel="2">
      <c r="A4524" s="791" t="s">
        <v>776</v>
      </c>
      <c r="B4524" s="791" t="s">
        <v>1043</v>
      </c>
      <c r="C4524" s="791" t="s">
        <v>778</v>
      </c>
      <c r="D4524" s="792" t="s">
        <v>779</v>
      </c>
      <c r="E4524" s="793" t="s">
        <v>947</v>
      </c>
      <c r="F4524" s="793" t="s">
        <v>954</v>
      </c>
      <c r="G4524" s="793" t="s">
        <v>782</v>
      </c>
      <c r="H4524" s="793" t="s">
        <v>804</v>
      </c>
      <c r="I4524" s="794">
        <v>5.3566278372427364E-4</v>
      </c>
      <c r="J4524" s="794">
        <v>19.237384798029847</v>
      </c>
      <c r="K4524" s="771"/>
    </row>
    <row r="4525" spans="1:11" ht="18.75" customHeight="1" outlineLevel="2">
      <c r="A4525" s="791" t="s">
        <v>776</v>
      </c>
      <c r="B4525" s="791" t="s">
        <v>1043</v>
      </c>
      <c r="C4525" s="791" t="s">
        <v>778</v>
      </c>
      <c r="D4525" s="792" t="s">
        <v>779</v>
      </c>
      <c r="E4525" s="793" t="s">
        <v>947</v>
      </c>
      <c r="F4525" s="793" t="s">
        <v>955</v>
      </c>
      <c r="G4525" s="793" t="s">
        <v>782</v>
      </c>
      <c r="H4525" s="793" t="s">
        <v>804</v>
      </c>
      <c r="I4525" s="794">
        <v>2.8491425216664145E-4</v>
      </c>
      <c r="J4525" s="794">
        <v>13.099829762959168</v>
      </c>
      <c r="K4525" s="771"/>
    </row>
    <row r="4526" spans="1:11" ht="18.75" customHeight="1" outlineLevel="2">
      <c r="A4526" s="791" t="s">
        <v>776</v>
      </c>
      <c r="B4526" s="791" t="s">
        <v>1043</v>
      </c>
      <c r="C4526" s="791" t="s">
        <v>778</v>
      </c>
      <c r="D4526" s="792" t="s">
        <v>779</v>
      </c>
      <c r="E4526" s="793" t="s">
        <v>947</v>
      </c>
      <c r="F4526" s="793" t="s">
        <v>956</v>
      </c>
      <c r="G4526" s="793" t="s">
        <v>782</v>
      </c>
      <c r="H4526" s="793" t="s">
        <v>804</v>
      </c>
      <c r="I4526" s="794">
        <v>1.5143080392491931E-3</v>
      </c>
      <c r="J4526" s="794">
        <v>35.973394648669853</v>
      </c>
      <c r="K4526" s="771"/>
    </row>
    <row r="4527" spans="1:11" ht="18.75" customHeight="1" outlineLevel="2">
      <c r="A4527" s="791" t="s">
        <v>776</v>
      </c>
      <c r="B4527" s="791" t="s">
        <v>1043</v>
      </c>
      <c r="C4527" s="791" t="s">
        <v>778</v>
      </c>
      <c r="D4527" s="792" t="s">
        <v>779</v>
      </c>
      <c r="E4527" s="793" t="s">
        <v>947</v>
      </c>
      <c r="F4527" s="793" t="s">
        <v>957</v>
      </c>
      <c r="G4527" s="793" t="s">
        <v>782</v>
      </c>
      <c r="H4527" s="793" t="s">
        <v>804</v>
      </c>
      <c r="I4527" s="794">
        <v>4.341088233776714E-3</v>
      </c>
      <c r="J4527" s="794">
        <v>153.93970804051725</v>
      </c>
      <c r="K4527" s="771"/>
    </row>
    <row r="4528" spans="1:11" ht="18.75" customHeight="1" outlineLevel="2">
      <c r="A4528" s="791" t="s">
        <v>776</v>
      </c>
      <c r="B4528" s="791" t="s">
        <v>1043</v>
      </c>
      <c r="C4528" s="791" t="s">
        <v>778</v>
      </c>
      <c r="D4528" s="792" t="s">
        <v>779</v>
      </c>
      <c r="E4528" s="793" t="s">
        <v>947</v>
      </c>
      <c r="F4528" s="793" t="s">
        <v>958</v>
      </c>
      <c r="G4528" s="793" t="s">
        <v>782</v>
      </c>
      <c r="H4528" s="793" t="s">
        <v>804</v>
      </c>
      <c r="I4528" s="794">
        <v>3.0690061337952631E-3</v>
      </c>
      <c r="J4528" s="794">
        <v>169.01624473897684</v>
      </c>
      <c r="K4528" s="771"/>
    </row>
    <row r="4529" spans="1:11" ht="18.75" customHeight="1" outlineLevel="2">
      <c r="A4529" s="791" t="s">
        <v>776</v>
      </c>
      <c r="B4529" s="791" t="s">
        <v>1043</v>
      </c>
      <c r="C4529" s="791" t="s">
        <v>778</v>
      </c>
      <c r="D4529" s="792" t="s">
        <v>779</v>
      </c>
      <c r="E4529" s="793" t="s">
        <v>947</v>
      </c>
      <c r="F4529" s="793" t="s">
        <v>959</v>
      </c>
      <c r="G4529" s="793" t="s">
        <v>782</v>
      </c>
      <c r="H4529" s="793" t="s">
        <v>804</v>
      </c>
      <c r="I4529" s="794">
        <v>1.6825715313509543E-2</v>
      </c>
      <c r="J4529" s="794">
        <v>1297.7873966026561</v>
      </c>
      <c r="K4529" s="771"/>
    </row>
    <row r="4530" spans="1:11" ht="18.75" customHeight="1" outlineLevel="2">
      <c r="A4530" s="791" t="s">
        <v>776</v>
      </c>
      <c r="B4530" s="791" t="s">
        <v>1043</v>
      </c>
      <c r="C4530" s="791" t="s">
        <v>778</v>
      </c>
      <c r="D4530" s="792" t="s">
        <v>779</v>
      </c>
      <c r="E4530" s="793" t="s">
        <v>947</v>
      </c>
      <c r="F4530" s="793" t="s">
        <v>960</v>
      </c>
      <c r="G4530" s="793" t="s">
        <v>782</v>
      </c>
      <c r="H4530" s="793" t="s">
        <v>804</v>
      </c>
      <c r="I4530" s="794">
        <v>3.5587655640256544E-4</v>
      </c>
      <c r="J4530" s="794">
        <v>10.791255404072022</v>
      </c>
      <c r="K4530" s="771"/>
    </row>
    <row r="4531" spans="1:11" ht="18.75" customHeight="1" outlineLevel="2">
      <c r="A4531" s="791" t="s">
        <v>776</v>
      </c>
      <c r="B4531" s="791" t="s">
        <v>1043</v>
      </c>
      <c r="C4531" s="791" t="s">
        <v>778</v>
      </c>
      <c r="D4531" s="792" t="s">
        <v>779</v>
      </c>
      <c r="E4531" s="793" t="s">
        <v>947</v>
      </c>
      <c r="F4531" s="793" t="s">
        <v>961</v>
      </c>
      <c r="G4531" s="793" t="s">
        <v>782</v>
      </c>
      <c r="H4531" s="793" t="s">
        <v>804</v>
      </c>
      <c r="I4531" s="794">
        <v>1.4014810500292881E-4</v>
      </c>
      <c r="J4531" s="794">
        <v>6.6075081920782344</v>
      </c>
      <c r="K4531" s="771"/>
    </row>
    <row r="4532" spans="1:11" ht="18.75" customHeight="1" outlineLevel="2">
      <c r="A4532" s="791" t="s">
        <v>776</v>
      </c>
      <c r="B4532" s="791" t="s">
        <v>1043</v>
      </c>
      <c r="C4532" s="791" t="s">
        <v>778</v>
      </c>
      <c r="D4532" s="792" t="s">
        <v>779</v>
      </c>
      <c r="E4532" s="793" t="s">
        <v>947</v>
      </c>
      <c r="F4532" s="793" t="s">
        <v>962</v>
      </c>
      <c r="G4532" s="793" t="s">
        <v>782</v>
      </c>
      <c r="H4532" s="793" t="s">
        <v>804</v>
      </c>
      <c r="I4532" s="794">
        <v>4.9650072851657083E-3</v>
      </c>
      <c r="J4532" s="794">
        <v>296.64085969810594</v>
      </c>
      <c r="K4532" s="771"/>
    </row>
    <row r="4533" spans="1:11" ht="18.75" customHeight="1" outlineLevel="2">
      <c r="A4533" s="791" t="s">
        <v>776</v>
      </c>
      <c r="B4533" s="791" t="s">
        <v>1043</v>
      </c>
      <c r="C4533" s="791" t="s">
        <v>778</v>
      </c>
      <c r="D4533" s="792" t="s">
        <v>779</v>
      </c>
      <c r="E4533" s="793" t="s">
        <v>947</v>
      </c>
      <c r="F4533" s="793" t="s">
        <v>963</v>
      </c>
      <c r="G4533" s="793" t="s">
        <v>782</v>
      </c>
      <c r="H4533" s="793" t="s">
        <v>804</v>
      </c>
      <c r="I4533" s="794">
        <v>4.268487470603345E-3</v>
      </c>
      <c r="J4533" s="794">
        <v>322.89741797736923</v>
      </c>
      <c r="K4533" s="771"/>
    </row>
    <row r="4534" spans="1:11" ht="18.75" customHeight="1" outlineLevel="2">
      <c r="A4534" s="791" t="s">
        <v>776</v>
      </c>
      <c r="B4534" s="791" t="s">
        <v>1043</v>
      </c>
      <c r="C4534" s="791" t="s">
        <v>778</v>
      </c>
      <c r="D4534" s="792" t="s">
        <v>779</v>
      </c>
      <c r="E4534" s="793" t="s">
        <v>947</v>
      </c>
      <c r="F4534" s="793" t="s">
        <v>964</v>
      </c>
      <c r="G4534" s="793" t="s">
        <v>782</v>
      </c>
      <c r="H4534" s="793" t="s">
        <v>804</v>
      </c>
      <c r="I4534" s="794">
        <v>1.5584648826906709E-2</v>
      </c>
      <c r="J4534" s="794">
        <v>1110.7213939806898</v>
      </c>
      <c r="K4534" s="771"/>
    </row>
    <row r="4535" spans="1:11" ht="18.75" customHeight="1" outlineLevel="2">
      <c r="A4535" s="791" t="s">
        <v>776</v>
      </c>
      <c r="B4535" s="791" t="s">
        <v>1043</v>
      </c>
      <c r="C4535" s="791" t="s">
        <v>778</v>
      </c>
      <c r="D4535" s="792" t="s">
        <v>779</v>
      </c>
      <c r="E4535" s="793" t="s">
        <v>947</v>
      </c>
      <c r="F4535" s="793" t="s">
        <v>965</v>
      </c>
      <c r="G4535" s="793" t="s">
        <v>782</v>
      </c>
      <c r="H4535" s="793" t="s">
        <v>804</v>
      </c>
      <c r="I4535" s="794">
        <v>1.0727710999884857E-3</v>
      </c>
      <c r="J4535" s="794">
        <v>52.228071756709404</v>
      </c>
      <c r="K4535" s="771"/>
    </row>
    <row r="4536" spans="1:11" ht="18.75" customHeight="1" outlineLevel="2">
      <c r="A4536" s="791" t="s">
        <v>776</v>
      </c>
      <c r="B4536" s="791" t="s">
        <v>1043</v>
      </c>
      <c r="C4536" s="791" t="s">
        <v>778</v>
      </c>
      <c r="D4536" s="792" t="s">
        <v>779</v>
      </c>
      <c r="E4536" s="793" t="s">
        <v>947</v>
      </c>
      <c r="F4536" s="793" t="s">
        <v>966</v>
      </c>
      <c r="G4536" s="793" t="s">
        <v>782</v>
      </c>
      <c r="H4536" s="793" t="s">
        <v>804</v>
      </c>
      <c r="I4536" s="794">
        <v>9.0206297467679032E-3</v>
      </c>
      <c r="J4536" s="794">
        <v>415.4461373038481</v>
      </c>
      <c r="K4536" s="771"/>
    </row>
    <row r="4537" spans="1:11" ht="18.75" customHeight="1" outlineLevel="2">
      <c r="A4537" s="791" t="s">
        <v>776</v>
      </c>
      <c r="B4537" s="791" t="s">
        <v>1043</v>
      </c>
      <c r="C4537" s="791" t="s">
        <v>778</v>
      </c>
      <c r="D4537" s="792" t="s">
        <v>779</v>
      </c>
      <c r="E4537" s="793" t="s">
        <v>947</v>
      </c>
      <c r="F4537" s="793" t="s">
        <v>967</v>
      </c>
      <c r="G4537" s="793" t="s">
        <v>782</v>
      </c>
      <c r="H4537" s="793" t="s">
        <v>804</v>
      </c>
      <c r="I4537" s="794">
        <v>2.204016029596707E-2</v>
      </c>
      <c r="J4537" s="794">
        <v>1412.4376366753197</v>
      </c>
      <c r="K4537" s="771"/>
    </row>
    <row r="4538" spans="1:11" ht="18.75" customHeight="1" outlineLevel="2">
      <c r="A4538" s="791" t="s">
        <v>776</v>
      </c>
      <c r="B4538" s="791" t="s">
        <v>1043</v>
      </c>
      <c r="C4538" s="791" t="s">
        <v>778</v>
      </c>
      <c r="D4538" s="792" t="s">
        <v>779</v>
      </c>
      <c r="E4538" s="793" t="s">
        <v>947</v>
      </c>
      <c r="F4538" s="793" t="s">
        <v>968</v>
      </c>
      <c r="G4538" s="793" t="s">
        <v>782</v>
      </c>
      <c r="H4538" s="793" t="s">
        <v>804</v>
      </c>
      <c r="I4538" s="794">
        <v>4.8273373061715273E-2</v>
      </c>
      <c r="J4538" s="794">
        <v>947.55263476406287</v>
      </c>
      <c r="K4538" s="771"/>
    </row>
    <row r="4539" spans="1:11" ht="18.75" customHeight="1" outlineLevel="2">
      <c r="A4539" s="791" t="s">
        <v>776</v>
      </c>
      <c r="B4539" s="791" t="s">
        <v>1043</v>
      </c>
      <c r="C4539" s="791" t="s">
        <v>778</v>
      </c>
      <c r="D4539" s="792" t="s">
        <v>779</v>
      </c>
      <c r="E4539" s="793" t="s">
        <v>947</v>
      </c>
      <c r="F4539" s="793" t="s">
        <v>969</v>
      </c>
      <c r="G4539" s="793" t="s">
        <v>782</v>
      </c>
      <c r="H4539" s="793" t="s">
        <v>804</v>
      </c>
      <c r="I4539" s="794">
        <v>1.7748975281085669E-2</v>
      </c>
      <c r="J4539" s="794">
        <v>1292.0816710607855</v>
      </c>
      <c r="K4539" s="771"/>
    </row>
    <row r="4540" spans="1:11" ht="18.75" customHeight="1" outlineLevel="2">
      <c r="A4540" s="791" t="s">
        <v>776</v>
      </c>
      <c r="B4540" s="791" t="s">
        <v>1043</v>
      </c>
      <c r="C4540" s="791" t="s">
        <v>778</v>
      </c>
      <c r="D4540" s="792" t="s">
        <v>779</v>
      </c>
      <c r="E4540" s="793" t="s">
        <v>947</v>
      </c>
      <c r="F4540" s="793" t="s">
        <v>970</v>
      </c>
      <c r="G4540" s="793" t="s">
        <v>782</v>
      </c>
      <c r="H4540" s="793" t="s">
        <v>804</v>
      </c>
      <c r="I4540" s="794">
        <v>3.2317425488897919E-2</v>
      </c>
      <c r="J4540" s="794">
        <v>743.78042889699157</v>
      </c>
      <c r="K4540" s="771"/>
    </row>
    <row r="4541" spans="1:11" ht="18.75" customHeight="1" outlineLevel="2">
      <c r="A4541" s="791" t="s">
        <v>776</v>
      </c>
      <c r="B4541" s="791" t="s">
        <v>1043</v>
      </c>
      <c r="C4541" s="791" t="s">
        <v>778</v>
      </c>
      <c r="D4541" s="792" t="s">
        <v>779</v>
      </c>
      <c r="E4541" s="793" t="s">
        <v>947</v>
      </c>
      <c r="F4541" s="793" t="s">
        <v>971</v>
      </c>
      <c r="G4541" s="793" t="s">
        <v>782</v>
      </c>
      <c r="H4541" s="793" t="s">
        <v>804</v>
      </c>
      <c r="I4541" s="794">
        <v>1.8970960184326339E-3</v>
      </c>
      <c r="J4541" s="794">
        <v>138.64194692260622</v>
      </c>
      <c r="K4541" s="771"/>
    </row>
    <row r="4542" spans="1:11" ht="18.75" customHeight="1" outlineLevel="2">
      <c r="A4542" s="791" t="s">
        <v>776</v>
      </c>
      <c r="B4542" s="791" t="s">
        <v>1043</v>
      </c>
      <c r="C4542" s="791" t="s">
        <v>778</v>
      </c>
      <c r="D4542" s="792" t="s">
        <v>779</v>
      </c>
      <c r="E4542" s="793" t="s">
        <v>947</v>
      </c>
      <c r="F4542" s="793" t="s">
        <v>972</v>
      </c>
      <c r="G4542" s="793" t="s">
        <v>782</v>
      </c>
      <c r="H4542" s="793" t="s">
        <v>804</v>
      </c>
      <c r="I4542" s="794">
        <v>9.853358076422313E-5</v>
      </c>
      <c r="J4542" s="794">
        <v>2.2746047278822403</v>
      </c>
      <c r="K4542" s="771"/>
    </row>
    <row r="4543" spans="1:11" ht="18.75" customHeight="1" outlineLevel="2">
      <c r="A4543" s="791" t="s">
        <v>776</v>
      </c>
      <c r="B4543" s="791" t="s">
        <v>1043</v>
      </c>
      <c r="C4543" s="791" t="s">
        <v>778</v>
      </c>
      <c r="D4543" s="792" t="s">
        <v>779</v>
      </c>
      <c r="E4543" s="793" t="s">
        <v>947</v>
      </c>
      <c r="F4543" s="793" t="s">
        <v>973</v>
      </c>
      <c r="G4543" s="793" t="s">
        <v>782</v>
      </c>
      <c r="H4543" s="793" t="s">
        <v>804</v>
      </c>
      <c r="I4543" s="794">
        <v>2.6900570688886132E-3</v>
      </c>
      <c r="J4543" s="794">
        <v>144.61718861193921</v>
      </c>
      <c r="K4543" s="771"/>
    </row>
    <row r="4544" spans="1:11" ht="18.75" customHeight="1" outlineLevel="2">
      <c r="A4544" s="791" t="s">
        <v>776</v>
      </c>
      <c r="B4544" s="791" t="s">
        <v>1043</v>
      </c>
      <c r="C4544" s="791" t="s">
        <v>778</v>
      </c>
      <c r="D4544" s="792" t="s">
        <v>779</v>
      </c>
      <c r="E4544" s="793" t="s">
        <v>947</v>
      </c>
      <c r="F4544" s="793" t="s">
        <v>974</v>
      </c>
      <c r="G4544" s="793" t="s">
        <v>785</v>
      </c>
      <c r="H4544" s="793" t="s">
        <v>727</v>
      </c>
      <c r="I4544" s="794">
        <v>3.1719696484697117E-3</v>
      </c>
      <c r="J4544" s="794">
        <v>76.738386243551744</v>
      </c>
      <c r="K4544" s="771"/>
    </row>
    <row r="4545" spans="1:11" ht="18.75" customHeight="1" outlineLevel="2">
      <c r="A4545" s="791" t="s">
        <v>776</v>
      </c>
      <c r="B4545" s="791" t="s">
        <v>1043</v>
      </c>
      <c r="C4545" s="791" t="s">
        <v>778</v>
      </c>
      <c r="D4545" s="792" t="s">
        <v>779</v>
      </c>
      <c r="E4545" s="793" t="s">
        <v>947</v>
      </c>
      <c r="F4545" s="793" t="s">
        <v>975</v>
      </c>
      <c r="G4545" s="793" t="s">
        <v>785</v>
      </c>
      <c r="H4545" s="793" t="s">
        <v>727</v>
      </c>
      <c r="I4545" s="794">
        <v>1.5785716604610013E-2</v>
      </c>
      <c r="J4545" s="794">
        <v>1113.2895233829549</v>
      </c>
      <c r="K4545" s="771"/>
    </row>
    <row r="4546" spans="1:11" ht="18.75" customHeight="1" outlineLevel="2">
      <c r="A4546" s="791" t="s">
        <v>776</v>
      </c>
      <c r="B4546" s="791" t="s">
        <v>1043</v>
      </c>
      <c r="C4546" s="791" t="s">
        <v>778</v>
      </c>
      <c r="D4546" s="792" t="s">
        <v>779</v>
      </c>
      <c r="E4546" s="793" t="s">
        <v>947</v>
      </c>
      <c r="F4546" s="793" t="s">
        <v>976</v>
      </c>
      <c r="G4546" s="793" t="s">
        <v>785</v>
      </c>
      <c r="H4546" s="793" t="s">
        <v>727</v>
      </c>
      <c r="I4546" s="794">
        <v>9.2732825838254401E-3</v>
      </c>
      <c r="J4546" s="794">
        <v>486.26190121355893</v>
      </c>
      <c r="K4546" s="771"/>
    </row>
    <row r="4547" spans="1:11" ht="18.75" customHeight="1" outlineLevel="2">
      <c r="A4547" s="791" t="s">
        <v>776</v>
      </c>
      <c r="B4547" s="791" t="s">
        <v>1043</v>
      </c>
      <c r="C4547" s="791" t="s">
        <v>778</v>
      </c>
      <c r="D4547" s="792" t="s">
        <v>779</v>
      </c>
      <c r="E4547" s="793" t="s">
        <v>947</v>
      </c>
      <c r="F4547" s="793" t="s">
        <v>977</v>
      </c>
      <c r="G4547" s="793" t="s">
        <v>785</v>
      </c>
      <c r="H4547" s="793" t="s">
        <v>727</v>
      </c>
      <c r="I4547" s="794">
        <v>1.0976562087290122E-2</v>
      </c>
      <c r="J4547" s="794">
        <v>493.0887027623188</v>
      </c>
      <c r="K4547" s="771"/>
    </row>
    <row r="4548" spans="1:11" ht="18.75" customHeight="1" outlineLevel="2">
      <c r="A4548" s="791" t="s">
        <v>776</v>
      </c>
      <c r="B4548" s="791" t="s">
        <v>1043</v>
      </c>
      <c r="C4548" s="791" t="s">
        <v>778</v>
      </c>
      <c r="D4548" s="792" t="s">
        <v>779</v>
      </c>
      <c r="E4548" s="793" t="s">
        <v>947</v>
      </c>
      <c r="F4548" s="793" t="s">
        <v>978</v>
      </c>
      <c r="G4548" s="793" t="s">
        <v>785</v>
      </c>
      <c r="H4548" s="793" t="s">
        <v>727</v>
      </c>
      <c r="I4548" s="794">
        <v>6.9520543691071459E-4</v>
      </c>
      <c r="J4548" s="794">
        <v>19.016541279599895</v>
      </c>
      <c r="K4548" s="771"/>
    </row>
    <row r="4549" spans="1:11" ht="18.75" customHeight="1" outlineLevel="2">
      <c r="A4549" s="791" t="s">
        <v>776</v>
      </c>
      <c r="B4549" s="791" t="s">
        <v>1043</v>
      </c>
      <c r="C4549" s="791" t="s">
        <v>778</v>
      </c>
      <c r="D4549" s="792" t="s">
        <v>779</v>
      </c>
      <c r="E4549" s="793" t="s">
        <v>947</v>
      </c>
      <c r="F4549" s="793" t="s">
        <v>979</v>
      </c>
      <c r="G4549" s="793" t="s">
        <v>785</v>
      </c>
      <c r="H4549" s="793" t="s">
        <v>727</v>
      </c>
      <c r="I4549" s="794">
        <v>4.6156088013680319E-2</v>
      </c>
      <c r="J4549" s="794">
        <v>1516.9847210700414</v>
      </c>
      <c r="K4549" s="771"/>
    </row>
    <row r="4550" spans="1:11" ht="18.75" customHeight="1" outlineLevel="2">
      <c r="A4550" s="791" t="s">
        <v>776</v>
      </c>
      <c r="B4550" s="791" t="s">
        <v>1043</v>
      </c>
      <c r="C4550" s="791" t="s">
        <v>778</v>
      </c>
      <c r="D4550" s="792" t="s">
        <v>779</v>
      </c>
      <c r="E4550" s="793" t="s">
        <v>947</v>
      </c>
      <c r="F4550" s="793" t="s">
        <v>980</v>
      </c>
      <c r="G4550" s="793" t="s">
        <v>785</v>
      </c>
      <c r="H4550" s="793" t="s">
        <v>727</v>
      </c>
      <c r="I4550" s="794">
        <v>8.6553812984271773E-3</v>
      </c>
      <c r="J4550" s="794">
        <v>701.66627817308438</v>
      </c>
      <c r="K4550" s="771"/>
    </row>
    <row r="4551" spans="1:11" ht="18.75" customHeight="1" outlineLevel="2">
      <c r="A4551" s="791" t="s">
        <v>776</v>
      </c>
      <c r="B4551" s="791" t="s">
        <v>1043</v>
      </c>
      <c r="C4551" s="791" t="s">
        <v>778</v>
      </c>
      <c r="D4551" s="792" t="s">
        <v>779</v>
      </c>
      <c r="E4551" s="793" t="s">
        <v>947</v>
      </c>
      <c r="F4551" s="793" t="s">
        <v>981</v>
      </c>
      <c r="G4551" s="793" t="s">
        <v>813</v>
      </c>
      <c r="H4551" s="793" t="s">
        <v>814</v>
      </c>
      <c r="I4551" s="794">
        <v>1.5334871985487788E-6</v>
      </c>
      <c r="J4551" s="794">
        <v>3.8435136081622176E-2</v>
      </c>
      <c r="K4551" s="771"/>
    </row>
    <row r="4552" spans="1:11" ht="18.75" customHeight="1" outlineLevel="2">
      <c r="A4552" s="791" t="s">
        <v>776</v>
      </c>
      <c r="B4552" s="791" t="s">
        <v>1043</v>
      </c>
      <c r="C4552" s="791" t="s">
        <v>778</v>
      </c>
      <c r="D4552" s="792" t="s">
        <v>779</v>
      </c>
      <c r="E4552" s="793" t="s">
        <v>947</v>
      </c>
      <c r="F4552" s="793" t="s">
        <v>983</v>
      </c>
      <c r="G4552" s="793" t="s">
        <v>813</v>
      </c>
      <c r="H4552" s="793" t="s">
        <v>814</v>
      </c>
      <c r="I4552" s="794">
        <v>1.2127800951010972E-2</v>
      </c>
      <c r="J4552" s="794">
        <v>269.42084760632457</v>
      </c>
      <c r="K4552" s="771"/>
    </row>
    <row r="4553" spans="1:11" ht="18.75" customHeight="1" outlineLevel="2">
      <c r="A4553" s="791" t="s">
        <v>776</v>
      </c>
      <c r="B4553" s="791" t="s">
        <v>1043</v>
      </c>
      <c r="C4553" s="791" t="s">
        <v>778</v>
      </c>
      <c r="D4553" s="792" t="s">
        <v>779</v>
      </c>
      <c r="E4553" s="793" t="s">
        <v>947</v>
      </c>
      <c r="F4553" s="793" t="s">
        <v>984</v>
      </c>
      <c r="G4553" s="793" t="s">
        <v>813</v>
      </c>
      <c r="H4553" s="793" t="s">
        <v>814</v>
      </c>
      <c r="I4553" s="794">
        <v>3.1893963001346456E-3</v>
      </c>
      <c r="J4553" s="794">
        <v>55.617045550778023</v>
      </c>
      <c r="K4553" s="771"/>
    </row>
    <row r="4554" spans="1:11" ht="18.75" customHeight="1" outlineLevel="2">
      <c r="A4554" s="791" t="s">
        <v>776</v>
      </c>
      <c r="B4554" s="791" t="s">
        <v>1043</v>
      </c>
      <c r="C4554" s="791" t="s">
        <v>778</v>
      </c>
      <c r="D4554" s="792" t="s">
        <v>779</v>
      </c>
      <c r="E4554" s="793" t="s">
        <v>947</v>
      </c>
      <c r="F4554" s="793" t="s">
        <v>985</v>
      </c>
      <c r="G4554" s="793" t="s">
        <v>813</v>
      </c>
      <c r="H4554" s="793" t="s">
        <v>814</v>
      </c>
      <c r="I4554" s="794">
        <v>7.5384842831096067E-3</v>
      </c>
      <c r="J4554" s="794">
        <v>367.27430594693931</v>
      </c>
      <c r="K4554" s="771"/>
    </row>
    <row r="4555" spans="1:11" ht="18.75" customHeight="1" outlineLevel="2">
      <c r="A4555" s="791" t="s">
        <v>776</v>
      </c>
      <c r="B4555" s="791" t="s">
        <v>1043</v>
      </c>
      <c r="C4555" s="791" t="s">
        <v>778</v>
      </c>
      <c r="D4555" s="792" t="s">
        <v>779</v>
      </c>
      <c r="E4555" s="793" t="s">
        <v>947</v>
      </c>
      <c r="F4555" s="793" t="s">
        <v>986</v>
      </c>
      <c r="G4555" s="793" t="s">
        <v>813</v>
      </c>
      <c r="H4555" s="793" t="s">
        <v>814</v>
      </c>
      <c r="I4555" s="794">
        <v>1.2928177870496268E-3</v>
      </c>
      <c r="J4555" s="794">
        <v>43.274162008947393</v>
      </c>
      <c r="K4555" s="771"/>
    </row>
    <row r="4556" spans="1:11" ht="18.75" customHeight="1" outlineLevel="2">
      <c r="A4556" s="791" t="s">
        <v>776</v>
      </c>
      <c r="B4556" s="791" t="s">
        <v>1043</v>
      </c>
      <c r="C4556" s="791" t="s">
        <v>778</v>
      </c>
      <c r="D4556" s="792" t="s">
        <v>779</v>
      </c>
      <c r="E4556" s="793" t="s">
        <v>947</v>
      </c>
      <c r="F4556" s="793" t="s">
        <v>987</v>
      </c>
      <c r="G4556" s="793" t="s">
        <v>813</v>
      </c>
      <c r="H4556" s="793" t="s">
        <v>814</v>
      </c>
      <c r="I4556" s="794">
        <v>3.6347391031672465E-5</v>
      </c>
      <c r="J4556" s="794">
        <v>1.0988258700068925</v>
      </c>
      <c r="K4556" s="771"/>
    </row>
    <row r="4557" spans="1:11" ht="18.75" customHeight="1" outlineLevel="2">
      <c r="A4557" s="791" t="s">
        <v>776</v>
      </c>
      <c r="B4557" s="791" t="s">
        <v>1043</v>
      </c>
      <c r="C4557" s="791" t="s">
        <v>778</v>
      </c>
      <c r="D4557" s="792" t="s">
        <v>779</v>
      </c>
      <c r="E4557" s="793" t="s">
        <v>947</v>
      </c>
      <c r="F4557" s="793" t="s">
        <v>988</v>
      </c>
      <c r="G4557" s="793" t="s">
        <v>791</v>
      </c>
      <c r="H4557" s="793" t="s">
        <v>826</v>
      </c>
      <c r="I4557" s="794">
        <v>8.8649127887928269E-6</v>
      </c>
      <c r="J4557" s="794">
        <v>7.5771994699220871E-2</v>
      </c>
      <c r="K4557" s="771"/>
    </row>
    <row r="4558" spans="1:11" ht="18.75" customHeight="1" outlineLevel="2">
      <c r="A4558" s="791" t="s">
        <v>776</v>
      </c>
      <c r="B4558" s="791" t="s">
        <v>1043</v>
      </c>
      <c r="C4558" s="791" t="s">
        <v>778</v>
      </c>
      <c r="D4558" s="792" t="s">
        <v>779</v>
      </c>
      <c r="E4558" s="793" t="s">
        <v>947</v>
      </c>
      <c r="F4558" s="793" t="s">
        <v>989</v>
      </c>
      <c r="G4558" s="793" t="s">
        <v>791</v>
      </c>
      <c r="H4558" s="793" t="s">
        <v>826</v>
      </c>
      <c r="I4558" s="794">
        <v>5.3624085627291922E-2</v>
      </c>
      <c r="J4558" s="794">
        <v>3146.2178304141744</v>
      </c>
      <c r="K4558" s="771"/>
    </row>
    <row r="4559" spans="1:11" ht="18.75" customHeight="1" outlineLevel="2">
      <c r="A4559" s="791" t="s">
        <v>776</v>
      </c>
      <c r="B4559" s="791" t="s">
        <v>1043</v>
      </c>
      <c r="C4559" s="791" t="s">
        <v>778</v>
      </c>
      <c r="D4559" s="792" t="s">
        <v>779</v>
      </c>
      <c r="E4559" s="793" t="s">
        <v>947</v>
      </c>
      <c r="F4559" s="793" t="s">
        <v>990</v>
      </c>
      <c r="G4559" s="793" t="s">
        <v>791</v>
      </c>
      <c r="H4559" s="793" t="s">
        <v>826</v>
      </c>
      <c r="I4559" s="794">
        <v>2.5594235352045789E-3</v>
      </c>
      <c r="J4559" s="794">
        <v>282.08526726860509</v>
      </c>
      <c r="K4559" s="771"/>
    </row>
    <row r="4560" spans="1:11" ht="18.75" customHeight="1" outlineLevel="2">
      <c r="A4560" s="791" t="s">
        <v>776</v>
      </c>
      <c r="B4560" s="791" t="s">
        <v>1043</v>
      </c>
      <c r="C4560" s="791" t="s">
        <v>778</v>
      </c>
      <c r="D4560" s="792" t="s">
        <v>779</v>
      </c>
      <c r="E4560" s="793" t="s">
        <v>947</v>
      </c>
      <c r="F4560" s="793" t="s">
        <v>991</v>
      </c>
      <c r="G4560" s="793" t="s">
        <v>791</v>
      </c>
      <c r="H4560" s="793" t="s">
        <v>826</v>
      </c>
      <c r="I4560" s="794">
        <v>2.0329685784923083E-5</v>
      </c>
      <c r="J4560" s="794">
        <v>1.5613618098663802</v>
      </c>
      <c r="K4560" s="771"/>
    </row>
    <row r="4561" spans="1:11" ht="18.75" customHeight="1" outlineLevel="2">
      <c r="A4561" s="791" t="s">
        <v>776</v>
      </c>
      <c r="B4561" s="791" t="s">
        <v>1043</v>
      </c>
      <c r="C4561" s="791" t="s">
        <v>778</v>
      </c>
      <c r="D4561" s="792" t="s">
        <v>779</v>
      </c>
      <c r="E4561" s="793" t="s">
        <v>947</v>
      </c>
      <c r="F4561" s="793" t="s">
        <v>992</v>
      </c>
      <c r="G4561" s="793" t="s">
        <v>791</v>
      </c>
      <c r="H4561" s="793" t="s">
        <v>826</v>
      </c>
      <c r="I4561" s="794">
        <v>3.962982560212963E-6</v>
      </c>
      <c r="J4561" s="794">
        <v>0.32799443195494443</v>
      </c>
      <c r="K4561" s="771"/>
    </row>
    <row r="4562" spans="1:11" ht="18.75" customHeight="1" outlineLevel="2">
      <c r="A4562" s="791" t="s">
        <v>776</v>
      </c>
      <c r="B4562" s="791" t="s">
        <v>1043</v>
      </c>
      <c r="C4562" s="791" t="s">
        <v>778</v>
      </c>
      <c r="D4562" s="792" t="s">
        <v>779</v>
      </c>
      <c r="E4562" s="793" t="s">
        <v>947</v>
      </c>
      <c r="F4562" s="793" t="s">
        <v>993</v>
      </c>
      <c r="G4562" s="793" t="s">
        <v>791</v>
      </c>
      <c r="H4562" s="793" t="s">
        <v>826</v>
      </c>
      <c r="I4562" s="794">
        <v>2.601693363171738E-4</v>
      </c>
      <c r="J4562" s="794">
        <v>23.922060518608589</v>
      </c>
      <c r="K4562" s="771"/>
    </row>
    <row r="4563" spans="1:11" ht="18.75" customHeight="1" outlineLevel="2">
      <c r="A4563" s="791" t="s">
        <v>776</v>
      </c>
      <c r="B4563" s="791" t="s">
        <v>1043</v>
      </c>
      <c r="C4563" s="791" t="s">
        <v>778</v>
      </c>
      <c r="D4563" s="792" t="s">
        <v>779</v>
      </c>
      <c r="E4563" s="793" t="s">
        <v>947</v>
      </c>
      <c r="F4563" s="793" t="s">
        <v>994</v>
      </c>
      <c r="G4563" s="793" t="s">
        <v>791</v>
      </c>
      <c r="H4563" s="793" t="s">
        <v>826</v>
      </c>
      <c r="I4563" s="794">
        <v>5.5006454998039307E-7</v>
      </c>
      <c r="J4563" s="794">
        <v>6.6184977503397607E-2</v>
      </c>
      <c r="K4563" s="771"/>
    </row>
    <row r="4564" spans="1:11" ht="18.75" customHeight="1" outlineLevel="2">
      <c r="A4564" s="791" t="s">
        <v>776</v>
      </c>
      <c r="B4564" s="791" t="s">
        <v>1043</v>
      </c>
      <c r="C4564" s="791" t="s">
        <v>778</v>
      </c>
      <c r="D4564" s="792" t="s">
        <v>779</v>
      </c>
      <c r="E4564" s="793" t="s">
        <v>947</v>
      </c>
      <c r="F4564" s="793" t="s">
        <v>995</v>
      </c>
      <c r="G4564" s="793" t="s">
        <v>791</v>
      </c>
      <c r="H4564" s="793" t="s">
        <v>826</v>
      </c>
      <c r="I4564" s="794">
        <v>2.3416871097250872E-4</v>
      </c>
      <c r="J4564" s="794">
        <v>22.119108801396628</v>
      </c>
      <c r="K4564" s="771"/>
    </row>
    <row r="4565" spans="1:11" ht="18.75" customHeight="1" outlineLevel="2">
      <c r="A4565" s="791" t="s">
        <v>776</v>
      </c>
      <c r="B4565" s="791" t="s">
        <v>1043</v>
      </c>
      <c r="C4565" s="791" t="s">
        <v>778</v>
      </c>
      <c r="D4565" s="792" t="s">
        <v>779</v>
      </c>
      <c r="E4565" s="793" t="s">
        <v>947</v>
      </c>
      <c r="F4565" s="793" t="s">
        <v>996</v>
      </c>
      <c r="G4565" s="793" t="s">
        <v>791</v>
      </c>
      <c r="H4565" s="793" t="s">
        <v>826</v>
      </c>
      <c r="I4565" s="794">
        <v>6.9236131090418516E-4</v>
      </c>
      <c r="J4565" s="794">
        <v>61.553845105003425</v>
      </c>
      <c r="K4565" s="771"/>
    </row>
    <row r="4566" spans="1:11" ht="18.75" customHeight="1" outlineLevel="2">
      <c r="A4566" s="791" t="s">
        <v>776</v>
      </c>
      <c r="B4566" s="791" t="s">
        <v>1043</v>
      </c>
      <c r="C4566" s="791" t="s">
        <v>778</v>
      </c>
      <c r="D4566" s="792" t="s">
        <v>779</v>
      </c>
      <c r="E4566" s="793" t="s">
        <v>947</v>
      </c>
      <c r="F4566" s="793" t="s">
        <v>997</v>
      </c>
      <c r="G4566" s="793" t="s">
        <v>791</v>
      </c>
      <c r="H4566" s="793" t="s">
        <v>826</v>
      </c>
      <c r="I4566" s="794">
        <v>1.0500480201247717E-3</v>
      </c>
      <c r="J4566" s="794">
        <v>45.388060275755727</v>
      </c>
      <c r="K4566" s="771"/>
    </row>
    <row r="4567" spans="1:11" ht="18.75" customHeight="1" outlineLevel="2">
      <c r="A4567" s="791" t="s">
        <v>776</v>
      </c>
      <c r="B4567" s="791" t="s">
        <v>1043</v>
      </c>
      <c r="C4567" s="791" t="s">
        <v>778</v>
      </c>
      <c r="D4567" s="792" t="s">
        <v>779</v>
      </c>
      <c r="E4567" s="793" t="s">
        <v>947</v>
      </c>
      <c r="F4567" s="793" t="s">
        <v>998</v>
      </c>
      <c r="G4567" s="793" t="s">
        <v>794</v>
      </c>
      <c r="H4567" s="793" t="s">
        <v>828</v>
      </c>
      <c r="I4567" s="794">
        <v>2.3547579637257274E-2</v>
      </c>
      <c r="J4567" s="794">
        <v>861.06368569840629</v>
      </c>
      <c r="K4567" s="771"/>
    </row>
    <row r="4568" spans="1:11" ht="18.75" customHeight="1" outlineLevel="2">
      <c r="A4568" s="791" t="s">
        <v>776</v>
      </c>
      <c r="B4568" s="791" t="s">
        <v>1043</v>
      </c>
      <c r="C4568" s="791" t="s">
        <v>778</v>
      </c>
      <c r="D4568" s="792" t="s">
        <v>779</v>
      </c>
      <c r="E4568" s="793" t="s">
        <v>947</v>
      </c>
      <c r="F4568" s="793" t="s">
        <v>999</v>
      </c>
      <c r="G4568" s="793" t="s">
        <v>794</v>
      </c>
      <c r="H4568" s="793" t="s">
        <v>828</v>
      </c>
      <c r="I4568" s="794">
        <v>5.5532438557667181E-3</v>
      </c>
      <c r="J4568" s="794">
        <v>203.22673997778017</v>
      </c>
      <c r="K4568" s="771"/>
    </row>
    <row r="4569" spans="1:11" ht="18.75" customHeight="1" outlineLevel="2">
      <c r="A4569" s="791" t="s">
        <v>776</v>
      </c>
      <c r="B4569" s="791" t="s">
        <v>1043</v>
      </c>
      <c r="C4569" s="791" t="s">
        <v>778</v>
      </c>
      <c r="D4569" s="792" t="s">
        <v>779</v>
      </c>
      <c r="E4569" s="793" t="s">
        <v>947</v>
      </c>
      <c r="F4569" s="793" t="s">
        <v>1000</v>
      </c>
      <c r="G4569" s="793" t="s">
        <v>794</v>
      </c>
      <c r="H4569" s="793" t="s">
        <v>828</v>
      </c>
      <c r="I4569" s="794">
        <v>1.5585617458891273E-2</v>
      </c>
      <c r="J4569" s="794">
        <v>563.82780858045646</v>
      </c>
      <c r="K4569" s="771"/>
    </row>
    <row r="4570" spans="1:11" ht="18.75" customHeight="1" outlineLevel="2">
      <c r="A4570" s="791" t="s">
        <v>776</v>
      </c>
      <c r="B4570" s="791" t="s">
        <v>1043</v>
      </c>
      <c r="C4570" s="791" t="s">
        <v>778</v>
      </c>
      <c r="D4570" s="792" t="s">
        <v>779</v>
      </c>
      <c r="E4570" s="793" t="s">
        <v>947</v>
      </c>
      <c r="F4570" s="793" t="s">
        <v>1001</v>
      </c>
      <c r="G4570" s="793" t="s">
        <v>794</v>
      </c>
      <c r="H4570" s="793" t="s">
        <v>828</v>
      </c>
      <c r="I4570" s="794">
        <v>1.3160756589503619E-2</v>
      </c>
      <c r="J4570" s="794">
        <v>286.27259000032819</v>
      </c>
      <c r="K4570" s="771"/>
    </row>
    <row r="4571" spans="1:11" ht="18.75" customHeight="1" outlineLevel="2">
      <c r="A4571" s="791" t="s">
        <v>776</v>
      </c>
      <c r="B4571" s="791" t="s">
        <v>1043</v>
      </c>
      <c r="C4571" s="791" t="s">
        <v>778</v>
      </c>
      <c r="D4571" s="792" t="s">
        <v>779</v>
      </c>
      <c r="E4571" s="793" t="s">
        <v>947</v>
      </c>
      <c r="F4571" s="793" t="s">
        <v>1002</v>
      </c>
      <c r="G4571" s="793" t="s">
        <v>794</v>
      </c>
      <c r="H4571" s="793" t="s">
        <v>828</v>
      </c>
      <c r="I4571" s="794">
        <v>6.5467389460708387E-4</v>
      </c>
      <c r="J4571" s="794">
        <v>27.532242448006837</v>
      </c>
      <c r="K4571" s="771"/>
    </row>
    <row r="4572" spans="1:11" ht="18.75" customHeight="1" outlineLevel="2">
      <c r="A4572" s="791" t="s">
        <v>776</v>
      </c>
      <c r="B4572" s="791" t="s">
        <v>1043</v>
      </c>
      <c r="C4572" s="791" t="s">
        <v>778</v>
      </c>
      <c r="D4572" s="792" t="s">
        <v>779</v>
      </c>
      <c r="E4572" s="793" t="s">
        <v>947</v>
      </c>
      <c r="F4572" s="793" t="s">
        <v>1003</v>
      </c>
      <c r="G4572" s="793" t="s">
        <v>794</v>
      </c>
      <c r="H4572" s="793" t="s">
        <v>828</v>
      </c>
      <c r="I4572" s="794">
        <v>7.5738284707430774E-4</v>
      </c>
      <c r="J4572" s="794">
        <v>24.368239843821708</v>
      </c>
      <c r="K4572" s="771"/>
    </row>
    <row r="4573" spans="1:11" ht="18.75" customHeight="1" outlineLevel="2">
      <c r="A4573" s="791" t="s">
        <v>776</v>
      </c>
      <c r="B4573" s="791" t="s">
        <v>1043</v>
      </c>
      <c r="C4573" s="791" t="s">
        <v>778</v>
      </c>
      <c r="D4573" s="792" t="s">
        <v>779</v>
      </c>
      <c r="E4573" s="793" t="s">
        <v>947</v>
      </c>
      <c r="F4573" s="793" t="s">
        <v>1004</v>
      </c>
      <c r="G4573" s="793" t="s">
        <v>833</v>
      </c>
      <c r="H4573" s="793" t="s">
        <v>834</v>
      </c>
      <c r="I4573" s="794">
        <v>1.5823622533090619E-2</v>
      </c>
      <c r="J4573" s="794">
        <v>1037.0467996154482</v>
      </c>
      <c r="K4573" s="771"/>
    </row>
    <row r="4574" spans="1:11" ht="18.75" customHeight="1" outlineLevel="2">
      <c r="A4574" s="791" t="s">
        <v>776</v>
      </c>
      <c r="B4574" s="791" t="s">
        <v>1043</v>
      </c>
      <c r="C4574" s="791" t="s">
        <v>778</v>
      </c>
      <c r="D4574" s="792" t="s">
        <v>779</v>
      </c>
      <c r="E4574" s="793" t="s">
        <v>947</v>
      </c>
      <c r="F4574" s="793" t="s">
        <v>1007</v>
      </c>
      <c r="G4574" s="793" t="s">
        <v>244</v>
      </c>
      <c r="H4574" s="793" t="s">
        <v>911</v>
      </c>
      <c r="I4574" s="794">
        <v>1.4328284661097347E-4</v>
      </c>
      <c r="J4574" s="794">
        <v>3.1943735512836557</v>
      </c>
      <c r="K4574" s="771"/>
    </row>
    <row r="4575" spans="1:11" ht="18.75" customHeight="1" outlineLevel="2">
      <c r="A4575" s="791" t="s">
        <v>776</v>
      </c>
      <c r="B4575" s="791" t="s">
        <v>1043</v>
      </c>
      <c r="C4575" s="791" t="s">
        <v>778</v>
      </c>
      <c r="D4575" s="792" t="s">
        <v>1010</v>
      </c>
      <c r="E4575" s="793" t="s">
        <v>662</v>
      </c>
      <c r="F4575" s="793" t="s">
        <v>1011</v>
      </c>
      <c r="G4575" s="793" t="s">
        <v>1012</v>
      </c>
      <c r="H4575" s="793" t="s">
        <v>1013</v>
      </c>
      <c r="I4575" s="794">
        <v>2.1670082929279625E-3</v>
      </c>
      <c r="J4575" s="794">
        <v>7.3626244547672401</v>
      </c>
      <c r="K4575" s="771"/>
    </row>
    <row r="4576" spans="1:11" ht="18.75" customHeight="1" outlineLevel="2">
      <c r="A4576" s="791" t="s">
        <v>776</v>
      </c>
      <c r="B4576" s="791" t="s">
        <v>1043</v>
      </c>
      <c r="C4576" s="791" t="s">
        <v>778</v>
      </c>
      <c r="D4576" s="792" t="s">
        <v>1010</v>
      </c>
      <c r="E4576" s="793" t="s">
        <v>763</v>
      </c>
      <c r="F4576" s="793" t="s">
        <v>1014</v>
      </c>
      <c r="G4576" s="793" t="s">
        <v>1012</v>
      </c>
      <c r="H4576" s="793" t="s">
        <v>913</v>
      </c>
      <c r="I4576" s="794">
        <v>2.451067471506554E-4</v>
      </c>
      <c r="J4576" s="794">
        <v>4.1080936259793832</v>
      </c>
      <c r="K4576" s="771"/>
    </row>
    <row r="4577" spans="1:11" ht="18.75" customHeight="1" outlineLevel="2">
      <c r="A4577" s="791" t="s">
        <v>776</v>
      </c>
      <c r="B4577" s="791" t="s">
        <v>1043</v>
      </c>
      <c r="C4577" s="791" t="s">
        <v>778</v>
      </c>
      <c r="D4577" s="792" t="s">
        <v>1010</v>
      </c>
      <c r="E4577" s="793" t="s">
        <v>947</v>
      </c>
      <c r="F4577" s="793" t="s">
        <v>1015</v>
      </c>
      <c r="G4577" s="793" t="s">
        <v>1012</v>
      </c>
      <c r="H4577" s="793" t="s">
        <v>1013</v>
      </c>
      <c r="I4577" s="794">
        <v>4.2667041274215833E-3</v>
      </c>
      <c r="J4577" s="794">
        <v>227.22735742028058</v>
      </c>
      <c r="K4577" s="771"/>
    </row>
    <row r="4578" spans="1:11" ht="18.75" customHeight="1" outlineLevel="2">
      <c r="A4578" s="791" t="s">
        <v>776</v>
      </c>
      <c r="B4578" s="791" t="s">
        <v>1044</v>
      </c>
      <c r="C4578" s="791" t="s">
        <v>778</v>
      </c>
      <c r="D4578" s="792" t="s">
        <v>779</v>
      </c>
      <c r="E4578" s="793" t="s">
        <v>780</v>
      </c>
      <c r="F4578" s="793" t="s">
        <v>781</v>
      </c>
      <c r="G4578" s="793" t="s">
        <v>782</v>
      </c>
      <c r="H4578" s="793" t="s">
        <v>783</v>
      </c>
      <c r="I4578" s="794">
        <v>4.709994459401198E-3</v>
      </c>
      <c r="J4578" s="794">
        <v>6.9285117019049269E-2</v>
      </c>
      <c r="K4578" s="771"/>
    </row>
    <row r="4579" spans="1:11" ht="18.75" customHeight="1" outlineLevel="2">
      <c r="A4579" s="791" t="s">
        <v>776</v>
      </c>
      <c r="B4579" s="791" t="s">
        <v>1044</v>
      </c>
      <c r="C4579" s="791" t="s">
        <v>778</v>
      </c>
      <c r="D4579" s="792" t="s">
        <v>779</v>
      </c>
      <c r="E4579" s="793" t="s">
        <v>780</v>
      </c>
      <c r="F4579" s="793" t="s">
        <v>784</v>
      </c>
      <c r="G4579" s="793" t="s">
        <v>785</v>
      </c>
      <c r="H4579" s="793" t="s">
        <v>783</v>
      </c>
      <c r="I4579" s="794">
        <v>0.46154432162855891</v>
      </c>
      <c r="J4579" s="794">
        <v>74.952048945440154</v>
      </c>
      <c r="K4579" s="771"/>
    </row>
    <row r="4580" spans="1:11" ht="18.75" customHeight="1" outlineLevel="2">
      <c r="A4580" s="791" t="s">
        <v>776</v>
      </c>
      <c r="B4580" s="791" t="s">
        <v>1044</v>
      </c>
      <c r="C4580" s="791" t="s">
        <v>778</v>
      </c>
      <c r="D4580" s="792" t="s">
        <v>779</v>
      </c>
      <c r="E4580" s="793" t="s">
        <v>780</v>
      </c>
      <c r="F4580" s="793" t="s">
        <v>786</v>
      </c>
      <c r="G4580" s="793" t="s">
        <v>785</v>
      </c>
      <c r="H4580" s="793" t="s">
        <v>783</v>
      </c>
      <c r="I4580" s="794">
        <v>3.7481965055009771E-4</v>
      </c>
      <c r="J4580" s="794">
        <v>6.3497647726488221E-2</v>
      </c>
      <c r="K4580" s="771"/>
    </row>
    <row r="4581" spans="1:11" ht="18.75" customHeight="1" outlineLevel="2">
      <c r="A4581" s="791" t="s">
        <v>776</v>
      </c>
      <c r="B4581" s="791" t="s">
        <v>1044</v>
      </c>
      <c r="C4581" s="791" t="s">
        <v>778</v>
      </c>
      <c r="D4581" s="792" t="s">
        <v>779</v>
      </c>
      <c r="E4581" s="793" t="s">
        <v>780</v>
      </c>
      <c r="F4581" s="793" t="s">
        <v>787</v>
      </c>
      <c r="G4581" s="793" t="s">
        <v>785</v>
      </c>
      <c r="H4581" s="793" t="s">
        <v>783</v>
      </c>
      <c r="I4581" s="794">
        <v>1.8835677647016015E-4</v>
      </c>
      <c r="J4581" s="794">
        <v>3.4601914596203244E-2</v>
      </c>
      <c r="K4581" s="771"/>
    </row>
    <row r="4582" spans="1:11" ht="18.75" customHeight="1" outlineLevel="2">
      <c r="A4582" s="791" t="s">
        <v>776</v>
      </c>
      <c r="B4582" s="791" t="s">
        <v>1044</v>
      </c>
      <c r="C4582" s="791" t="s">
        <v>778</v>
      </c>
      <c r="D4582" s="792" t="s">
        <v>779</v>
      </c>
      <c r="E4582" s="793" t="s">
        <v>780</v>
      </c>
      <c r="F4582" s="793" t="s">
        <v>788</v>
      </c>
      <c r="G4582" s="793" t="s">
        <v>785</v>
      </c>
      <c r="H4582" s="793" t="s">
        <v>783</v>
      </c>
      <c r="I4582" s="794">
        <v>2.0335452439550691E-3</v>
      </c>
      <c r="J4582" s="794">
        <v>0.32392573461785956</v>
      </c>
      <c r="K4582" s="771"/>
    </row>
    <row r="4583" spans="1:11" ht="18.75" customHeight="1" outlineLevel="2">
      <c r="A4583" s="791" t="s">
        <v>776</v>
      </c>
      <c r="B4583" s="791" t="s">
        <v>1044</v>
      </c>
      <c r="C4583" s="791" t="s">
        <v>778</v>
      </c>
      <c r="D4583" s="792" t="s">
        <v>779</v>
      </c>
      <c r="E4583" s="793" t="s">
        <v>780</v>
      </c>
      <c r="F4583" s="793" t="s">
        <v>789</v>
      </c>
      <c r="G4583" s="793" t="s">
        <v>785</v>
      </c>
      <c r="H4583" s="793" t="s">
        <v>783</v>
      </c>
      <c r="I4583" s="794">
        <v>1.7240750651213331E-3</v>
      </c>
      <c r="J4583" s="794">
        <v>0.42410781730823</v>
      </c>
      <c r="K4583" s="771"/>
    </row>
    <row r="4584" spans="1:11" ht="18.75" customHeight="1" outlineLevel="2">
      <c r="A4584" s="791" t="s">
        <v>776</v>
      </c>
      <c r="B4584" s="791" t="s">
        <v>1044</v>
      </c>
      <c r="C4584" s="791" t="s">
        <v>778</v>
      </c>
      <c r="D4584" s="792" t="s">
        <v>779</v>
      </c>
      <c r="E4584" s="793" t="s">
        <v>780</v>
      </c>
      <c r="F4584" s="793" t="s">
        <v>790</v>
      </c>
      <c r="G4584" s="793" t="s">
        <v>791</v>
      </c>
      <c r="H4584" s="793" t="s">
        <v>783</v>
      </c>
      <c r="I4584" s="794">
        <v>8.0982248261556311E-3</v>
      </c>
      <c r="J4584" s="794">
        <v>0.10756798890209468</v>
      </c>
      <c r="K4584" s="771"/>
    </row>
    <row r="4585" spans="1:11" ht="18.75" customHeight="1" outlineLevel="2">
      <c r="A4585" s="791" t="s">
        <v>776</v>
      </c>
      <c r="B4585" s="791" t="s">
        <v>1044</v>
      </c>
      <c r="C4585" s="791" t="s">
        <v>778</v>
      </c>
      <c r="D4585" s="792" t="s">
        <v>779</v>
      </c>
      <c r="E4585" s="793" t="s">
        <v>780</v>
      </c>
      <c r="F4585" s="793" t="s">
        <v>792</v>
      </c>
      <c r="G4585" s="793" t="s">
        <v>791</v>
      </c>
      <c r="H4585" s="793" t="s">
        <v>783</v>
      </c>
      <c r="I4585" s="794">
        <v>6.0111826714724176E-2</v>
      </c>
      <c r="J4585" s="794">
        <v>11.674298085949825</v>
      </c>
      <c r="K4585" s="771"/>
    </row>
    <row r="4586" spans="1:11" ht="18.75" customHeight="1" outlineLevel="2">
      <c r="A4586" s="791" t="s">
        <v>776</v>
      </c>
      <c r="B4586" s="791" t="s">
        <v>1044</v>
      </c>
      <c r="C4586" s="791" t="s">
        <v>778</v>
      </c>
      <c r="D4586" s="792" t="s">
        <v>779</v>
      </c>
      <c r="E4586" s="793" t="s">
        <v>780</v>
      </c>
      <c r="F4586" s="793" t="s">
        <v>793</v>
      </c>
      <c r="G4586" s="793" t="s">
        <v>794</v>
      </c>
      <c r="H4586" s="793" t="s">
        <v>783</v>
      </c>
      <c r="I4586" s="794">
        <v>0.82152007403038096</v>
      </c>
      <c r="J4586" s="794">
        <v>21.320633552380389</v>
      </c>
      <c r="K4586" s="771"/>
    </row>
    <row r="4587" spans="1:11" ht="18.75" customHeight="1" outlineLevel="2">
      <c r="A4587" s="791" t="s">
        <v>776</v>
      </c>
      <c r="B4587" s="791" t="s">
        <v>1044</v>
      </c>
      <c r="C4587" s="791" t="s">
        <v>778</v>
      </c>
      <c r="D4587" s="792" t="s">
        <v>779</v>
      </c>
      <c r="E4587" s="793" t="s">
        <v>780</v>
      </c>
      <c r="F4587" s="793" t="s">
        <v>795</v>
      </c>
      <c r="G4587" s="793" t="s">
        <v>794</v>
      </c>
      <c r="H4587" s="793" t="s">
        <v>783</v>
      </c>
      <c r="I4587" s="794">
        <v>2.4842648963514548E-2</v>
      </c>
      <c r="J4587" s="794">
        <v>1.0178835107048751</v>
      </c>
      <c r="K4587" s="771"/>
    </row>
    <row r="4588" spans="1:11" ht="18.75" customHeight="1" outlineLevel="2">
      <c r="A4588" s="791" t="s">
        <v>776</v>
      </c>
      <c r="B4588" s="791" t="s">
        <v>1044</v>
      </c>
      <c r="C4588" s="791" t="s">
        <v>778</v>
      </c>
      <c r="D4588" s="792" t="s">
        <v>779</v>
      </c>
      <c r="E4588" s="793" t="s">
        <v>780</v>
      </c>
      <c r="F4588" s="793" t="s">
        <v>796</v>
      </c>
      <c r="G4588" s="793" t="s">
        <v>794</v>
      </c>
      <c r="H4588" s="793" t="s">
        <v>783</v>
      </c>
      <c r="I4588" s="794">
        <v>1.2912605781926316E-2</v>
      </c>
      <c r="J4588" s="794">
        <v>1.4880299317541885</v>
      </c>
      <c r="K4588" s="771"/>
    </row>
    <row r="4589" spans="1:11" ht="18.75" customHeight="1" outlineLevel="2">
      <c r="A4589" s="791" t="s">
        <v>776</v>
      </c>
      <c r="B4589" s="791" t="s">
        <v>1044</v>
      </c>
      <c r="C4589" s="791" t="s">
        <v>778</v>
      </c>
      <c r="D4589" s="792" t="s">
        <v>779</v>
      </c>
      <c r="E4589" s="793" t="s">
        <v>780</v>
      </c>
      <c r="F4589" s="793" t="s">
        <v>797</v>
      </c>
      <c r="G4589" s="793" t="s">
        <v>794</v>
      </c>
      <c r="H4589" s="793" t="s">
        <v>783</v>
      </c>
      <c r="I4589" s="794">
        <v>0.25251266356885138</v>
      </c>
      <c r="J4589" s="794">
        <v>52.842193431706207</v>
      </c>
      <c r="K4589" s="771"/>
    </row>
    <row r="4590" spans="1:11" ht="18.75" customHeight="1" outlineLevel="2">
      <c r="A4590" s="791" t="s">
        <v>776</v>
      </c>
      <c r="B4590" s="791" t="s">
        <v>1044</v>
      </c>
      <c r="C4590" s="791" t="s">
        <v>778</v>
      </c>
      <c r="D4590" s="792" t="s">
        <v>779</v>
      </c>
      <c r="E4590" s="793" t="s">
        <v>662</v>
      </c>
      <c r="F4590" s="793" t="s">
        <v>798</v>
      </c>
      <c r="G4590" s="793" t="s">
        <v>799</v>
      </c>
      <c r="H4590" s="793" t="s">
        <v>800</v>
      </c>
      <c r="I4590" s="794">
        <v>0.83612330036408955</v>
      </c>
      <c r="J4590" s="794">
        <v>240.24515194124729</v>
      </c>
      <c r="K4590" s="771"/>
    </row>
    <row r="4591" spans="1:11" ht="18.75" customHeight="1" outlineLevel="2">
      <c r="A4591" s="791" t="s">
        <v>776</v>
      </c>
      <c r="B4591" s="791" t="s">
        <v>1044</v>
      </c>
      <c r="C4591" s="791" t="s">
        <v>778</v>
      </c>
      <c r="D4591" s="792" t="s">
        <v>779</v>
      </c>
      <c r="E4591" s="793" t="s">
        <v>662</v>
      </c>
      <c r="F4591" s="793" t="s">
        <v>801</v>
      </c>
      <c r="G4591" s="793" t="s">
        <v>799</v>
      </c>
      <c r="H4591" s="793" t="s">
        <v>800</v>
      </c>
      <c r="I4591" s="794">
        <v>0.25540268550597145</v>
      </c>
      <c r="J4591" s="794">
        <v>103.17570880251148</v>
      </c>
      <c r="K4591" s="771"/>
    </row>
    <row r="4592" spans="1:11" ht="18.75" customHeight="1" outlineLevel="2">
      <c r="A4592" s="791" t="s">
        <v>776</v>
      </c>
      <c r="B4592" s="791" t="s">
        <v>1044</v>
      </c>
      <c r="C4592" s="791" t="s">
        <v>778</v>
      </c>
      <c r="D4592" s="792" t="s">
        <v>779</v>
      </c>
      <c r="E4592" s="793" t="s">
        <v>662</v>
      </c>
      <c r="F4592" s="793" t="s">
        <v>802</v>
      </c>
      <c r="G4592" s="793" t="s">
        <v>799</v>
      </c>
      <c r="H4592" s="793" t="s">
        <v>800</v>
      </c>
      <c r="I4592" s="794">
        <v>0.11624753190599825</v>
      </c>
      <c r="J4592" s="794">
        <v>149.50303064353579</v>
      </c>
      <c r="K4592" s="771"/>
    </row>
    <row r="4593" spans="1:11" ht="18.75" customHeight="1" outlineLevel="2">
      <c r="A4593" s="791" t="s">
        <v>776</v>
      </c>
      <c r="B4593" s="791" t="s">
        <v>1044</v>
      </c>
      <c r="C4593" s="791" t="s">
        <v>778</v>
      </c>
      <c r="D4593" s="792" t="s">
        <v>779</v>
      </c>
      <c r="E4593" s="793" t="s">
        <v>662</v>
      </c>
      <c r="F4593" s="793" t="s">
        <v>803</v>
      </c>
      <c r="G4593" s="793" t="s">
        <v>782</v>
      </c>
      <c r="H4593" s="793" t="s">
        <v>804</v>
      </c>
      <c r="I4593" s="794">
        <v>1.4558858209941858E-2</v>
      </c>
      <c r="J4593" s="794">
        <v>9.0334768986188969</v>
      </c>
      <c r="K4593" s="771"/>
    </row>
    <row r="4594" spans="1:11" ht="18.75" customHeight="1" outlineLevel="2">
      <c r="A4594" s="791" t="s">
        <v>776</v>
      </c>
      <c r="B4594" s="791" t="s">
        <v>1044</v>
      </c>
      <c r="C4594" s="791" t="s">
        <v>778</v>
      </c>
      <c r="D4594" s="792" t="s">
        <v>779</v>
      </c>
      <c r="E4594" s="793" t="s">
        <v>662</v>
      </c>
      <c r="F4594" s="793" t="s">
        <v>805</v>
      </c>
      <c r="G4594" s="793" t="s">
        <v>782</v>
      </c>
      <c r="H4594" s="793" t="s">
        <v>804</v>
      </c>
      <c r="I4594" s="794">
        <v>1.208230605835394E-3</v>
      </c>
      <c r="J4594" s="794">
        <v>0.58515381094540897</v>
      </c>
      <c r="K4594" s="771"/>
    </row>
    <row r="4595" spans="1:11" ht="18.75" customHeight="1" outlineLevel="2">
      <c r="A4595" s="791" t="s">
        <v>776</v>
      </c>
      <c r="B4595" s="791" t="s">
        <v>1044</v>
      </c>
      <c r="C4595" s="791" t="s">
        <v>778</v>
      </c>
      <c r="D4595" s="792" t="s">
        <v>779</v>
      </c>
      <c r="E4595" s="793" t="s">
        <v>662</v>
      </c>
      <c r="F4595" s="793" t="s">
        <v>806</v>
      </c>
      <c r="G4595" s="793" t="s">
        <v>782</v>
      </c>
      <c r="H4595" s="793" t="s">
        <v>804</v>
      </c>
      <c r="I4595" s="794">
        <v>1.4642162620494476E-3</v>
      </c>
      <c r="J4595" s="794">
        <v>0.69942476975984347</v>
      </c>
      <c r="K4595" s="771"/>
    </row>
    <row r="4596" spans="1:11" ht="18.75" customHeight="1" outlineLevel="2">
      <c r="A4596" s="791" t="s">
        <v>776</v>
      </c>
      <c r="B4596" s="791" t="s">
        <v>1044</v>
      </c>
      <c r="C4596" s="791" t="s">
        <v>778</v>
      </c>
      <c r="D4596" s="792" t="s">
        <v>779</v>
      </c>
      <c r="E4596" s="793" t="s">
        <v>662</v>
      </c>
      <c r="F4596" s="793" t="s">
        <v>807</v>
      </c>
      <c r="G4596" s="793" t="s">
        <v>782</v>
      </c>
      <c r="H4596" s="793" t="s">
        <v>804</v>
      </c>
      <c r="I4596" s="794">
        <v>1.0828528821457411E-5</v>
      </c>
      <c r="J4596" s="794">
        <v>4.8462637876878351E-3</v>
      </c>
      <c r="K4596" s="771"/>
    </row>
    <row r="4597" spans="1:11" ht="18.75" customHeight="1" outlineLevel="2">
      <c r="A4597" s="791" t="s">
        <v>776</v>
      </c>
      <c r="B4597" s="791" t="s">
        <v>1044</v>
      </c>
      <c r="C4597" s="791" t="s">
        <v>778</v>
      </c>
      <c r="D4597" s="792" t="s">
        <v>779</v>
      </c>
      <c r="E4597" s="793" t="s">
        <v>662</v>
      </c>
      <c r="F4597" s="793" t="s">
        <v>808</v>
      </c>
      <c r="G4597" s="793" t="s">
        <v>782</v>
      </c>
      <c r="H4597" s="793" t="s">
        <v>804</v>
      </c>
      <c r="I4597" s="794">
        <v>4.173867800022054E-2</v>
      </c>
      <c r="J4597" s="794">
        <v>23.306213654418862</v>
      </c>
      <c r="K4597" s="771"/>
    </row>
    <row r="4598" spans="1:11" ht="18.75" customHeight="1" outlineLevel="2">
      <c r="A4598" s="791" t="s">
        <v>776</v>
      </c>
      <c r="B4598" s="791" t="s">
        <v>1044</v>
      </c>
      <c r="C4598" s="791" t="s">
        <v>778</v>
      </c>
      <c r="D4598" s="792" t="s">
        <v>779</v>
      </c>
      <c r="E4598" s="793" t="s">
        <v>662</v>
      </c>
      <c r="F4598" s="793" t="s">
        <v>809</v>
      </c>
      <c r="G4598" s="793" t="s">
        <v>782</v>
      </c>
      <c r="H4598" s="793" t="s">
        <v>804</v>
      </c>
      <c r="I4598" s="794">
        <v>3.0517983171072317E-4</v>
      </c>
      <c r="J4598" s="794">
        <v>0.13658216348165794</v>
      </c>
      <c r="K4598" s="771"/>
    </row>
    <row r="4599" spans="1:11" ht="18.75" customHeight="1" outlineLevel="2">
      <c r="A4599" s="791" t="s">
        <v>776</v>
      </c>
      <c r="B4599" s="791" t="s">
        <v>1044</v>
      </c>
      <c r="C4599" s="791" t="s">
        <v>778</v>
      </c>
      <c r="D4599" s="792" t="s">
        <v>779</v>
      </c>
      <c r="E4599" s="793" t="s">
        <v>662</v>
      </c>
      <c r="F4599" s="793" t="s">
        <v>810</v>
      </c>
      <c r="G4599" s="793" t="s">
        <v>785</v>
      </c>
      <c r="H4599" s="793" t="s">
        <v>727</v>
      </c>
      <c r="I4599" s="794">
        <v>4.5711310678160904E-4</v>
      </c>
      <c r="J4599" s="794">
        <v>0.20457945735210517</v>
      </c>
      <c r="K4599" s="771"/>
    </row>
    <row r="4600" spans="1:11" ht="18.75" customHeight="1" outlineLevel="2">
      <c r="A4600" s="791" t="s">
        <v>776</v>
      </c>
      <c r="B4600" s="791" t="s">
        <v>1044</v>
      </c>
      <c r="C4600" s="791" t="s">
        <v>778</v>
      </c>
      <c r="D4600" s="792" t="s">
        <v>779</v>
      </c>
      <c r="E4600" s="793" t="s">
        <v>662</v>
      </c>
      <c r="F4600" s="793" t="s">
        <v>811</v>
      </c>
      <c r="G4600" s="793" t="s">
        <v>785</v>
      </c>
      <c r="H4600" s="793" t="s">
        <v>727</v>
      </c>
      <c r="I4600" s="794">
        <v>3.4978950968597579E-5</v>
      </c>
      <c r="J4600" s="794">
        <v>1.5654702585422228E-2</v>
      </c>
      <c r="K4600" s="771"/>
    </row>
    <row r="4601" spans="1:11" ht="18.75" customHeight="1" outlineLevel="2">
      <c r="A4601" s="791" t="s">
        <v>776</v>
      </c>
      <c r="B4601" s="791" t="s">
        <v>1044</v>
      </c>
      <c r="C4601" s="791" t="s">
        <v>778</v>
      </c>
      <c r="D4601" s="792" t="s">
        <v>779</v>
      </c>
      <c r="E4601" s="793" t="s">
        <v>662</v>
      </c>
      <c r="F4601" s="793" t="s">
        <v>812</v>
      </c>
      <c r="G4601" s="793" t="s">
        <v>813</v>
      </c>
      <c r="H4601" s="793" t="s">
        <v>814</v>
      </c>
      <c r="I4601" s="794">
        <v>7.6395500933891733E-3</v>
      </c>
      <c r="J4601" s="794">
        <v>4.1839225952907073</v>
      </c>
      <c r="K4601" s="771"/>
    </row>
    <row r="4602" spans="1:11" ht="18.75" customHeight="1" outlineLevel="2">
      <c r="A4602" s="791" t="s">
        <v>776</v>
      </c>
      <c r="B4602" s="791" t="s">
        <v>1044</v>
      </c>
      <c r="C4602" s="791" t="s">
        <v>778</v>
      </c>
      <c r="D4602" s="792" t="s">
        <v>779</v>
      </c>
      <c r="E4602" s="793" t="s">
        <v>662</v>
      </c>
      <c r="F4602" s="793" t="s">
        <v>815</v>
      </c>
      <c r="G4602" s="793" t="s">
        <v>813</v>
      </c>
      <c r="H4602" s="793" t="s">
        <v>814</v>
      </c>
      <c r="I4602" s="794">
        <v>4.112567232886602E-2</v>
      </c>
      <c r="J4602" s="794">
        <v>22.102796209254421</v>
      </c>
      <c r="K4602" s="771"/>
    </row>
    <row r="4603" spans="1:11" ht="18.75" customHeight="1" outlineLevel="2">
      <c r="A4603" s="791" t="s">
        <v>776</v>
      </c>
      <c r="B4603" s="791" t="s">
        <v>1044</v>
      </c>
      <c r="C4603" s="791" t="s">
        <v>778</v>
      </c>
      <c r="D4603" s="792" t="s">
        <v>779</v>
      </c>
      <c r="E4603" s="793" t="s">
        <v>662</v>
      </c>
      <c r="F4603" s="793" t="s">
        <v>816</v>
      </c>
      <c r="G4603" s="793" t="s">
        <v>813</v>
      </c>
      <c r="H4603" s="793" t="s">
        <v>814</v>
      </c>
      <c r="I4603" s="794">
        <v>0.1075230267368644</v>
      </c>
      <c r="J4603" s="794">
        <v>55.8632647913809</v>
      </c>
      <c r="K4603" s="771"/>
    </row>
    <row r="4604" spans="1:11" ht="18.75" customHeight="1" outlineLevel="2">
      <c r="A4604" s="791" t="s">
        <v>776</v>
      </c>
      <c r="B4604" s="791" t="s">
        <v>1044</v>
      </c>
      <c r="C4604" s="791" t="s">
        <v>778</v>
      </c>
      <c r="D4604" s="792" t="s">
        <v>779</v>
      </c>
      <c r="E4604" s="793" t="s">
        <v>662</v>
      </c>
      <c r="F4604" s="793" t="s">
        <v>817</v>
      </c>
      <c r="G4604" s="793" t="s">
        <v>813</v>
      </c>
      <c r="H4604" s="793" t="s">
        <v>814</v>
      </c>
      <c r="I4604" s="794">
        <v>0.38886673869856336</v>
      </c>
      <c r="J4604" s="794">
        <v>212.86701463876321</v>
      </c>
      <c r="K4604" s="771"/>
    </row>
    <row r="4605" spans="1:11" ht="18.75" customHeight="1" outlineLevel="2">
      <c r="A4605" s="791" t="s">
        <v>776</v>
      </c>
      <c r="B4605" s="791" t="s">
        <v>1044</v>
      </c>
      <c r="C4605" s="791" t="s">
        <v>778</v>
      </c>
      <c r="D4605" s="792" t="s">
        <v>779</v>
      </c>
      <c r="E4605" s="793" t="s">
        <v>662</v>
      </c>
      <c r="F4605" s="793" t="s">
        <v>818</v>
      </c>
      <c r="G4605" s="793" t="s">
        <v>813</v>
      </c>
      <c r="H4605" s="793" t="s">
        <v>814</v>
      </c>
      <c r="I4605" s="794">
        <v>0.13208593733839136</v>
      </c>
      <c r="J4605" s="794">
        <v>77.58196580107645</v>
      </c>
      <c r="K4605" s="771"/>
    </row>
    <row r="4606" spans="1:11" ht="18.75" customHeight="1" outlineLevel="2">
      <c r="A4606" s="791" t="s">
        <v>776</v>
      </c>
      <c r="B4606" s="791" t="s">
        <v>1044</v>
      </c>
      <c r="C4606" s="791" t="s">
        <v>778</v>
      </c>
      <c r="D4606" s="792" t="s">
        <v>779</v>
      </c>
      <c r="E4606" s="793" t="s">
        <v>662</v>
      </c>
      <c r="F4606" s="793" t="s">
        <v>819</v>
      </c>
      <c r="G4606" s="793" t="s">
        <v>813</v>
      </c>
      <c r="H4606" s="793" t="s">
        <v>814</v>
      </c>
      <c r="I4606" s="794">
        <v>0.36795960152992119</v>
      </c>
      <c r="J4606" s="794">
        <v>186.01732541867591</v>
      </c>
      <c r="K4606" s="771"/>
    </row>
    <row r="4607" spans="1:11" ht="18.75" customHeight="1" outlineLevel="2">
      <c r="A4607" s="791" t="s">
        <v>776</v>
      </c>
      <c r="B4607" s="791" t="s">
        <v>1044</v>
      </c>
      <c r="C4607" s="791" t="s">
        <v>778</v>
      </c>
      <c r="D4607" s="792" t="s">
        <v>779</v>
      </c>
      <c r="E4607" s="793" t="s">
        <v>662</v>
      </c>
      <c r="F4607" s="793" t="s">
        <v>820</v>
      </c>
      <c r="G4607" s="793" t="s">
        <v>813</v>
      </c>
      <c r="H4607" s="793" t="s">
        <v>814</v>
      </c>
      <c r="I4607" s="794">
        <v>9.3100209454703778E-2</v>
      </c>
      <c r="J4607" s="794">
        <v>49.931559264645003</v>
      </c>
      <c r="K4607" s="771"/>
    </row>
    <row r="4608" spans="1:11" ht="18.75" customHeight="1" outlineLevel="2">
      <c r="A4608" s="791" t="s">
        <v>776</v>
      </c>
      <c r="B4608" s="791" t="s">
        <v>1044</v>
      </c>
      <c r="C4608" s="791" t="s">
        <v>778</v>
      </c>
      <c r="D4608" s="792" t="s">
        <v>779</v>
      </c>
      <c r="E4608" s="793" t="s">
        <v>662</v>
      </c>
      <c r="F4608" s="793" t="s">
        <v>821</v>
      </c>
      <c r="G4608" s="793" t="s">
        <v>813</v>
      </c>
      <c r="H4608" s="793" t="s">
        <v>814</v>
      </c>
      <c r="I4608" s="794">
        <v>0.32475869814083591</v>
      </c>
      <c r="J4608" s="794">
        <v>173.69566541473503</v>
      </c>
      <c r="K4608" s="771"/>
    </row>
    <row r="4609" spans="1:11" ht="18.75" customHeight="1" outlineLevel="2">
      <c r="A4609" s="791" t="s">
        <v>776</v>
      </c>
      <c r="B4609" s="791" t="s">
        <v>1044</v>
      </c>
      <c r="C4609" s="791" t="s">
        <v>778</v>
      </c>
      <c r="D4609" s="792" t="s">
        <v>779</v>
      </c>
      <c r="E4609" s="793" t="s">
        <v>662</v>
      </c>
      <c r="F4609" s="793" t="s">
        <v>824</v>
      </c>
      <c r="G4609" s="793" t="s">
        <v>813</v>
      </c>
      <c r="H4609" s="793" t="s">
        <v>814</v>
      </c>
      <c r="I4609" s="794">
        <v>1.8574938062820436E-4</v>
      </c>
      <c r="J4609" s="794">
        <v>9.2685354243726578E-2</v>
      </c>
      <c r="K4609" s="771"/>
    </row>
    <row r="4610" spans="1:11" ht="18.75" customHeight="1" outlineLevel="2">
      <c r="A4610" s="791" t="s">
        <v>776</v>
      </c>
      <c r="B4610" s="791" t="s">
        <v>1044</v>
      </c>
      <c r="C4610" s="791" t="s">
        <v>778</v>
      </c>
      <c r="D4610" s="792" t="s">
        <v>779</v>
      </c>
      <c r="E4610" s="793" t="s">
        <v>662</v>
      </c>
      <c r="F4610" s="793" t="s">
        <v>825</v>
      </c>
      <c r="G4610" s="793" t="s">
        <v>791</v>
      </c>
      <c r="H4610" s="793" t="s">
        <v>826</v>
      </c>
      <c r="I4610" s="794">
        <v>1.0056911969083379E-3</v>
      </c>
      <c r="J4610" s="794">
        <v>0.61158367913383671</v>
      </c>
      <c r="K4610" s="771"/>
    </row>
    <row r="4611" spans="1:11" ht="18.75" customHeight="1" outlineLevel="2">
      <c r="A4611" s="791" t="s">
        <v>776</v>
      </c>
      <c r="B4611" s="791" t="s">
        <v>1044</v>
      </c>
      <c r="C4611" s="791" t="s">
        <v>778</v>
      </c>
      <c r="D4611" s="792" t="s">
        <v>779</v>
      </c>
      <c r="E4611" s="793" t="s">
        <v>662</v>
      </c>
      <c r="F4611" s="793" t="s">
        <v>827</v>
      </c>
      <c r="G4611" s="793" t="s">
        <v>794</v>
      </c>
      <c r="H4611" s="793" t="s">
        <v>828</v>
      </c>
      <c r="I4611" s="794">
        <v>7.2398474708334631E-3</v>
      </c>
      <c r="J4611" s="794">
        <v>3.584519075233545</v>
      </c>
      <c r="K4611" s="771"/>
    </row>
    <row r="4612" spans="1:11" ht="18.75" customHeight="1" outlineLevel="2">
      <c r="A4612" s="791" t="s">
        <v>776</v>
      </c>
      <c r="B4612" s="791" t="s">
        <v>1044</v>
      </c>
      <c r="C4612" s="791" t="s">
        <v>778</v>
      </c>
      <c r="D4612" s="792" t="s">
        <v>779</v>
      </c>
      <c r="E4612" s="793" t="s">
        <v>662</v>
      </c>
      <c r="F4612" s="793" t="s">
        <v>829</v>
      </c>
      <c r="G4612" s="793" t="s">
        <v>794</v>
      </c>
      <c r="H4612" s="793" t="s">
        <v>828</v>
      </c>
      <c r="I4612" s="794">
        <v>4.6201778923255582E-2</v>
      </c>
      <c r="J4612" s="794">
        <v>23.91274387471319</v>
      </c>
      <c r="K4612" s="771"/>
    </row>
    <row r="4613" spans="1:11" ht="18.75" customHeight="1" outlineLevel="2">
      <c r="A4613" s="791" t="s">
        <v>776</v>
      </c>
      <c r="B4613" s="791" t="s">
        <v>1044</v>
      </c>
      <c r="C4613" s="791" t="s">
        <v>778</v>
      </c>
      <c r="D4613" s="792" t="s">
        <v>779</v>
      </c>
      <c r="E4613" s="793" t="s">
        <v>662</v>
      </c>
      <c r="F4613" s="793" t="s">
        <v>830</v>
      </c>
      <c r="G4613" s="793" t="s">
        <v>794</v>
      </c>
      <c r="H4613" s="793" t="s">
        <v>828</v>
      </c>
      <c r="I4613" s="794">
        <v>1.8531454911455059E-5</v>
      </c>
      <c r="J4613" s="794">
        <v>8.2936754132527414E-3</v>
      </c>
      <c r="K4613" s="771"/>
    </row>
    <row r="4614" spans="1:11" ht="18.75" customHeight="1" outlineLevel="2">
      <c r="A4614" s="791" t="s">
        <v>776</v>
      </c>
      <c r="B4614" s="791" t="s">
        <v>1044</v>
      </c>
      <c r="C4614" s="791" t="s">
        <v>778</v>
      </c>
      <c r="D4614" s="792" t="s">
        <v>779</v>
      </c>
      <c r="E4614" s="793" t="s">
        <v>662</v>
      </c>
      <c r="F4614" s="793" t="s">
        <v>831</v>
      </c>
      <c r="G4614" s="793" t="s">
        <v>794</v>
      </c>
      <c r="H4614" s="793" t="s">
        <v>828</v>
      </c>
      <c r="I4614" s="794">
        <v>3.2324723284604554E-4</v>
      </c>
      <c r="J4614" s="794">
        <v>0.14466817718371341</v>
      </c>
      <c r="K4614" s="771"/>
    </row>
    <row r="4615" spans="1:11" ht="18.75" customHeight="1" outlineLevel="2">
      <c r="A4615" s="791" t="s">
        <v>776</v>
      </c>
      <c r="B4615" s="791" t="s">
        <v>1044</v>
      </c>
      <c r="C4615" s="791" t="s">
        <v>778</v>
      </c>
      <c r="D4615" s="792" t="s">
        <v>779</v>
      </c>
      <c r="E4615" s="793" t="s">
        <v>662</v>
      </c>
      <c r="F4615" s="793" t="s">
        <v>832</v>
      </c>
      <c r="G4615" s="793" t="s">
        <v>833</v>
      </c>
      <c r="H4615" s="793" t="s">
        <v>834</v>
      </c>
      <c r="I4615" s="794">
        <v>2.7490956356153191E-2</v>
      </c>
      <c r="J4615" s="794">
        <v>15.871328643081194</v>
      </c>
      <c r="K4615" s="771"/>
    </row>
    <row r="4616" spans="1:11" ht="18.75" customHeight="1" outlineLevel="2">
      <c r="A4616" s="791" t="s">
        <v>776</v>
      </c>
      <c r="B4616" s="791" t="s">
        <v>1044</v>
      </c>
      <c r="C4616" s="791" t="s">
        <v>778</v>
      </c>
      <c r="D4616" s="792" t="s">
        <v>779</v>
      </c>
      <c r="E4616" s="793" t="s">
        <v>662</v>
      </c>
      <c r="F4616" s="793" t="s">
        <v>835</v>
      </c>
      <c r="G4616" s="793" t="s">
        <v>799</v>
      </c>
      <c r="H4616" s="793" t="s">
        <v>800</v>
      </c>
      <c r="I4616" s="794">
        <v>0.15791098703830103</v>
      </c>
      <c r="J4616" s="794">
        <v>112.04547020228604</v>
      </c>
      <c r="K4616" s="771"/>
    </row>
    <row r="4617" spans="1:11" ht="18.75" customHeight="1" outlineLevel="2">
      <c r="A4617" s="791" t="s">
        <v>776</v>
      </c>
      <c r="B4617" s="791" t="s">
        <v>1044</v>
      </c>
      <c r="C4617" s="791" t="s">
        <v>778</v>
      </c>
      <c r="D4617" s="792" t="s">
        <v>779</v>
      </c>
      <c r="E4617" s="793" t="s">
        <v>662</v>
      </c>
      <c r="F4617" s="793" t="s">
        <v>836</v>
      </c>
      <c r="G4617" s="793" t="s">
        <v>799</v>
      </c>
      <c r="H4617" s="793" t="s">
        <v>800</v>
      </c>
      <c r="I4617" s="794">
        <v>1.1636903657081241</v>
      </c>
      <c r="J4617" s="794">
        <v>1065.1921844773071</v>
      </c>
      <c r="K4617" s="771"/>
    </row>
    <row r="4618" spans="1:11" ht="18.75" customHeight="1" outlineLevel="2">
      <c r="A4618" s="791" t="s">
        <v>776</v>
      </c>
      <c r="B4618" s="791" t="s">
        <v>1044</v>
      </c>
      <c r="C4618" s="791" t="s">
        <v>778</v>
      </c>
      <c r="D4618" s="792" t="s">
        <v>779</v>
      </c>
      <c r="E4618" s="793" t="s">
        <v>662</v>
      </c>
      <c r="F4618" s="793" t="s">
        <v>837</v>
      </c>
      <c r="G4618" s="793" t="s">
        <v>799</v>
      </c>
      <c r="H4618" s="793" t="s">
        <v>800</v>
      </c>
      <c r="I4618" s="794">
        <v>0.68310433155421979</v>
      </c>
      <c r="J4618" s="794">
        <v>910.9278082694284</v>
      </c>
      <c r="K4618" s="771"/>
    </row>
    <row r="4619" spans="1:11" ht="18.75" customHeight="1" outlineLevel="2">
      <c r="A4619" s="791" t="s">
        <v>776</v>
      </c>
      <c r="B4619" s="791" t="s">
        <v>1044</v>
      </c>
      <c r="C4619" s="791" t="s">
        <v>778</v>
      </c>
      <c r="D4619" s="792" t="s">
        <v>779</v>
      </c>
      <c r="E4619" s="793" t="s">
        <v>662</v>
      </c>
      <c r="F4619" s="793" t="s">
        <v>838</v>
      </c>
      <c r="G4619" s="793" t="s">
        <v>799</v>
      </c>
      <c r="H4619" s="793" t="s">
        <v>800</v>
      </c>
      <c r="I4619" s="794">
        <v>0.15639433663872193</v>
      </c>
      <c r="J4619" s="794">
        <v>142.86936589662176</v>
      </c>
      <c r="K4619" s="771"/>
    </row>
    <row r="4620" spans="1:11" ht="18.75" customHeight="1" outlineLevel="2">
      <c r="A4620" s="791" t="s">
        <v>776</v>
      </c>
      <c r="B4620" s="791" t="s">
        <v>1044</v>
      </c>
      <c r="C4620" s="791" t="s">
        <v>778</v>
      </c>
      <c r="D4620" s="792" t="s">
        <v>779</v>
      </c>
      <c r="E4620" s="793" t="s">
        <v>662</v>
      </c>
      <c r="F4620" s="793" t="s">
        <v>839</v>
      </c>
      <c r="G4620" s="793" t="s">
        <v>782</v>
      </c>
      <c r="H4620" s="793" t="s">
        <v>804</v>
      </c>
      <c r="I4620" s="794">
        <v>4.892682336347624E-3</v>
      </c>
      <c r="J4620" s="794">
        <v>8.0077675940791604</v>
      </c>
      <c r="K4620" s="771"/>
    </row>
    <row r="4621" spans="1:11" ht="18.75" customHeight="1" outlineLevel="2">
      <c r="A4621" s="791" t="s">
        <v>776</v>
      </c>
      <c r="B4621" s="791" t="s">
        <v>1044</v>
      </c>
      <c r="C4621" s="791" t="s">
        <v>778</v>
      </c>
      <c r="D4621" s="792" t="s">
        <v>779</v>
      </c>
      <c r="E4621" s="793" t="s">
        <v>662</v>
      </c>
      <c r="F4621" s="793" t="s">
        <v>840</v>
      </c>
      <c r="G4621" s="793" t="s">
        <v>782</v>
      </c>
      <c r="H4621" s="793" t="s">
        <v>804</v>
      </c>
      <c r="I4621" s="794">
        <v>3.9094031270499037E-5</v>
      </c>
      <c r="J4621" s="794">
        <v>5.9771013856431576E-2</v>
      </c>
      <c r="K4621" s="771"/>
    </row>
    <row r="4622" spans="1:11" ht="18.75" customHeight="1" outlineLevel="2">
      <c r="A4622" s="791" t="s">
        <v>776</v>
      </c>
      <c r="B4622" s="791" t="s">
        <v>1044</v>
      </c>
      <c r="C4622" s="791" t="s">
        <v>778</v>
      </c>
      <c r="D4622" s="792" t="s">
        <v>779</v>
      </c>
      <c r="E4622" s="793" t="s">
        <v>662</v>
      </c>
      <c r="F4622" s="793" t="s">
        <v>841</v>
      </c>
      <c r="G4622" s="793" t="s">
        <v>782</v>
      </c>
      <c r="H4622" s="793" t="s">
        <v>804</v>
      </c>
      <c r="I4622" s="794">
        <v>1.0570420874729961E-2</v>
      </c>
      <c r="J4622" s="794">
        <v>15.043565272401676</v>
      </c>
      <c r="K4622" s="771"/>
    </row>
    <row r="4623" spans="1:11" ht="18.75" customHeight="1" outlineLevel="2">
      <c r="A4623" s="791" t="s">
        <v>776</v>
      </c>
      <c r="B4623" s="791" t="s">
        <v>1044</v>
      </c>
      <c r="C4623" s="791" t="s">
        <v>778</v>
      </c>
      <c r="D4623" s="792" t="s">
        <v>779</v>
      </c>
      <c r="E4623" s="793" t="s">
        <v>662</v>
      </c>
      <c r="F4623" s="793" t="s">
        <v>842</v>
      </c>
      <c r="G4623" s="793" t="s">
        <v>782</v>
      </c>
      <c r="H4623" s="793" t="s">
        <v>804</v>
      </c>
      <c r="I4623" s="794">
        <v>8.6258629761704533E-3</v>
      </c>
      <c r="J4623" s="794">
        <v>14.163261473098384</v>
      </c>
      <c r="K4623" s="771"/>
    </row>
    <row r="4624" spans="1:11" ht="18.75" customHeight="1" outlineLevel="2">
      <c r="A4624" s="791" t="s">
        <v>776</v>
      </c>
      <c r="B4624" s="791" t="s">
        <v>1044</v>
      </c>
      <c r="C4624" s="791" t="s">
        <v>778</v>
      </c>
      <c r="D4624" s="792" t="s">
        <v>779</v>
      </c>
      <c r="E4624" s="793" t="s">
        <v>662</v>
      </c>
      <c r="F4624" s="793" t="s">
        <v>843</v>
      </c>
      <c r="G4624" s="793" t="s">
        <v>782</v>
      </c>
      <c r="H4624" s="793" t="s">
        <v>804</v>
      </c>
      <c r="I4624" s="794">
        <v>1.9290524578750395E-2</v>
      </c>
      <c r="J4624" s="794">
        <v>28.26551551041247</v>
      </c>
      <c r="K4624" s="771"/>
    </row>
    <row r="4625" spans="1:11" ht="18.75" customHeight="1" outlineLevel="2">
      <c r="A4625" s="791" t="s">
        <v>776</v>
      </c>
      <c r="B4625" s="791" t="s">
        <v>1044</v>
      </c>
      <c r="C4625" s="791" t="s">
        <v>778</v>
      </c>
      <c r="D4625" s="792" t="s">
        <v>779</v>
      </c>
      <c r="E4625" s="793" t="s">
        <v>662</v>
      </c>
      <c r="F4625" s="793" t="s">
        <v>844</v>
      </c>
      <c r="G4625" s="793" t="s">
        <v>782</v>
      </c>
      <c r="H4625" s="793" t="s">
        <v>804</v>
      </c>
      <c r="I4625" s="794">
        <v>8.3685680970787043E-3</v>
      </c>
      <c r="J4625" s="794">
        <v>11.901872388728883</v>
      </c>
      <c r="K4625" s="771"/>
    </row>
    <row r="4626" spans="1:11" ht="18.75" customHeight="1" outlineLevel="2">
      <c r="A4626" s="791" t="s">
        <v>776</v>
      </c>
      <c r="B4626" s="791" t="s">
        <v>1044</v>
      </c>
      <c r="C4626" s="791" t="s">
        <v>778</v>
      </c>
      <c r="D4626" s="792" t="s">
        <v>779</v>
      </c>
      <c r="E4626" s="793" t="s">
        <v>662</v>
      </c>
      <c r="F4626" s="793" t="s">
        <v>845</v>
      </c>
      <c r="G4626" s="793" t="s">
        <v>782</v>
      </c>
      <c r="H4626" s="793" t="s">
        <v>804</v>
      </c>
      <c r="I4626" s="794">
        <v>4.5576387577447126E-4</v>
      </c>
      <c r="J4626" s="794">
        <v>0.62030368228034205</v>
      </c>
      <c r="K4626" s="771"/>
    </row>
    <row r="4627" spans="1:11" ht="18.75" customHeight="1" outlineLevel="2">
      <c r="A4627" s="791" t="s">
        <v>776</v>
      </c>
      <c r="B4627" s="791" t="s">
        <v>1044</v>
      </c>
      <c r="C4627" s="791" t="s">
        <v>778</v>
      </c>
      <c r="D4627" s="792" t="s">
        <v>779</v>
      </c>
      <c r="E4627" s="793" t="s">
        <v>662</v>
      </c>
      <c r="F4627" s="793" t="s">
        <v>846</v>
      </c>
      <c r="G4627" s="793" t="s">
        <v>782</v>
      </c>
      <c r="H4627" s="793" t="s">
        <v>804</v>
      </c>
      <c r="I4627" s="794">
        <v>1.586152959554462E-2</v>
      </c>
      <c r="J4627" s="794">
        <v>24.906959379983768</v>
      </c>
      <c r="K4627" s="771"/>
    </row>
    <row r="4628" spans="1:11" ht="18.75" customHeight="1" outlineLevel="2">
      <c r="A4628" s="791" t="s">
        <v>776</v>
      </c>
      <c r="B4628" s="791" t="s">
        <v>1044</v>
      </c>
      <c r="C4628" s="791" t="s">
        <v>778</v>
      </c>
      <c r="D4628" s="792" t="s">
        <v>779</v>
      </c>
      <c r="E4628" s="793" t="s">
        <v>662</v>
      </c>
      <c r="F4628" s="793" t="s">
        <v>847</v>
      </c>
      <c r="G4628" s="793" t="s">
        <v>782</v>
      </c>
      <c r="H4628" s="793" t="s">
        <v>804</v>
      </c>
      <c r="I4628" s="794">
        <v>7.5629982639576756E-3</v>
      </c>
      <c r="J4628" s="794">
        <v>9.2375434342340874</v>
      </c>
      <c r="K4628" s="771"/>
    </row>
    <row r="4629" spans="1:11" ht="18.75" customHeight="1" outlineLevel="2">
      <c r="A4629" s="791" t="s">
        <v>776</v>
      </c>
      <c r="B4629" s="791" t="s">
        <v>1044</v>
      </c>
      <c r="C4629" s="791" t="s">
        <v>778</v>
      </c>
      <c r="D4629" s="792" t="s">
        <v>779</v>
      </c>
      <c r="E4629" s="793" t="s">
        <v>662</v>
      </c>
      <c r="F4629" s="793" t="s">
        <v>848</v>
      </c>
      <c r="G4629" s="793" t="s">
        <v>782</v>
      </c>
      <c r="H4629" s="793" t="s">
        <v>804</v>
      </c>
      <c r="I4629" s="794">
        <v>3.573070724743329E-2</v>
      </c>
      <c r="J4629" s="794">
        <v>51.900682690463924</v>
      </c>
      <c r="K4629" s="771"/>
    </row>
    <row r="4630" spans="1:11" ht="18.75" customHeight="1" outlineLevel="2">
      <c r="A4630" s="791" t="s">
        <v>776</v>
      </c>
      <c r="B4630" s="791" t="s">
        <v>1044</v>
      </c>
      <c r="C4630" s="791" t="s">
        <v>778</v>
      </c>
      <c r="D4630" s="792" t="s">
        <v>779</v>
      </c>
      <c r="E4630" s="793" t="s">
        <v>662</v>
      </c>
      <c r="F4630" s="793" t="s">
        <v>849</v>
      </c>
      <c r="G4630" s="793" t="s">
        <v>782</v>
      </c>
      <c r="H4630" s="793" t="s">
        <v>804</v>
      </c>
      <c r="I4630" s="794">
        <v>1.811290707212293E-2</v>
      </c>
      <c r="J4630" s="794">
        <v>24.924130823289186</v>
      </c>
      <c r="K4630" s="771"/>
    </row>
    <row r="4631" spans="1:11" ht="18.75" customHeight="1" outlineLevel="2">
      <c r="A4631" s="791" t="s">
        <v>776</v>
      </c>
      <c r="B4631" s="791" t="s">
        <v>1044</v>
      </c>
      <c r="C4631" s="791" t="s">
        <v>778</v>
      </c>
      <c r="D4631" s="792" t="s">
        <v>779</v>
      </c>
      <c r="E4631" s="793" t="s">
        <v>662</v>
      </c>
      <c r="F4631" s="793" t="s">
        <v>850</v>
      </c>
      <c r="G4631" s="793" t="s">
        <v>782</v>
      </c>
      <c r="H4631" s="793" t="s">
        <v>804</v>
      </c>
      <c r="I4631" s="794">
        <v>1.4330531164623787E-3</v>
      </c>
      <c r="J4631" s="794">
        <v>2.0076065901112328</v>
      </c>
      <c r="K4631" s="771"/>
    </row>
    <row r="4632" spans="1:11" ht="18.75" customHeight="1" outlineLevel="2">
      <c r="A4632" s="791" t="s">
        <v>776</v>
      </c>
      <c r="B4632" s="791" t="s">
        <v>1044</v>
      </c>
      <c r="C4632" s="791" t="s">
        <v>778</v>
      </c>
      <c r="D4632" s="792" t="s">
        <v>779</v>
      </c>
      <c r="E4632" s="793" t="s">
        <v>662</v>
      </c>
      <c r="F4632" s="793" t="s">
        <v>851</v>
      </c>
      <c r="G4632" s="793" t="s">
        <v>782</v>
      </c>
      <c r="H4632" s="793" t="s">
        <v>804</v>
      </c>
      <c r="I4632" s="794">
        <v>2.3511010705979528E-3</v>
      </c>
      <c r="J4632" s="794">
        <v>3.3712740008846129</v>
      </c>
      <c r="K4632" s="771"/>
    </row>
    <row r="4633" spans="1:11" ht="18.75" customHeight="1" outlineLevel="2">
      <c r="A4633" s="791" t="s">
        <v>776</v>
      </c>
      <c r="B4633" s="791" t="s">
        <v>1044</v>
      </c>
      <c r="C4633" s="791" t="s">
        <v>778</v>
      </c>
      <c r="D4633" s="792" t="s">
        <v>779</v>
      </c>
      <c r="E4633" s="793" t="s">
        <v>662</v>
      </c>
      <c r="F4633" s="793" t="s">
        <v>852</v>
      </c>
      <c r="G4633" s="793" t="s">
        <v>782</v>
      </c>
      <c r="H4633" s="793" t="s">
        <v>804</v>
      </c>
      <c r="I4633" s="794">
        <v>1.0301170170587399E-3</v>
      </c>
      <c r="J4633" s="794">
        <v>3.0125097264630103</v>
      </c>
      <c r="K4633" s="771"/>
    </row>
    <row r="4634" spans="1:11" ht="18.75" customHeight="1" outlineLevel="2">
      <c r="A4634" s="791" t="s">
        <v>776</v>
      </c>
      <c r="B4634" s="791" t="s">
        <v>1044</v>
      </c>
      <c r="C4634" s="791" t="s">
        <v>778</v>
      </c>
      <c r="D4634" s="792" t="s">
        <v>779</v>
      </c>
      <c r="E4634" s="793" t="s">
        <v>662</v>
      </c>
      <c r="F4634" s="793" t="s">
        <v>853</v>
      </c>
      <c r="G4634" s="793" t="s">
        <v>782</v>
      </c>
      <c r="H4634" s="793" t="s">
        <v>804</v>
      </c>
      <c r="I4634" s="794">
        <v>8.28738384360912E-4</v>
      </c>
      <c r="J4634" s="794">
        <v>7.1451527599040938</v>
      </c>
      <c r="K4634" s="771"/>
    </row>
    <row r="4635" spans="1:11" ht="18.75" customHeight="1" outlineLevel="2">
      <c r="A4635" s="791" t="s">
        <v>776</v>
      </c>
      <c r="B4635" s="791" t="s">
        <v>1044</v>
      </c>
      <c r="C4635" s="791" t="s">
        <v>778</v>
      </c>
      <c r="D4635" s="792" t="s">
        <v>779</v>
      </c>
      <c r="E4635" s="793" t="s">
        <v>662</v>
      </c>
      <c r="F4635" s="793" t="s">
        <v>854</v>
      </c>
      <c r="G4635" s="793" t="s">
        <v>782</v>
      </c>
      <c r="H4635" s="793" t="s">
        <v>804</v>
      </c>
      <c r="I4635" s="794">
        <v>1.1273183214729603E-2</v>
      </c>
      <c r="J4635" s="794">
        <v>17.037090412009192</v>
      </c>
      <c r="K4635" s="771"/>
    </row>
    <row r="4636" spans="1:11" ht="18.75" customHeight="1" outlineLevel="2">
      <c r="A4636" s="791" t="s">
        <v>776</v>
      </c>
      <c r="B4636" s="791" t="s">
        <v>1044</v>
      </c>
      <c r="C4636" s="791" t="s">
        <v>778</v>
      </c>
      <c r="D4636" s="792" t="s">
        <v>779</v>
      </c>
      <c r="E4636" s="793" t="s">
        <v>662</v>
      </c>
      <c r="F4636" s="793" t="s">
        <v>855</v>
      </c>
      <c r="G4636" s="793" t="s">
        <v>782</v>
      </c>
      <c r="H4636" s="793" t="s">
        <v>804</v>
      </c>
      <c r="I4636" s="794">
        <v>8.0522502218497351E-3</v>
      </c>
      <c r="J4636" s="794">
        <v>11.874181773785281</v>
      </c>
      <c r="K4636" s="771"/>
    </row>
    <row r="4637" spans="1:11" ht="18.75" customHeight="1" outlineLevel="2">
      <c r="A4637" s="791" t="s">
        <v>776</v>
      </c>
      <c r="B4637" s="791" t="s">
        <v>1044</v>
      </c>
      <c r="C4637" s="791" t="s">
        <v>778</v>
      </c>
      <c r="D4637" s="792" t="s">
        <v>779</v>
      </c>
      <c r="E4637" s="793" t="s">
        <v>662</v>
      </c>
      <c r="F4637" s="793" t="s">
        <v>856</v>
      </c>
      <c r="G4637" s="793" t="s">
        <v>782</v>
      </c>
      <c r="H4637" s="793" t="s">
        <v>804</v>
      </c>
      <c r="I4637" s="794">
        <v>3.1614423718830369E-3</v>
      </c>
      <c r="J4637" s="794">
        <v>3.8907470299142664</v>
      </c>
      <c r="K4637" s="771"/>
    </row>
    <row r="4638" spans="1:11" ht="18.75" customHeight="1" outlineLevel="2">
      <c r="A4638" s="791" t="s">
        <v>776</v>
      </c>
      <c r="B4638" s="791" t="s">
        <v>1044</v>
      </c>
      <c r="C4638" s="791" t="s">
        <v>778</v>
      </c>
      <c r="D4638" s="792" t="s">
        <v>779</v>
      </c>
      <c r="E4638" s="793" t="s">
        <v>662</v>
      </c>
      <c r="F4638" s="793" t="s">
        <v>857</v>
      </c>
      <c r="G4638" s="793" t="s">
        <v>782</v>
      </c>
      <c r="H4638" s="793" t="s">
        <v>804</v>
      </c>
      <c r="I4638" s="794">
        <v>2.6334548837315909E-3</v>
      </c>
      <c r="J4638" s="794">
        <v>2.8429758956722537</v>
      </c>
      <c r="K4638" s="771"/>
    </row>
    <row r="4639" spans="1:11" ht="18.75" customHeight="1" outlineLevel="2">
      <c r="A4639" s="791" t="s">
        <v>776</v>
      </c>
      <c r="B4639" s="791" t="s">
        <v>1044</v>
      </c>
      <c r="C4639" s="791" t="s">
        <v>778</v>
      </c>
      <c r="D4639" s="792" t="s">
        <v>779</v>
      </c>
      <c r="E4639" s="793" t="s">
        <v>662</v>
      </c>
      <c r="F4639" s="793" t="s">
        <v>858</v>
      </c>
      <c r="G4639" s="793" t="s">
        <v>785</v>
      </c>
      <c r="H4639" s="793" t="s">
        <v>727</v>
      </c>
      <c r="I4639" s="794">
        <v>1.1275599702471391E-2</v>
      </c>
      <c r="J4639" s="794">
        <v>22.676594738946871</v>
      </c>
      <c r="K4639" s="771"/>
    </row>
    <row r="4640" spans="1:11" ht="18.75" customHeight="1" outlineLevel="2">
      <c r="A4640" s="791" t="s">
        <v>776</v>
      </c>
      <c r="B4640" s="791" t="s">
        <v>1044</v>
      </c>
      <c r="C4640" s="791" t="s">
        <v>778</v>
      </c>
      <c r="D4640" s="792" t="s">
        <v>779</v>
      </c>
      <c r="E4640" s="793" t="s">
        <v>662</v>
      </c>
      <c r="F4640" s="793" t="s">
        <v>859</v>
      </c>
      <c r="G4640" s="793" t="s">
        <v>785</v>
      </c>
      <c r="H4640" s="793" t="s">
        <v>727</v>
      </c>
      <c r="I4640" s="794">
        <v>8.0987210887090745E-3</v>
      </c>
      <c r="J4640" s="794">
        <v>85.819599392599216</v>
      </c>
      <c r="K4640" s="771"/>
    </row>
    <row r="4641" spans="1:11" ht="18.75" customHeight="1" outlineLevel="2">
      <c r="A4641" s="791" t="s">
        <v>776</v>
      </c>
      <c r="B4641" s="791" t="s">
        <v>1044</v>
      </c>
      <c r="C4641" s="791" t="s">
        <v>778</v>
      </c>
      <c r="D4641" s="792" t="s">
        <v>779</v>
      </c>
      <c r="E4641" s="793" t="s">
        <v>662</v>
      </c>
      <c r="F4641" s="793" t="s">
        <v>860</v>
      </c>
      <c r="G4641" s="793" t="s">
        <v>785</v>
      </c>
      <c r="H4641" s="793" t="s">
        <v>727</v>
      </c>
      <c r="I4641" s="794">
        <v>6.718821634941842E-3</v>
      </c>
      <c r="J4641" s="794">
        <v>18.441077848379283</v>
      </c>
      <c r="K4641" s="771"/>
    </row>
    <row r="4642" spans="1:11" ht="18.75" customHeight="1" outlineLevel="2">
      <c r="A4642" s="791" t="s">
        <v>776</v>
      </c>
      <c r="B4642" s="791" t="s">
        <v>1044</v>
      </c>
      <c r="C4642" s="791" t="s">
        <v>778</v>
      </c>
      <c r="D4642" s="792" t="s">
        <v>779</v>
      </c>
      <c r="E4642" s="793" t="s">
        <v>662</v>
      </c>
      <c r="F4642" s="793" t="s">
        <v>861</v>
      </c>
      <c r="G4642" s="793" t="s">
        <v>785</v>
      </c>
      <c r="H4642" s="793" t="s">
        <v>727</v>
      </c>
      <c r="I4642" s="794">
        <v>2.5844138885957959E-2</v>
      </c>
      <c r="J4642" s="794">
        <v>34.637406557065525</v>
      </c>
      <c r="K4642" s="771"/>
    </row>
    <row r="4643" spans="1:11" ht="18.75" customHeight="1" outlineLevel="2">
      <c r="A4643" s="791" t="s">
        <v>776</v>
      </c>
      <c r="B4643" s="791" t="s">
        <v>1044</v>
      </c>
      <c r="C4643" s="791" t="s">
        <v>778</v>
      </c>
      <c r="D4643" s="792" t="s">
        <v>779</v>
      </c>
      <c r="E4643" s="793" t="s">
        <v>662</v>
      </c>
      <c r="F4643" s="793" t="s">
        <v>862</v>
      </c>
      <c r="G4643" s="793" t="s">
        <v>785</v>
      </c>
      <c r="H4643" s="793" t="s">
        <v>727</v>
      </c>
      <c r="I4643" s="794">
        <v>7.2935931263545068E-4</v>
      </c>
      <c r="J4643" s="794">
        <v>1.5893127187675757</v>
      </c>
      <c r="K4643" s="771"/>
    </row>
    <row r="4644" spans="1:11" ht="18.75" customHeight="1" outlineLevel="2">
      <c r="A4644" s="791" t="s">
        <v>776</v>
      </c>
      <c r="B4644" s="791" t="s">
        <v>1044</v>
      </c>
      <c r="C4644" s="791" t="s">
        <v>778</v>
      </c>
      <c r="D4644" s="792" t="s">
        <v>779</v>
      </c>
      <c r="E4644" s="793" t="s">
        <v>662</v>
      </c>
      <c r="F4644" s="793" t="s">
        <v>863</v>
      </c>
      <c r="G4644" s="793" t="s">
        <v>785</v>
      </c>
      <c r="H4644" s="793" t="s">
        <v>727</v>
      </c>
      <c r="I4644" s="794">
        <v>1.0559969259937377E-3</v>
      </c>
      <c r="J4644" s="794">
        <v>1.5739549837069007</v>
      </c>
      <c r="K4644" s="771"/>
    </row>
    <row r="4645" spans="1:11" ht="18.75" customHeight="1" outlineLevel="2">
      <c r="A4645" s="791" t="s">
        <v>776</v>
      </c>
      <c r="B4645" s="791" t="s">
        <v>1044</v>
      </c>
      <c r="C4645" s="791" t="s">
        <v>778</v>
      </c>
      <c r="D4645" s="792" t="s">
        <v>779</v>
      </c>
      <c r="E4645" s="793" t="s">
        <v>662</v>
      </c>
      <c r="F4645" s="793" t="s">
        <v>864</v>
      </c>
      <c r="G4645" s="793" t="s">
        <v>785</v>
      </c>
      <c r="H4645" s="793" t="s">
        <v>727</v>
      </c>
      <c r="I4645" s="794">
        <v>5.3084508910827366E-4</v>
      </c>
      <c r="J4645" s="794">
        <v>7.5792005794679653</v>
      </c>
      <c r="K4645" s="771"/>
    </row>
    <row r="4646" spans="1:11" ht="18.75" customHeight="1" outlineLevel="2">
      <c r="A4646" s="791" t="s">
        <v>776</v>
      </c>
      <c r="B4646" s="791" t="s">
        <v>1044</v>
      </c>
      <c r="C4646" s="791" t="s">
        <v>778</v>
      </c>
      <c r="D4646" s="792" t="s">
        <v>779</v>
      </c>
      <c r="E4646" s="793" t="s">
        <v>662</v>
      </c>
      <c r="F4646" s="793" t="s">
        <v>865</v>
      </c>
      <c r="G4646" s="793" t="s">
        <v>813</v>
      </c>
      <c r="H4646" s="793" t="s">
        <v>814</v>
      </c>
      <c r="I4646" s="794">
        <v>0.65838833320486823</v>
      </c>
      <c r="J4646" s="794">
        <v>705.71795606508556</v>
      </c>
      <c r="K4646" s="771"/>
    </row>
    <row r="4647" spans="1:11" ht="18.75" customHeight="1" outlineLevel="2">
      <c r="A4647" s="791" t="s">
        <v>776</v>
      </c>
      <c r="B4647" s="791" t="s">
        <v>1044</v>
      </c>
      <c r="C4647" s="791" t="s">
        <v>778</v>
      </c>
      <c r="D4647" s="792" t="s">
        <v>779</v>
      </c>
      <c r="E4647" s="793" t="s">
        <v>662</v>
      </c>
      <c r="F4647" s="793" t="s">
        <v>866</v>
      </c>
      <c r="G4647" s="793" t="s">
        <v>813</v>
      </c>
      <c r="H4647" s="793" t="s">
        <v>814</v>
      </c>
      <c r="I4647" s="794">
        <v>0.39985998306907206</v>
      </c>
      <c r="J4647" s="794">
        <v>543.74837618532661</v>
      </c>
      <c r="K4647" s="771"/>
    </row>
    <row r="4648" spans="1:11" ht="18.75" customHeight="1" outlineLevel="2">
      <c r="A4648" s="791" t="s">
        <v>776</v>
      </c>
      <c r="B4648" s="791" t="s">
        <v>1044</v>
      </c>
      <c r="C4648" s="791" t="s">
        <v>778</v>
      </c>
      <c r="D4648" s="792" t="s">
        <v>779</v>
      </c>
      <c r="E4648" s="793" t="s">
        <v>662</v>
      </c>
      <c r="F4648" s="793" t="s">
        <v>867</v>
      </c>
      <c r="G4648" s="793" t="s">
        <v>813</v>
      </c>
      <c r="H4648" s="793" t="s">
        <v>814</v>
      </c>
      <c r="I4648" s="794">
        <v>5.667714547609453E-2</v>
      </c>
      <c r="J4648" s="794">
        <v>60.728239433407921</v>
      </c>
      <c r="K4648" s="771"/>
    </row>
    <row r="4649" spans="1:11" ht="18.75" customHeight="1" outlineLevel="2">
      <c r="A4649" s="791" t="s">
        <v>776</v>
      </c>
      <c r="B4649" s="791" t="s">
        <v>1044</v>
      </c>
      <c r="C4649" s="791" t="s">
        <v>778</v>
      </c>
      <c r="D4649" s="792" t="s">
        <v>779</v>
      </c>
      <c r="E4649" s="793" t="s">
        <v>662</v>
      </c>
      <c r="F4649" s="793" t="s">
        <v>868</v>
      </c>
      <c r="G4649" s="793" t="s">
        <v>813</v>
      </c>
      <c r="H4649" s="793" t="s">
        <v>814</v>
      </c>
      <c r="I4649" s="794">
        <v>0.25481923627712955</v>
      </c>
      <c r="J4649" s="794">
        <v>322.53179751029671</v>
      </c>
      <c r="K4649" s="771"/>
    </row>
    <row r="4650" spans="1:11" ht="18.75" customHeight="1" outlineLevel="2">
      <c r="A4650" s="791" t="s">
        <v>776</v>
      </c>
      <c r="B4650" s="791" t="s">
        <v>1044</v>
      </c>
      <c r="C4650" s="791" t="s">
        <v>778</v>
      </c>
      <c r="D4650" s="792" t="s">
        <v>779</v>
      </c>
      <c r="E4650" s="793" t="s">
        <v>662</v>
      </c>
      <c r="F4650" s="793" t="s">
        <v>869</v>
      </c>
      <c r="G4650" s="793" t="s">
        <v>813</v>
      </c>
      <c r="H4650" s="793" t="s">
        <v>814</v>
      </c>
      <c r="I4650" s="794">
        <v>3.0875217234750513E-3</v>
      </c>
      <c r="J4650" s="794">
        <v>3.9228876672275077</v>
      </c>
      <c r="K4650" s="771"/>
    </row>
    <row r="4651" spans="1:11" ht="18.75" customHeight="1" outlineLevel="2">
      <c r="A4651" s="791" t="s">
        <v>776</v>
      </c>
      <c r="B4651" s="791" t="s">
        <v>1044</v>
      </c>
      <c r="C4651" s="791" t="s">
        <v>778</v>
      </c>
      <c r="D4651" s="792" t="s">
        <v>779</v>
      </c>
      <c r="E4651" s="793" t="s">
        <v>662</v>
      </c>
      <c r="F4651" s="793" t="s">
        <v>870</v>
      </c>
      <c r="G4651" s="793" t="s">
        <v>813</v>
      </c>
      <c r="H4651" s="793" t="s">
        <v>814</v>
      </c>
      <c r="I4651" s="794">
        <v>8.8774021495957988E-3</v>
      </c>
      <c r="J4651" s="794">
        <v>12.594576781871874</v>
      </c>
      <c r="K4651" s="771"/>
    </row>
    <row r="4652" spans="1:11" ht="18.75" customHeight="1" outlineLevel="2">
      <c r="A4652" s="791" t="s">
        <v>776</v>
      </c>
      <c r="B4652" s="791" t="s">
        <v>1044</v>
      </c>
      <c r="C4652" s="791" t="s">
        <v>778</v>
      </c>
      <c r="D4652" s="792" t="s">
        <v>779</v>
      </c>
      <c r="E4652" s="793" t="s">
        <v>662</v>
      </c>
      <c r="F4652" s="793" t="s">
        <v>871</v>
      </c>
      <c r="G4652" s="793" t="s">
        <v>813</v>
      </c>
      <c r="H4652" s="793" t="s">
        <v>814</v>
      </c>
      <c r="I4652" s="794">
        <v>5.8802736925359809E-3</v>
      </c>
      <c r="J4652" s="794">
        <v>7.4839856238918285</v>
      </c>
      <c r="K4652" s="771"/>
    </row>
    <row r="4653" spans="1:11" ht="18.75" customHeight="1" outlineLevel="2">
      <c r="A4653" s="791" t="s">
        <v>776</v>
      </c>
      <c r="B4653" s="791" t="s">
        <v>1044</v>
      </c>
      <c r="C4653" s="791" t="s">
        <v>778</v>
      </c>
      <c r="D4653" s="792" t="s">
        <v>779</v>
      </c>
      <c r="E4653" s="793" t="s">
        <v>662</v>
      </c>
      <c r="F4653" s="793" t="s">
        <v>872</v>
      </c>
      <c r="G4653" s="793" t="s">
        <v>813</v>
      </c>
      <c r="H4653" s="793" t="s">
        <v>814</v>
      </c>
      <c r="I4653" s="794">
        <v>0.30340007587504286</v>
      </c>
      <c r="J4653" s="794">
        <v>516.81370489133587</v>
      </c>
      <c r="K4653" s="771"/>
    </row>
    <row r="4654" spans="1:11" ht="18.75" customHeight="1" outlineLevel="2">
      <c r="A4654" s="791" t="s">
        <v>776</v>
      </c>
      <c r="B4654" s="791" t="s">
        <v>1044</v>
      </c>
      <c r="C4654" s="791" t="s">
        <v>778</v>
      </c>
      <c r="D4654" s="792" t="s">
        <v>779</v>
      </c>
      <c r="E4654" s="793" t="s">
        <v>662</v>
      </c>
      <c r="F4654" s="793" t="s">
        <v>875</v>
      </c>
      <c r="G4654" s="793" t="s">
        <v>813</v>
      </c>
      <c r="H4654" s="793" t="s">
        <v>814</v>
      </c>
      <c r="I4654" s="794">
        <v>9.8100657219846094E-2</v>
      </c>
      <c r="J4654" s="794">
        <v>143.33350448342546</v>
      </c>
      <c r="K4654" s="771"/>
    </row>
    <row r="4655" spans="1:11" ht="18.75" customHeight="1" outlineLevel="2">
      <c r="A4655" s="791" t="s">
        <v>776</v>
      </c>
      <c r="B4655" s="791" t="s">
        <v>1044</v>
      </c>
      <c r="C4655" s="791" t="s">
        <v>778</v>
      </c>
      <c r="D4655" s="792" t="s">
        <v>779</v>
      </c>
      <c r="E4655" s="793" t="s">
        <v>662</v>
      </c>
      <c r="F4655" s="793" t="s">
        <v>876</v>
      </c>
      <c r="G4655" s="793" t="s">
        <v>813</v>
      </c>
      <c r="H4655" s="793" t="s">
        <v>814</v>
      </c>
      <c r="I4655" s="794">
        <v>4.5664096725549219E-2</v>
      </c>
      <c r="J4655" s="794">
        <v>69.082998090102336</v>
      </c>
      <c r="K4655" s="771"/>
    </row>
    <row r="4656" spans="1:11" ht="18.75" customHeight="1" outlineLevel="2">
      <c r="A4656" s="791" t="s">
        <v>776</v>
      </c>
      <c r="B4656" s="791" t="s">
        <v>1044</v>
      </c>
      <c r="C4656" s="791" t="s">
        <v>778</v>
      </c>
      <c r="D4656" s="792" t="s">
        <v>779</v>
      </c>
      <c r="E4656" s="793" t="s">
        <v>662</v>
      </c>
      <c r="F4656" s="793" t="s">
        <v>877</v>
      </c>
      <c r="G4656" s="793" t="s">
        <v>813</v>
      </c>
      <c r="H4656" s="793" t="s">
        <v>814</v>
      </c>
      <c r="I4656" s="794">
        <v>6.0247031297054159E-2</v>
      </c>
      <c r="J4656" s="794">
        <v>78.195130337521888</v>
      </c>
      <c r="K4656" s="771"/>
    </row>
    <row r="4657" spans="1:11" ht="18.75" customHeight="1" outlineLevel="2">
      <c r="A4657" s="791" t="s">
        <v>776</v>
      </c>
      <c r="B4657" s="791" t="s">
        <v>1044</v>
      </c>
      <c r="C4657" s="791" t="s">
        <v>778</v>
      </c>
      <c r="D4657" s="792" t="s">
        <v>779</v>
      </c>
      <c r="E4657" s="793" t="s">
        <v>662</v>
      </c>
      <c r="F4657" s="793" t="s">
        <v>878</v>
      </c>
      <c r="G4657" s="793" t="s">
        <v>813</v>
      </c>
      <c r="H4657" s="793" t="s">
        <v>814</v>
      </c>
      <c r="I4657" s="794">
        <v>3.0741718366557567E-2</v>
      </c>
      <c r="J4657" s="794">
        <v>37.126585200847636</v>
      </c>
      <c r="K4657" s="771"/>
    </row>
    <row r="4658" spans="1:11" ht="18.75" customHeight="1" outlineLevel="2">
      <c r="A4658" s="791" t="s">
        <v>776</v>
      </c>
      <c r="B4658" s="791" t="s">
        <v>1044</v>
      </c>
      <c r="C4658" s="791" t="s">
        <v>778</v>
      </c>
      <c r="D4658" s="792" t="s">
        <v>779</v>
      </c>
      <c r="E4658" s="793" t="s">
        <v>662</v>
      </c>
      <c r="F4658" s="793" t="s">
        <v>879</v>
      </c>
      <c r="G4658" s="793" t="s">
        <v>813</v>
      </c>
      <c r="H4658" s="793" t="s">
        <v>814</v>
      </c>
      <c r="I4658" s="794">
        <v>1.3119717659686079</v>
      </c>
      <c r="J4658" s="794">
        <v>1921.269393990262</v>
      </c>
      <c r="K4658" s="771"/>
    </row>
    <row r="4659" spans="1:11" ht="18.75" customHeight="1" outlineLevel="2">
      <c r="A4659" s="791" t="s">
        <v>776</v>
      </c>
      <c r="B4659" s="791" t="s">
        <v>1044</v>
      </c>
      <c r="C4659" s="791" t="s">
        <v>778</v>
      </c>
      <c r="D4659" s="792" t="s">
        <v>779</v>
      </c>
      <c r="E4659" s="793" t="s">
        <v>662</v>
      </c>
      <c r="F4659" s="793" t="s">
        <v>880</v>
      </c>
      <c r="G4659" s="793" t="s">
        <v>813</v>
      </c>
      <c r="H4659" s="793" t="s">
        <v>814</v>
      </c>
      <c r="I4659" s="794">
        <v>0.6204371137985103</v>
      </c>
      <c r="J4659" s="794">
        <v>938.84068961870275</v>
      </c>
      <c r="K4659" s="771"/>
    </row>
    <row r="4660" spans="1:11" ht="18.75" customHeight="1" outlineLevel="2">
      <c r="A4660" s="791" t="s">
        <v>776</v>
      </c>
      <c r="B4660" s="791" t="s">
        <v>1044</v>
      </c>
      <c r="C4660" s="791" t="s">
        <v>778</v>
      </c>
      <c r="D4660" s="792" t="s">
        <v>779</v>
      </c>
      <c r="E4660" s="793" t="s">
        <v>662</v>
      </c>
      <c r="F4660" s="793" t="s">
        <v>881</v>
      </c>
      <c r="G4660" s="793" t="s">
        <v>813</v>
      </c>
      <c r="H4660" s="793" t="s">
        <v>814</v>
      </c>
      <c r="I4660" s="794">
        <v>6.9426402025693681E-2</v>
      </c>
      <c r="J4660" s="794">
        <v>156.76182224011626</v>
      </c>
      <c r="K4660" s="771"/>
    </row>
    <row r="4661" spans="1:11" ht="18.75" customHeight="1" outlineLevel="2">
      <c r="A4661" s="791" t="s">
        <v>776</v>
      </c>
      <c r="B4661" s="791" t="s">
        <v>1044</v>
      </c>
      <c r="C4661" s="791" t="s">
        <v>778</v>
      </c>
      <c r="D4661" s="792" t="s">
        <v>779</v>
      </c>
      <c r="E4661" s="793" t="s">
        <v>662</v>
      </c>
      <c r="F4661" s="793" t="s">
        <v>882</v>
      </c>
      <c r="G4661" s="793" t="s">
        <v>813</v>
      </c>
      <c r="H4661" s="793" t="s">
        <v>814</v>
      </c>
      <c r="I4661" s="794">
        <v>1.9109775473900703</v>
      </c>
      <c r="J4661" s="794">
        <v>3030.6391508893598</v>
      </c>
      <c r="K4661" s="771"/>
    </row>
    <row r="4662" spans="1:11" ht="18.75" customHeight="1" outlineLevel="2">
      <c r="A4662" s="791" t="s">
        <v>776</v>
      </c>
      <c r="B4662" s="791" t="s">
        <v>1044</v>
      </c>
      <c r="C4662" s="791" t="s">
        <v>778</v>
      </c>
      <c r="D4662" s="792" t="s">
        <v>779</v>
      </c>
      <c r="E4662" s="793" t="s">
        <v>662</v>
      </c>
      <c r="F4662" s="793" t="s">
        <v>883</v>
      </c>
      <c r="G4662" s="793" t="s">
        <v>813</v>
      </c>
      <c r="H4662" s="793" t="s">
        <v>814</v>
      </c>
      <c r="I4662" s="794">
        <v>5.9728572042918017E-2</v>
      </c>
      <c r="J4662" s="794">
        <v>68.294263267030374</v>
      </c>
      <c r="K4662" s="771"/>
    </row>
    <row r="4663" spans="1:11" ht="18.75" customHeight="1" outlineLevel="2">
      <c r="A4663" s="791" t="s">
        <v>776</v>
      </c>
      <c r="B4663" s="791" t="s">
        <v>1044</v>
      </c>
      <c r="C4663" s="791" t="s">
        <v>778</v>
      </c>
      <c r="D4663" s="792" t="s">
        <v>779</v>
      </c>
      <c r="E4663" s="793" t="s">
        <v>662</v>
      </c>
      <c r="F4663" s="793" t="s">
        <v>884</v>
      </c>
      <c r="G4663" s="793" t="s">
        <v>813</v>
      </c>
      <c r="H4663" s="793" t="s">
        <v>814</v>
      </c>
      <c r="I4663" s="794">
        <v>8.019285785880588E-2</v>
      </c>
      <c r="J4663" s="794">
        <v>93.126452227804364</v>
      </c>
      <c r="K4663" s="771"/>
    </row>
    <row r="4664" spans="1:11" ht="18.75" customHeight="1" outlineLevel="2">
      <c r="A4664" s="791" t="s">
        <v>776</v>
      </c>
      <c r="B4664" s="791" t="s">
        <v>1044</v>
      </c>
      <c r="C4664" s="791" t="s">
        <v>778</v>
      </c>
      <c r="D4664" s="792" t="s">
        <v>779</v>
      </c>
      <c r="E4664" s="793" t="s">
        <v>662</v>
      </c>
      <c r="F4664" s="793" t="s">
        <v>885</v>
      </c>
      <c r="G4664" s="793" t="s">
        <v>791</v>
      </c>
      <c r="H4664" s="793" t="s">
        <v>826</v>
      </c>
      <c r="I4664" s="794">
        <v>1.006647704727612E-3</v>
      </c>
      <c r="J4664" s="794">
        <v>1.4877260072245433</v>
      </c>
      <c r="K4664" s="771"/>
    </row>
    <row r="4665" spans="1:11" ht="18.75" customHeight="1" outlineLevel="2">
      <c r="A4665" s="791" t="s">
        <v>776</v>
      </c>
      <c r="B4665" s="791" t="s">
        <v>1044</v>
      </c>
      <c r="C4665" s="791" t="s">
        <v>778</v>
      </c>
      <c r="D4665" s="792" t="s">
        <v>779</v>
      </c>
      <c r="E4665" s="793" t="s">
        <v>662</v>
      </c>
      <c r="F4665" s="793" t="s">
        <v>886</v>
      </c>
      <c r="G4665" s="793" t="s">
        <v>791</v>
      </c>
      <c r="H4665" s="793" t="s">
        <v>826</v>
      </c>
      <c r="I4665" s="794">
        <v>1.3174162355982031E-3</v>
      </c>
      <c r="J4665" s="794">
        <v>5.7569669466385651</v>
      </c>
      <c r="K4665" s="771"/>
    </row>
    <row r="4666" spans="1:11" ht="18.75" customHeight="1" outlineLevel="2">
      <c r="A4666" s="791" t="s">
        <v>776</v>
      </c>
      <c r="B4666" s="791" t="s">
        <v>1044</v>
      </c>
      <c r="C4666" s="791" t="s">
        <v>778</v>
      </c>
      <c r="D4666" s="792" t="s">
        <v>779</v>
      </c>
      <c r="E4666" s="793" t="s">
        <v>662</v>
      </c>
      <c r="F4666" s="793" t="s">
        <v>887</v>
      </c>
      <c r="G4666" s="793" t="s">
        <v>791</v>
      </c>
      <c r="H4666" s="793" t="s">
        <v>826</v>
      </c>
      <c r="I4666" s="794">
        <v>4.9158342410501055E-5</v>
      </c>
      <c r="J4666" s="794">
        <v>4.6180852735418207E-2</v>
      </c>
      <c r="K4666" s="771"/>
    </row>
    <row r="4667" spans="1:11" ht="18.75" customHeight="1" outlineLevel="2">
      <c r="A4667" s="791" t="s">
        <v>776</v>
      </c>
      <c r="B4667" s="791" t="s">
        <v>1044</v>
      </c>
      <c r="C4667" s="791" t="s">
        <v>778</v>
      </c>
      <c r="D4667" s="792" t="s">
        <v>779</v>
      </c>
      <c r="E4667" s="793" t="s">
        <v>662</v>
      </c>
      <c r="F4667" s="793" t="s">
        <v>888</v>
      </c>
      <c r="G4667" s="793" t="s">
        <v>791</v>
      </c>
      <c r="H4667" s="793" t="s">
        <v>826</v>
      </c>
      <c r="I4667" s="794">
        <v>4.4094247370431916E-3</v>
      </c>
      <c r="J4667" s="794">
        <v>4.13409775739549</v>
      </c>
      <c r="K4667" s="771"/>
    </row>
    <row r="4668" spans="1:11" ht="18.75" customHeight="1" outlineLevel="2">
      <c r="A4668" s="791" t="s">
        <v>776</v>
      </c>
      <c r="B4668" s="791" t="s">
        <v>1044</v>
      </c>
      <c r="C4668" s="791" t="s">
        <v>778</v>
      </c>
      <c r="D4668" s="792" t="s">
        <v>779</v>
      </c>
      <c r="E4668" s="793" t="s">
        <v>662</v>
      </c>
      <c r="F4668" s="793" t="s">
        <v>889</v>
      </c>
      <c r="G4668" s="793" t="s">
        <v>791</v>
      </c>
      <c r="H4668" s="793" t="s">
        <v>826</v>
      </c>
      <c r="I4668" s="794">
        <v>8.4693152040411139E-4</v>
      </c>
      <c r="J4668" s="794">
        <v>1.2231371305074423</v>
      </c>
      <c r="K4668" s="771"/>
    </row>
    <row r="4669" spans="1:11" ht="18.75" customHeight="1" outlineLevel="2">
      <c r="A4669" s="791" t="s">
        <v>776</v>
      </c>
      <c r="B4669" s="791" t="s">
        <v>1044</v>
      </c>
      <c r="C4669" s="791" t="s">
        <v>778</v>
      </c>
      <c r="D4669" s="792" t="s">
        <v>779</v>
      </c>
      <c r="E4669" s="793" t="s">
        <v>662</v>
      </c>
      <c r="F4669" s="793" t="s">
        <v>890</v>
      </c>
      <c r="G4669" s="793" t="s">
        <v>791</v>
      </c>
      <c r="H4669" s="793" t="s">
        <v>826</v>
      </c>
      <c r="I4669" s="794">
        <v>1.210604119348715E-2</v>
      </c>
      <c r="J4669" s="794">
        <v>13.552293362086671</v>
      </c>
      <c r="K4669" s="771"/>
    </row>
    <row r="4670" spans="1:11" ht="18.75" customHeight="1" outlineLevel="2">
      <c r="A4670" s="791" t="s">
        <v>776</v>
      </c>
      <c r="B4670" s="791" t="s">
        <v>1044</v>
      </c>
      <c r="C4670" s="791" t="s">
        <v>778</v>
      </c>
      <c r="D4670" s="792" t="s">
        <v>779</v>
      </c>
      <c r="E4670" s="793" t="s">
        <v>662</v>
      </c>
      <c r="F4670" s="793" t="s">
        <v>891</v>
      </c>
      <c r="G4670" s="793" t="s">
        <v>791</v>
      </c>
      <c r="H4670" s="793" t="s">
        <v>826</v>
      </c>
      <c r="I4670" s="794">
        <v>6.1991295908838118E-2</v>
      </c>
      <c r="J4670" s="794">
        <v>30.382850871676656</v>
      </c>
      <c r="K4670" s="771"/>
    </row>
    <row r="4671" spans="1:11" ht="18.75" customHeight="1" outlineLevel="2">
      <c r="A4671" s="791" t="s">
        <v>776</v>
      </c>
      <c r="B4671" s="791" t="s">
        <v>1044</v>
      </c>
      <c r="C4671" s="791" t="s">
        <v>778</v>
      </c>
      <c r="D4671" s="792" t="s">
        <v>779</v>
      </c>
      <c r="E4671" s="793" t="s">
        <v>662</v>
      </c>
      <c r="F4671" s="793" t="s">
        <v>892</v>
      </c>
      <c r="G4671" s="793" t="s">
        <v>791</v>
      </c>
      <c r="H4671" s="793" t="s">
        <v>826</v>
      </c>
      <c r="I4671" s="794">
        <v>6.9831723810941182E-3</v>
      </c>
      <c r="J4671" s="794">
        <v>6.547139756682494</v>
      </c>
      <c r="K4671" s="771"/>
    </row>
    <row r="4672" spans="1:11" ht="18.75" customHeight="1" outlineLevel="2">
      <c r="A4672" s="791" t="s">
        <v>776</v>
      </c>
      <c r="B4672" s="791" t="s">
        <v>1044</v>
      </c>
      <c r="C4672" s="791" t="s">
        <v>778</v>
      </c>
      <c r="D4672" s="792" t="s">
        <v>779</v>
      </c>
      <c r="E4672" s="793" t="s">
        <v>662</v>
      </c>
      <c r="F4672" s="793" t="s">
        <v>893</v>
      </c>
      <c r="G4672" s="793" t="s">
        <v>791</v>
      </c>
      <c r="H4672" s="793" t="s">
        <v>826</v>
      </c>
      <c r="I4672" s="794">
        <v>9.1666596509604285E-3</v>
      </c>
      <c r="J4672" s="794">
        <v>9.3430047446574065</v>
      </c>
      <c r="K4672" s="771"/>
    </row>
    <row r="4673" spans="1:11" ht="18.75" customHeight="1" outlineLevel="2">
      <c r="A4673" s="791" t="s">
        <v>776</v>
      </c>
      <c r="B4673" s="791" t="s">
        <v>1044</v>
      </c>
      <c r="C4673" s="791" t="s">
        <v>778</v>
      </c>
      <c r="D4673" s="792" t="s">
        <v>779</v>
      </c>
      <c r="E4673" s="793" t="s">
        <v>662</v>
      </c>
      <c r="F4673" s="793" t="s">
        <v>894</v>
      </c>
      <c r="G4673" s="793" t="s">
        <v>791</v>
      </c>
      <c r="H4673" s="793" t="s">
        <v>826</v>
      </c>
      <c r="I4673" s="794">
        <v>1.0976645805448897E-3</v>
      </c>
      <c r="J4673" s="794">
        <v>9.9849249902068031</v>
      </c>
      <c r="K4673" s="771"/>
    </row>
    <row r="4674" spans="1:11" ht="18.75" customHeight="1" outlineLevel="2">
      <c r="A4674" s="791" t="s">
        <v>776</v>
      </c>
      <c r="B4674" s="791" t="s">
        <v>1044</v>
      </c>
      <c r="C4674" s="791" t="s">
        <v>778</v>
      </c>
      <c r="D4674" s="792" t="s">
        <v>779</v>
      </c>
      <c r="E4674" s="793" t="s">
        <v>662</v>
      </c>
      <c r="F4674" s="793" t="s">
        <v>895</v>
      </c>
      <c r="G4674" s="793" t="s">
        <v>794</v>
      </c>
      <c r="H4674" s="793" t="s">
        <v>828</v>
      </c>
      <c r="I4674" s="794">
        <v>0.53002076818448041</v>
      </c>
      <c r="J4674" s="794">
        <v>737.55814500082238</v>
      </c>
      <c r="K4674" s="771"/>
    </row>
    <row r="4675" spans="1:11" ht="18.75" customHeight="1" outlineLevel="2">
      <c r="A4675" s="791" t="s">
        <v>776</v>
      </c>
      <c r="B4675" s="791" t="s">
        <v>1044</v>
      </c>
      <c r="C4675" s="791" t="s">
        <v>778</v>
      </c>
      <c r="D4675" s="792" t="s">
        <v>779</v>
      </c>
      <c r="E4675" s="793" t="s">
        <v>662</v>
      </c>
      <c r="F4675" s="793" t="s">
        <v>896</v>
      </c>
      <c r="G4675" s="793" t="s">
        <v>794</v>
      </c>
      <c r="H4675" s="793" t="s">
        <v>828</v>
      </c>
      <c r="I4675" s="794">
        <v>0.12449965972286613</v>
      </c>
      <c r="J4675" s="794">
        <v>184.53047340843975</v>
      </c>
      <c r="K4675" s="771"/>
    </row>
    <row r="4676" spans="1:11" ht="18.75" customHeight="1" outlineLevel="2">
      <c r="A4676" s="791" t="s">
        <v>776</v>
      </c>
      <c r="B4676" s="791" t="s">
        <v>1044</v>
      </c>
      <c r="C4676" s="791" t="s">
        <v>778</v>
      </c>
      <c r="D4676" s="792" t="s">
        <v>779</v>
      </c>
      <c r="E4676" s="793" t="s">
        <v>662</v>
      </c>
      <c r="F4676" s="793" t="s">
        <v>897</v>
      </c>
      <c r="G4676" s="793" t="s">
        <v>794</v>
      </c>
      <c r="H4676" s="793" t="s">
        <v>828</v>
      </c>
      <c r="I4676" s="794">
        <v>5.7433821129805641E-2</v>
      </c>
      <c r="J4676" s="794">
        <v>97.573597412581321</v>
      </c>
      <c r="K4676" s="771"/>
    </row>
    <row r="4677" spans="1:11" ht="18.75" customHeight="1" outlineLevel="2">
      <c r="A4677" s="791" t="s">
        <v>776</v>
      </c>
      <c r="B4677" s="791" t="s">
        <v>1044</v>
      </c>
      <c r="C4677" s="791" t="s">
        <v>778</v>
      </c>
      <c r="D4677" s="792" t="s">
        <v>779</v>
      </c>
      <c r="E4677" s="793" t="s">
        <v>662</v>
      </c>
      <c r="F4677" s="793" t="s">
        <v>898</v>
      </c>
      <c r="G4677" s="793" t="s">
        <v>794</v>
      </c>
      <c r="H4677" s="793" t="s">
        <v>828</v>
      </c>
      <c r="I4677" s="794">
        <v>0.13233898271371627</v>
      </c>
      <c r="J4677" s="794">
        <v>209.7567756315874</v>
      </c>
      <c r="K4677" s="771"/>
    </row>
    <row r="4678" spans="1:11" ht="18.75" customHeight="1" outlineLevel="2">
      <c r="A4678" s="791" t="s">
        <v>776</v>
      </c>
      <c r="B4678" s="791" t="s">
        <v>1044</v>
      </c>
      <c r="C4678" s="791" t="s">
        <v>778</v>
      </c>
      <c r="D4678" s="792" t="s">
        <v>779</v>
      </c>
      <c r="E4678" s="793" t="s">
        <v>662</v>
      </c>
      <c r="F4678" s="793" t="s">
        <v>899</v>
      </c>
      <c r="G4678" s="793" t="s">
        <v>794</v>
      </c>
      <c r="H4678" s="793" t="s">
        <v>828</v>
      </c>
      <c r="I4678" s="794">
        <v>0.23313038402417097</v>
      </c>
      <c r="J4678" s="794">
        <v>331.41030412082614</v>
      </c>
      <c r="K4678" s="771"/>
    </row>
    <row r="4679" spans="1:11" ht="18.75" customHeight="1" outlineLevel="2">
      <c r="A4679" s="791" t="s">
        <v>776</v>
      </c>
      <c r="B4679" s="791" t="s">
        <v>1044</v>
      </c>
      <c r="C4679" s="791" t="s">
        <v>778</v>
      </c>
      <c r="D4679" s="792" t="s">
        <v>779</v>
      </c>
      <c r="E4679" s="793" t="s">
        <v>662</v>
      </c>
      <c r="F4679" s="793" t="s">
        <v>900</v>
      </c>
      <c r="G4679" s="793" t="s">
        <v>794</v>
      </c>
      <c r="H4679" s="793" t="s">
        <v>828</v>
      </c>
      <c r="I4679" s="794">
        <v>1.0800328287615847E-2</v>
      </c>
      <c r="J4679" s="794">
        <v>15.549227135673949</v>
      </c>
      <c r="K4679" s="771"/>
    </row>
    <row r="4680" spans="1:11" ht="18.75" customHeight="1" outlineLevel="2">
      <c r="A4680" s="791" t="s">
        <v>776</v>
      </c>
      <c r="B4680" s="791" t="s">
        <v>1044</v>
      </c>
      <c r="C4680" s="791" t="s">
        <v>778</v>
      </c>
      <c r="D4680" s="792" t="s">
        <v>779</v>
      </c>
      <c r="E4680" s="793" t="s">
        <v>662</v>
      </c>
      <c r="F4680" s="793" t="s">
        <v>901</v>
      </c>
      <c r="G4680" s="793" t="s">
        <v>833</v>
      </c>
      <c r="H4680" s="793" t="s">
        <v>834</v>
      </c>
      <c r="I4680" s="794">
        <v>3.6515027613191378E-2</v>
      </c>
      <c r="J4680" s="794">
        <v>38.247389445954411</v>
      </c>
      <c r="K4680" s="771"/>
    </row>
    <row r="4681" spans="1:11" ht="18.75" customHeight="1" outlineLevel="2">
      <c r="A4681" s="791" t="s">
        <v>776</v>
      </c>
      <c r="B4681" s="791" t="s">
        <v>1044</v>
      </c>
      <c r="C4681" s="791" t="s">
        <v>778</v>
      </c>
      <c r="D4681" s="792" t="s">
        <v>779</v>
      </c>
      <c r="E4681" s="793" t="s">
        <v>662</v>
      </c>
      <c r="F4681" s="793" t="s">
        <v>902</v>
      </c>
      <c r="G4681" s="793" t="s">
        <v>833</v>
      </c>
      <c r="H4681" s="793" t="s">
        <v>834</v>
      </c>
      <c r="I4681" s="794">
        <v>3.1783881420838754E-4</v>
      </c>
      <c r="J4681" s="794">
        <v>0.40762717012235639</v>
      </c>
      <c r="K4681" s="771"/>
    </row>
    <row r="4682" spans="1:11" ht="18.75" customHeight="1" outlineLevel="2">
      <c r="A4682" s="791" t="s">
        <v>776</v>
      </c>
      <c r="B4682" s="791" t="s">
        <v>1044</v>
      </c>
      <c r="C4682" s="791" t="s">
        <v>778</v>
      </c>
      <c r="D4682" s="792" t="s">
        <v>779</v>
      </c>
      <c r="E4682" s="793" t="s">
        <v>662</v>
      </c>
      <c r="F4682" s="793" t="s">
        <v>903</v>
      </c>
      <c r="G4682" s="793" t="s">
        <v>904</v>
      </c>
      <c r="H4682" s="793" t="s">
        <v>905</v>
      </c>
      <c r="I4682" s="794">
        <v>17.824041479235085</v>
      </c>
      <c r="J4682" s="794">
        <v>15165.027409043007</v>
      </c>
      <c r="K4682" s="771"/>
    </row>
    <row r="4683" spans="1:11" ht="18.75" customHeight="1" outlineLevel="2">
      <c r="A4683" s="791" t="s">
        <v>776</v>
      </c>
      <c r="B4683" s="791" t="s">
        <v>1044</v>
      </c>
      <c r="C4683" s="791" t="s">
        <v>778</v>
      </c>
      <c r="D4683" s="792" t="s">
        <v>779</v>
      </c>
      <c r="E4683" s="793" t="s">
        <v>662</v>
      </c>
      <c r="F4683" s="793" t="s">
        <v>906</v>
      </c>
      <c r="G4683" s="793" t="s">
        <v>904</v>
      </c>
      <c r="H4683" s="793" t="s">
        <v>905</v>
      </c>
      <c r="I4683" s="794">
        <v>7.5023658507893352</v>
      </c>
      <c r="J4683" s="794">
        <v>6400.345303803525</v>
      </c>
      <c r="K4683" s="771"/>
    </row>
    <row r="4684" spans="1:11" ht="18.75" customHeight="1" outlineLevel="2">
      <c r="A4684" s="791" t="s">
        <v>776</v>
      </c>
      <c r="B4684" s="791" t="s">
        <v>1044</v>
      </c>
      <c r="C4684" s="791" t="s">
        <v>778</v>
      </c>
      <c r="D4684" s="792" t="s">
        <v>779</v>
      </c>
      <c r="E4684" s="793" t="s">
        <v>662</v>
      </c>
      <c r="F4684" s="793" t="s">
        <v>907</v>
      </c>
      <c r="G4684" s="793" t="s">
        <v>908</v>
      </c>
      <c r="H4684" s="793" t="s">
        <v>905</v>
      </c>
      <c r="I4684" s="794">
        <v>4.9677445724661951</v>
      </c>
      <c r="J4684" s="794">
        <v>8361.2342751221222</v>
      </c>
      <c r="K4684" s="771"/>
    </row>
    <row r="4685" spans="1:11" ht="18.75" customHeight="1" outlineLevel="2">
      <c r="A4685" s="791" t="s">
        <v>776</v>
      </c>
      <c r="B4685" s="791" t="s">
        <v>1044</v>
      </c>
      <c r="C4685" s="791" t="s">
        <v>778</v>
      </c>
      <c r="D4685" s="792" t="s">
        <v>779</v>
      </c>
      <c r="E4685" s="793" t="s">
        <v>662</v>
      </c>
      <c r="F4685" s="793" t="s">
        <v>909</v>
      </c>
      <c r="G4685" s="793" t="s">
        <v>910</v>
      </c>
      <c r="H4685" s="793" t="s">
        <v>911</v>
      </c>
      <c r="I4685" s="794">
        <v>5.8248998918285235E-5</v>
      </c>
      <c r="J4685" s="794">
        <v>8.7148617848041038E-2</v>
      </c>
      <c r="K4685" s="771"/>
    </row>
    <row r="4686" spans="1:11" ht="18.75" customHeight="1" outlineLevel="2">
      <c r="A4686" s="791" t="s">
        <v>776</v>
      </c>
      <c r="B4686" s="791" t="s">
        <v>1044</v>
      </c>
      <c r="C4686" s="791" t="s">
        <v>778</v>
      </c>
      <c r="D4686" s="792" t="s">
        <v>779</v>
      </c>
      <c r="E4686" s="793" t="s">
        <v>763</v>
      </c>
      <c r="F4686" s="793" t="s">
        <v>912</v>
      </c>
      <c r="G4686" s="793" t="s">
        <v>799</v>
      </c>
      <c r="H4686" s="793" t="s">
        <v>913</v>
      </c>
      <c r="I4686" s="794">
        <v>5.1270783723112298E-3</v>
      </c>
      <c r="J4686" s="794">
        <v>9.818604332290878</v>
      </c>
      <c r="K4686" s="771"/>
    </row>
    <row r="4687" spans="1:11" ht="18.75" customHeight="1" outlineLevel="2">
      <c r="A4687" s="791" t="s">
        <v>776</v>
      </c>
      <c r="B4687" s="791" t="s">
        <v>1044</v>
      </c>
      <c r="C4687" s="791" t="s">
        <v>778</v>
      </c>
      <c r="D4687" s="792" t="s">
        <v>779</v>
      </c>
      <c r="E4687" s="793" t="s">
        <v>763</v>
      </c>
      <c r="F4687" s="793" t="s">
        <v>914</v>
      </c>
      <c r="G4687" s="793" t="s">
        <v>782</v>
      </c>
      <c r="H4687" s="793" t="s">
        <v>913</v>
      </c>
      <c r="I4687" s="794">
        <v>2.5229571837820017E-4</v>
      </c>
      <c r="J4687" s="794">
        <v>1.1744352782406264</v>
      </c>
      <c r="K4687" s="771"/>
    </row>
    <row r="4688" spans="1:11" ht="18.75" customHeight="1" outlineLevel="2">
      <c r="A4688" s="791" t="s">
        <v>776</v>
      </c>
      <c r="B4688" s="791" t="s">
        <v>1044</v>
      </c>
      <c r="C4688" s="791" t="s">
        <v>778</v>
      </c>
      <c r="D4688" s="792" t="s">
        <v>779</v>
      </c>
      <c r="E4688" s="793" t="s">
        <v>763</v>
      </c>
      <c r="F4688" s="793" t="s">
        <v>915</v>
      </c>
      <c r="G4688" s="793" t="s">
        <v>782</v>
      </c>
      <c r="H4688" s="793" t="s">
        <v>913</v>
      </c>
      <c r="I4688" s="794">
        <v>1.3531426188580957E-4</v>
      </c>
      <c r="J4688" s="794">
        <v>1.9640681695201452</v>
      </c>
      <c r="K4688" s="771"/>
    </row>
    <row r="4689" spans="1:11" ht="18.75" customHeight="1" outlineLevel="2">
      <c r="A4689" s="791" t="s">
        <v>776</v>
      </c>
      <c r="B4689" s="791" t="s">
        <v>1044</v>
      </c>
      <c r="C4689" s="791" t="s">
        <v>778</v>
      </c>
      <c r="D4689" s="792" t="s">
        <v>779</v>
      </c>
      <c r="E4689" s="793" t="s">
        <v>763</v>
      </c>
      <c r="F4689" s="793" t="s">
        <v>916</v>
      </c>
      <c r="G4689" s="793" t="s">
        <v>782</v>
      </c>
      <c r="H4689" s="793" t="s">
        <v>913</v>
      </c>
      <c r="I4689" s="794">
        <v>2.0062450981980304E-4</v>
      </c>
      <c r="J4689" s="794">
        <v>0.34685250931262668</v>
      </c>
      <c r="K4689" s="771"/>
    </row>
    <row r="4690" spans="1:11" ht="18.75" customHeight="1" outlineLevel="2">
      <c r="A4690" s="791" t="s">
        <v>776</v>
      </c>
      <c r="B4690" s="791" t="s">
        <v>1044</v>
      </c>
      <c r="C4690" s="791" t="s">
        <v>778</v>
      </c>
      <c r="D4690" s="792" t="s">
        <v>779</v>
      </c>
      <c r="E4690" s="793" t="s">
        <v>763</v>
      </c>
      <c r="F4690" s="793" t="s">
        <v>917</v>
      </c>
      <c r="G4690" s="793" t="s">
        <v>782</v>
      </c>
      <c r="H4690" s="793" t="s">
        <v>913</v>
      </c>
      <c r="I4690" s="794">
        <v>3.6730168773086573E-5</v>
      </c>
      <c r="J4690" s="794">
        <v>0.20108622157547063</v>
      </c>
      <c r="K4690" s="771"/>
    </row>
    <row r="4691" spans="1:11" ht="18.75" customHeight="1" outlineLevel="2">
      <c r="A4691" s="791" t="s">
        <v>776</v>
      </c>
      <c r="B4691" s="791" t="s">
        <v>1044</v>
      </c>
      <c r="C4691" s="791" t="s">
        <v>778</v>
      </c>
      <c r="D4691" s="792" t="s">
        <v>779</v>
      </c>
      <c r="E4691" s="793" t="s">
        <v>763</v>
      </c>
      <c r="F4691" s="793" t="s">
        <v>918</v>
      </c>
      <c r="G4691" s="793" t="s">
        <v>782</v>
      </c>
      <c r="H4691" s="793" t="s">
        <v>913</v>
      </c>
      <c r="I4691" s="794">
        <v>8.1296586773046096E-4</v>
      </c>
      <c r="J4691" s="794">
        <v>3.632075769331812</v>
      </c>
      <c r="K4691" s="771"/>
    </row>
    <row r="4692" spans="1:11" ht="18.75" customHeight="1" outlineLevel="2">
      <c r="A4692" s="791" t="s">
        <v>776</v>
      </c>
      <c r="B4692" s="791" t="s">
        <v>1044</v>
      </c>
      <c r="C4692" s="791" t="s">
        <v>778</v>
      </c>
      <c r="D4692" s="792" t="s">
        <v>779</v>
      </c>
      <c r="E4692" s="793" t="s">
        <v>763</v>
      </c>
      <c r="F4692" s="793" t="s">
        <v>919</v>
      </c>
      <c r="G4692" s="793" t="s">
        <v>782</v>
      </c>
      <c r="H4692" s="793" t="s">
        <v>913</v>
      </c>
      <c r="I4692" s="794">
        <v>1.5550579930895538E-3</v>
      </c>
      <c r="J4692" s="794">
        <v>1.8243143303030402</v>
      </c>
      <c r="K4692" s="771"/>
    </row>
    <row r="4693" spans="1:11" ht="18.75" customHeight="1" outlineLevel="2">
      <c r="A4693" s="791" t="s">
        <v>776</v>
      </c>
      <c r="B4693" s="791" t="s">
        <v>1044</v>
      </c>
      <c r="C4693" s="791" t="s">
        <v>778</v>
      </c>
      <c r="D4693" s="792" t="s">
        <v>779</v>
      </c>
      <c r="E4693" s="793" t="s">
        <v>763</v>
      </c>
      <c r="F4693" s="793" t="s">
        <v>920</v>
      </c>
      <c r="G4693" s="793" t="s">
        <v>782</v>
      </c>
      <c r="H4693" s="793" t="s">
        <v>913</v>
      </c>
      <c r="I4693" s="794">
        <v>1.6889971211755437E-4</v>
      </c>
      <c r="J4693" s="794">
        <v>3.3603403755197911</v>
      </c>
      <c r="K4693" s="771"/>
    </row>
    <row r="4694" spans="1:11" ht="18.75" customHeight="1" outlineLevel="2">
      <c r="A4694" s="791" t="s">
        <v>776</v>
      </c>
      <c r="B4694" s="791" t="s">
        <v>1044</v>
      </c>
      <c r="C4694" s="791" t="s">
        <v>778</v>
      </c>
      <c r="D4694" s="792" t="s">
        <v>779</v>
      </c>
      <c r="E4694" s="793" t="s">
        <v>763</v>
      </c>
      <c r="F4694" s="793" t="s">
        <v>921</v>
      </c>
      <c r="G4694" s="793" t="s">
        <v>782</v>
      </c>
      <c r="H4694" s="793" t="s">
        <v>913</v>
      </c>
      <c r="I4694" s="794">
        <v>7.83906858599822E-4</v>
      </c>
      <c r="J4694" s="794">
        <v>1.3692284316506491</v>
      </c>
      <c r="K4694" s="771"/>
    </row>
    <row r="4695" spans="1:11" ht="18.75" customHeight="1" outlineLevel="2">
      <c r="A4695" s="791" t="s">
        <v>776</v>
      </c>
      <c r="B4695" s="791" t="s">
        <v>1044</v>
      </c>
      <c r="C4695" s="791" t="s">
        <v>778</v>
      </c>
      <c r="D4695" s="792" t="s">
        <v>779</v>
      </c>
      <c r="E4695" s="793" t="s">
        <v>763</v>
      </c>
      <c r="F4695" s="793" t="s">
        <v>922</v>
      </c>
      <c r="G4695" s="793" t="s">
        <v>782</v>
      </c>
      <c r="H4695" s="793" t="s">
        <v>913</v>
      </c>
      <c r="I4695" s="794">
        <v>1.171850408142732E-4</v>
      </c>
      <c r="J4695" s="794">
        <v>0.22441657226974734</v>
      </c>
      <c r="K4695" s="771"/>
    </row>
    <row r="4696" spans="1:11" ht="18.75" customHeight="1" outlineLevel="2">
      <c r="A4696" s="791" t="s">
        <v>776</v>
      </c>
      <c r="B4696" s="791" t="s">
        <v>1044</v>
      </c>
      <c r="C4696" s="791" t="s">
        <v>778</v>
      </c>
      <c r="D4696" s="792" t="s">
        <v>779</v>
      </c>
      <c r="E4696" s="793" t="s">
        <v>763</v>
      </c>
      <c r="F4696" s="793" t="s">
        <v>923</v>
      </c>
      <c r="G4696" s="793" t="s">
        <v>782</v>
      </c>
      <c r="H4696" s="793" t="s">
        <v>913</v>
      </c>
      <c r="I4696" s="794">
        <v>6.4223380967369417E-4</v>
      </c>
      <c r="J4696" s="794">
        <v>2.3335399665252838</v>
      </c>
      <c r="K4696" s="771"/>
    </row>
    <row r="4697" spans="1:11" ht="18.75" customHeight="1" outlineLevel="2">
      <c r="A4697" s="791" t="s">
        <v>776</v>
      </c>
      <c r="B4697" s="791" t="s">
        <v>1044</v>
      </c>
      <c r="C4697" s="791" t="s">
        <v>778</v>
      </c>
      <c r="D4697" s="792" t="s">
        <v>779</v>
      </c>
      <c r="E4697" s="793" t="s">
        <v>763</v>
      </c>
      <c r="F4697" s="793" t="s">
        <v>924</v>
      </c>
      <c r="G4697" s="793" t="s">
        <v>782</v>
      </c>
      <c r="H4697" s="793" t="s">
        <v>913</v>
      </c>
      <c r="I4697" s="794">
        <v>5.2909601041447045E-4</v>
      </c>
      <c r="J4697" s="794">
        <v>5.634989534099609</v>
      </c>
      <c r="K4697" s="771"/>
    </row>
    <row r="4698" spans="1:11" ht="18.75" customHeight="1" outlineLevel="2">
      <c r="A4698" s="791" t="s">
        <v>776</v>
      </c>
      <c r="B4698" s="791" t="s">
        <v>1044</v>
      </c>
      <c r="C4698" s="791" t="s">
        <v>778</v>
      </c>
      <c r="D4698" s="792" t="s">
        <v>779</v>
      </c>
      <c r="E4698" s="793" t="s">
        <v>763</v>
      </c>
      <c r="F4698" s="793" t="s">
        <v>925</v>
      </c>
      <c r="G4698" s="793" t="s">
        <v>782</v>
      </c>
      <c r="H4698" s="793" t="s">
        <v>913</v>
      </c>
      <c r="I4698" s="794">
        <v>3.7229590804267168E-5</v>
      </c>
      <c r="J4698" s="794">
        <v>0.59287452815627484</v>
      </c>
      <c r="K4698" s="771"/>
    </row>
    <row r="4699" spans="1:11" ht="18.75" customHeight="1" outlineLevel="2">
      <c r="A4699" s="791" t="s">
        <v>776</v>
      </c>
      <c r="B4699" s="791" t="s">
        <v>1044</v>
      </c>
      <c r="C4699" s="791" t="s">
        <v>778</v>
      </c>
      <c r="D4699" s="792" t="s">
        <v>779</v>
      </c>
      <c r="E4699" s="793" t="s">
        <v>763</v>
      </c>
      <c r="F4699" s="793" t="s">
        <v>926</v>
      </c>
      <c r="G4699" s="793" t="s">
        <v>782</v>
      </c>
      <c r="H4699" s="793" t="s">
        <v>913</v>
      </c>
      <c r="I4699" s="794">
        <v>2.7609352887794348E-3</v>
      </c>
      <c r="J4699" s="794">
        <v>5.0757127499812151</v>
      </c>
      <c r="K4699" s="771"/>
    </row>
    <row r="4700" spans="1:11" ht="18.75" customHeight="1" outlineLevel="2">
      <c r="A4700" s="791" t="s">
        <v>776</v>
      </c>
      <c r="B4700" s="791" t="s">
        <v>1044</v>
      </c>
      <c r="C4700" s="791" t="s">
        <v>778</v>
      </c>
      <c r="D4700" s="792" t="s">
        <v>779</v>
      </c>
      <c r="E4700" s="793" t="s">
        <v>763</v>
      </c>
      <c r="F4700" s="793" t="s">
        <v>927</v>
      </c>
      <c r="G4700" s="793" t="s">
        <v>782</v>
      </c>
      <c r="H4700" s="793" t="s">
        <v>913</v>
      </c>
      <c r="I4700" s="794">
        <v>1.5389423576689595E-3</v>
      </c>
      <c r="J4700" s="794">
        <v>2.1301352713252579</v>
      </c>
      <c r="K4700" s="771"/>
    </row>
    <row r="4701" spans="1:11" ht="18.75" customHeight="1" outlineLevel="2">
      <c r="A4701" s="791" t="s">
        <v>776</v>
      </c>
      <c r="B4701" s="791" t="s">
        <v>1044</v>
      </c>
      <c r="C4701" s="791" t="s">
        <v>778</v>
      </c>
      <c r="D4701" s="792" t="s">
        <v>779</v>
      </c>
      <c r="E4701" s="793" t="s">
        <v>763</v>
      </c>
      <c r="F4701" s="793" t="s">
        <v>928</v>
      </c>
      <c r="G4701" s="793" t="s">
        <v>785</v>
      </c>
      <c r="H4701" s="793" t="s">
        <v>913</v>
      </c>
      <c r="I4701" s="794">
        <v>3.9882543866421091E-3</v>
      </c>
      <c r="J4701" s="794">
        <v>12.277398134538069</v>
      </c>
      <c r="K4701" s="771"/>
    </row>
    <row r="4702" spans="1:11" ht="18.75" customHeight="1" outlineLevel="2">
      <c r="A4702" s="791" t="s">
        <v>776</v>
      </c>
      <c r="B4702" s="791" t="s">
        <v>1044</v>
      </c>
      <c r="C4702" s="791" t="s">
        <v>778</v>
      </c>
      <c r="D4702" s="792" t="s">
        <v>779</v>
      </c>
      <c r="E4702" s="793" t="s">
        <v>763</v>
      </c>
      <c r="F4702" s="793" t="s">
        <v>929</v>
      </c>
      <c r="G4702" s="793" t="s">
        <v>785</v>
      </c>
      <c r="H4702" s="793" t="s">
        <v>913</v>
      </c>
      <c r="I4702" s="794">
        <v>7.9289157458549753E-2</v>
      </c>
      <c r="J4702" s="794">
        <v>1116.7641601379914</v>
      </c>
      <c r="K4702" s="771"/>
    </row>
    <row r="4703" spans="1:11" ht="18.75" customHeight="1" outlineLevel="2">
      <c r="A4703" s="791" t="s">
        <v>776</v>
      </c>
      <c r="B4703" s="791" t="s">
        <v>1044</v>
      </c>
      <c r="C4703" s="791" t="s">
        <v>778</v>
      </c>
      <c r="D4703" s="792" t="s">
        <v>779</v>
      </c>
      <c r="E4703" s="793" t="s">
        <v>763</v>
      </c>
      <c r="F4703" s="793" t="s">
        <v>930</v>
      </c>
      <c r="G4703" s="793" t="s">
        <v>785</v>
      </c>
      <c r="H4703" s="793" t="s">
        <v>913</v>
      </c>
      <c r="I4703" s="794">
        <v>4.7204824508950081E-4</v>
      </c>
      <c r="J4703" s="794">
        <v>8.3194594241244566</v>
      </c>
      <c r="K4703" s="771"/>
    </row>
    <row r="4704" spans="1:11" ht="18.75" customHeight="1" outlineLevel="2">
      <c r="A4704" s="791" t="s">
        <v>776</v>
      </c>
      <c r="B4704" s="791" t="s">
        <v>1044</v>
      </c>
      <c r="C4704" s="791" t="s">
        <v>778</v>
      </c>
      <c r="D4704" s="792" t="s">
        <v>779</v>
      </c>
      <c r="E4704" s="793" t="s">
        <v>763</v>
      </c>
      <c r="F4704" s="793" t="s">
        <v>931</v>
      </c>
      <c r="G4704" s="793" t="s">
        <v>785</v>
      </c>
      <c r="H4704" s="793" t="s">
        <v>913</v>
      </c>
      <c r="I4704" s="794">
        <v>1.5790949456047921E-4</v>
      </c>
      <c r="J4704" s="794">
        <v>2.6242543803902714</v>
      </c>
      <c r="K4704" s="771"/>
    </row>
    <row r="4705" spans="1:11" ht="18.75" customHeight="1" outlineLevel="2">
      <c r="A4705" s="791" t="s">
        <v>776</v>
      </c>
      <c r="B4705" s="791" t="s">
        <v>1044</v>
      </c>
      <c r="C4705" s="791" t="s">
        <v>778</v>
      </c>
      <c r="D4705" s="792" t="s">
        <v>779</v>
      </c>
      <c r="E4705" s="793" t="s">
        <v>763</v>
      </c>
      <c r="F4705" s="793" t="s">
        <v>932</v>
      </c>
      <c r="G4705" s="793" t="s">
        <v>785</v>
      </c>
      <c r="H4705" s="793" t="s">
        <v>913</v>
      </c>
      <c r="I4705" s="794">
        <v>1.6860800423975267E-4</v>
      </c>
      <c r="J4705" s="794">
        <v>0.64811261022879463</v>
      </c>
      <c r="K4705" s="771"/>
    </row>
    <row r="4706" spans="1:11" ht="18.75" customHeight="1" outlineLevel="2">
      <c r="A4706" s="791" t="s">
        <v>776</v>
      </c>
      <c r="B4706" s="791" t="s">
        <v>1044</v>
      </c>
      <c r="C4706" s="791" t="s">
        <v>778</v>
      </c>
      <c r="D4706" s="792" t="s">
        <v>779</v>
      </c>
      <c r="E4706" s="793" t="s">
        <v>763</v>
      </c>
      <c r="F4706" s="793" t="s">
        <v>933</v>
      </c>
      <c r="G4706" s="793" t="s">
        <v>785</v>
      </c>
      <c r="H4706" s="793" t="s">
        <v>913</v>
      </c>
      <c r="I4706" s="794">
        <v>2.3666216434598344E-4</v>
      </c>
      <c r="J4706" s="794">
        <v>5.1542939979641691</v>
      </c>
      <c r="K4706" s="771"/>
    </row>
    <row r="4707" spans="1:11" ht="18.75" customHeight="1" outlineLevel="2">
      <c r="A4707" s="791" t="s">
        <v>776</v>
      </c>
      <c r="B4707" s="791" t="s">
        <v>1044</v>
      </c>
      <c r="C4707" s="791" t="s">
        <v>778</v>
      </c>
      <c r="D4707" s="792" t="s">
        <v>779</v>
      </c>
      <c r="E4707" s="793" t="s">
        <v>763</v>
      </c>
      <c r="F4707" s="793" t="s">
        <v>934</v>
      </c>
      <c r="G4707" s="793" t="s">
        <v>813</v>
      </c>
      <c r="H4707" s="793" t="s">
        <v>913</v>
      </c>
      <c r="I4707" s="794">
        <v>3.4095367176083572E-3</v>
      </c>
      <c r="J4707" s="794">
        <v>51.669134485030476</v>
      </c>
      <c r="K4707" s="771"/>
    </row>
    <row r="4708" spans="1:11" ht="18.75" customHeight="1" outlineLevel="2">
      <c r="A4708" s="791" t="s">
        <v>776</v>
      </c>
      <c r="B4708" s="791" t="s">
        <v>1044</v>
      </c>
      <c r="C4708" s="791" t="s">
        <v>778</v>
      </c>
      <c r="D4708" s="792" t="s">
        <v>779</v>
      </c>
      <c r="E4708" s="793" t="s">
        <v>763</v>
      </c>
      <c r="F4708" s="793" t="s">
        <v>935</v>
      </c>
      <c r="G4708" s="793" t="s">
        <v>791</v>
      </c>
      <c r="H4708" s="793" t="s">
        <v>913</v>
      </c>
      <c r="I4708" s="794">
        <v>4.6840879154413086E-5</v>
      </c>
      <c r="J4708" s="794">
        <v>5.9023349090383384E-2</v>
      </c>
      <c r="K4708" s="771"/>
    </row>
    <row r="4709" spans="1:11" ht="18.75" customHeight="1" outlineLevel="2">
      <c r="A4709" s="791" t="s">
        <v>776</v>
      </c>
      <c r="B4709" s="791" t="s">
        <v>1044</v>
      </c>
      <c r="C4709" s="791" t="s">
        <v>778</v>
      </c>
      <c r="D4709" s="792" t="s">
        <v>779</v>
      </c>
      <c r="E4709" s="793" t="s">
        <v>763</v>
      </c>
      <c r="F4709" s="793" t="s">
        <v>936</v>
      </c>
      <c r="G4709" s="793" t="s">
        <v>791</v>
      </c>
      <c r="H4709" s="793" t="s">
        <v>913</v>
      </c>
      <c r="I4709" s="794">
        <v>6.786812159398245E-6</v>
      </c>
      <c r="J4709" s="794">
        <v>0.11496089260364746</v>
      </c>
      <c r="K4709" s="771"/>
    </row>
    <row r="4710" spans="1:11" ht="18.75" customHeight="1" outlineLevel="2">
      <c r="A4710" s="791" t="s">
        <v>776</v>
      </c>
      <c r="B4710" s="791" t="s">
        <v>1044</v>
      </c>
      <c r="C4710" s="791" t="s">
        <v>778</v>
      </c>
      <c r="D4710" s="792" t="s">
        <v>779</v>
      </c>
      <c r="E4710" s="793" t="s">
        <v>763</v>
      </c>
      <c r="F4710" s="793" t="s">
        <v>937</v>
      </c>
      <c r="G4710" s="793" t="s">
        <v>794</v>
      </c>
      <c r="H4710" s="793" t="s">
        <v>913</v>
      </c>
      <c r="I4710" s="794">
        <v>2.8867793448816091E-2</v>
      </c>
      <c r="J4710" s="794">
        <v>70.879728956194</v>
      </c>
      <c r="K4710" s="771"/>
    </row>
    <row r="4711" spans="1:11" ht="18.75" customHeight="1" outlineLevel="2">
      <c r="A4711" s="791" t="s">
        <v>776</v>
      </c>
      <c r="B4711" s="791" t="s">
        <v>1044</v>
      </c>
      <c r="C4711" s="791" t="s">
        <v>778</v>
      </c>
      <c r="D4711" s="792" t="s">
        <v>779</v>
      </c>
      <c r="E4711" s="793" t="s">
        <v>763</v>
      </c>
      <c r="F4711" s="793" t="s">
        <v>938</v>
      </c>
      <c r="G4711" s="793" t="s">
        <v>794</v>
      </c>
      <c r="H4711" s="793" t="s">
        <v>913</v>
      </c>
      <c r="I4711" s="794">
        <v>3.39676595162213E-3</v>
      </c>
      <c r="J4711" s="794">
        <v>15.514682273263995</v>
      </c>
      <c r="K4711" s="771"/>
    </row>
    <row r="4712" spans="1:11" ht="18.75" customHeight="1" outlineLevel="2">
      <c r="A4712" s="791" t="s">
        <v>776</v>
      </c>
      <c r="B4712" s="791" t="s">
        <v>1044</v>
      </c>
      <c r="C4712" s="791" t="s">
        <v>778</v>
      </c>
      <c r="D4712" s="792" t="s">
        <v>779</v>
      </c>
      <c r="E4712" s="793" t="s">
        <v>763</v>
      </c>
      <c r="F4712" s="793" t="s">
        <v>939</v>
      </c>
      <c r="G4712" s="793" t="s">
        <v>794</v>
      </c>
      <c r="H4712" s="793" t="s">
        <v>913</v>
      </c>
      <c r="I4712" s="794">
        <v>1.7711036677330622E-3</v>
      </c>
      <c r="J4712" s="794">
        <v>18.116083771949363</v>
      </c>
      <c r="K4712" s="771"/>
    </row>
    <row r="4713" spans="1:11" ht="18.75" customHeight="1" outlineLevel="2">
      <c r="A4713" s="791" t="s">
        <v>776</v>
      </c>
      <c r="B4713" s="791" t="s">
        <v>1044</v>
      </c>
      <c r="C4713" s="791" t="s">
        <v>778</v>
      </c>
      <c r="D4713" s="792" t="s">
        <v>779</v>
      </c>
      <c r="E4713" s="793" t="s">
        <v>763</v>
      </c>
      <c r="F4713" s="793" t="s">
        <v>940</v>
      </c>
      <c r="G4713" s="793" t="s">
        <v>794</v>
      </c>
      <c r="H4713" s="793" t="s">
        <v>913</v>
      </c>
      <c r="I4713" s="794">
        <v>2.932052280345029E-3</v>
      </c>
      <c r="J4713" s="794">
        <v>22.515649238682776</v>
      </c>
      <c r="K4713" s="771"/>
    </row>
    <row r="4714" spans="1:11" ht="18.75" customHeight="1" outlineLevel="2">
      <c r="A4714" s="791" t="s">
        <v>776</v>
      </c>
      <c r="B4714" s="791" t="s">
        <v>1044</v>
      </c>
      <c r="C4714" s="791" t="s">
        <v>778</v>
      </c>
      <c r="D4714" s="792" t="s">
        <v>779</v>
      </c>
      <c r="E4714" s="793" t="s">
        <v>763</v>
      </c>
      <c r="F4714" s="793" t="s">
        <v>941</v>
      </c>
      <c r="G4714" s="793" t="s">
        <v>794</v>
      </c>
      <c r="H4714" s="793" t="s">
        <v>913</v>
      </c>
      <c r="I4714" s="794">
        <v>1.0149633003546671E-4</v>
      </c>
      <c r="J4714" s="794">
        <v>0.30622529570439744</v>
      </c>
      <c r="K4714" s="771"/>
    </row>
    <row r="4715" spans="1:11" ht="18.75" customHeight="1" outlineLevel="2">
      <c r="A4715" s="791" t="s">
        <v>776</v>
      </c>
      <c r="B4715" s="791" t="s">
        <v>1044</v>
      </c>
      <c r="C4715" s="791" t="s">
        <v>778</v>
      </c>
      <c r="D4715" s="792" t="s">
        <v>779</v>
      </c>
      <c r="E4715" s="793" t="s">
        <v>763</v>
      </c>
      <c r="F4715" s="793" t="s">
        <v>942</v>
      </c>
      <c r="G4715" s="793" t="s">
        <v>794</v>
      </c>
      <c r="H4715" s="793" t="s">
        <v>913</v>
      </c>
      <c r="I4715" s="794">
        <v>2.4059500457835473E-5</v>
      </c>
      <c r="J4715" s="794">
        <v>0.27802613422643102</v>
      </c>
      <c r="K4715" s="771"/>
    </row>
    <row r="4716" spans="1:11" ht="18.75" customHeight="1" outlineLevel="2">
      <c r="A4716" s="791" t="s">
        <v>776</v>
      </c>
      <c r="B4716" s="791" t="s">
        <v>1044</v>
      </c>
      <c r="C4716" s="791" t="s">
        <v>778</v>
      </c>
      <c r="D4716" s="792" t="s">
        <v>779</v>
      </c>
      <c r="E4716" s="793" t="s">
        <v>763</v>
      </c>
      <c r="F4716" s="793" t="s">
        <v>943</v>
      </c>
      <c r="G4716" s="793" t="s">
        <v>944</v>
      </c>
      <c r="H4716" s="793" t="s">
        <v>913</v>
      </c>
      <c r="I4716" s="794">
        <v>6.1232288492769743E-7</v>
      </c>
      <c r="J4716" s="794">
        <v>2.6454453602387162E-3</v>
      </c>
      <c r="K4716" s="771"/>
    </row>
    <row r="4717" spans="1:11" ht="18.75" customHeight="1" outlineLevel="2">
      <c r="A4717" s="791" t="s">
        <v>776</v>
      </c>
      <c r="B4717" s="791" t="s">
        <v>1044</v>
      </c>
      <c r="C4717" s="791" t="s">
        <v>778</v>
      </c>
      <c r="D4717" s="792" t="s">
        <v>779</v>
      </c>
      <c r="E4717" s="793" t="s">
        <v>764</v>
      </c>
      <c r="F4717" s="793" t="s">
        <v>945</v>
      </c>
      <c r="G4717" s="793" t="s">
        <v>244</v>
      </c>
      <c r="H4717" s="793" t="s">
        <v>905</v>
      </c>
      <c r="I4717" s="794">
        <v>0.17652650065103553</v>
      </c>
      <c r="J4717" s="794">
        <v>6353.3256714988265</v>
      </c>
      <c r="K4717" s="771"/>
    </row>
    <row r="4718" spans="1:11" ht="18.75" customHeight="1" outlineLevel="2">
      <c r="A4718" s="791" t="s">
        <v>776</v>
      </c>
      <c r="B4718" s="791" t="s">
        <v>1044</v>
      </c>
      <c r="C4718" s="791" t="s">
        <v>778</v>
      </c>
      <c r="D4718" s="792" t="s">
        <v>779</v>
      </c>
      <c r="E4718" s="793" t="s">
        <v>764</v>
      </c>
      <c r="F4718" s="793" t="s">
        <v>946</v>
      </c>
      <c r="G4718" s="793" t="s">
        <v>244</v>
      </c>
      <c r="H4718" s="793" t="s">
        <v>905</v>
      </c>
      <c r="I4718" s="794">
        <v>1.581892285298153E-3</v>
      </c>
      <c r="J4718" s="794">
        <v>30.007597861806904</v>
      </c>
      <c r="K4718" s="771"/>
    </row>
    <row r="4719" spans="1:11" ht="18.75" customHeight="1" outlineLevel="2">
      <c r="A4719" s="791" t="s">
        <v>776</v>
      </c>
      <c r="B4719" s="791" t="s">
        <v>1044</v>
      </c>
      <c r="C4719" s="791" t="s">
        <v>778</v>
      </c>
      <c r="D4719" s="792" t="s">
        <v>779</v>
      </c>
      <c r="E4719" s="793" t="s">
        <v>947</v>
      </c>
      <c r="F4719" s="793" t="s">
        <v>948</v>
      </c>
      <c r="G4719" s="793" t="s">
        <v>799</v>
      </c>
      <c r="H4719" s="793" t="s">
        <v>800</v>
      </c>
      <c r="I4719" s="794">
        <v>6.215635248705091E-3</v>
      </c>
      <c r="J4719" s="794">
        <v>153.65929753495624</v>
      </c>
      <c r="K4719" s="771"/>
    </row>
    <row r="4720" spans="1:11" ht="18.75" customHeight="1" outlineLevel="2">
      <c r="A4720" s="791" t="s">
        <v>776</v>
      </c>
      <c r="B4720" s="791" t="s">
        <v>1044</v>
      </c>
      <c r="C4720" s="791" t="s">
        <v>778</v>
      </c>
      <c r="D4720" s="792" t="s">
        <v>779</v>
      </c>
      <c r="E4720" s="793" t="s">
        <v>947</v>
      </c>
      <c r="F4720" s="793" t="s">
        <v>949</v>
      </c>
      <c r="G4720" s="793" t="s">
        <v>782</v>
      </c>
      <c r="H4720" s="793" t="s">
        <v>804</v>
      </c>
      <c r="I4720" s="794">
        <v>2.4084499734000637E-3</v>
      </c>
      <c r="J4720" s="794">
        <v>140.46184147120175</v>
      </c>
      <c r="K4720" s="771"/>
    </row>
    <row r="4721" spans="1:11" ht="18.75" customHeight="1" outlineLevel="2">
      <c r="A4721" s="791" t="s">
        <v>776</v>
      </c>
      <c r="B4721" s="791" t="s">
        <v>1044</v>
      </c>
      <c r="C4721" s="791" t="s">
        <v>778</v>
      </c>
      <c r="D4721" s="792" t="s">
        <v>779</v>
      </c>
      <c r="E4721" s="793" t="s">
        <v>947</v>
      </c>
      <c r="F4721" s="793" t="s">
        <v>950</v>
      </c>
      <c r="G4721" s="793" t="s">
        <v>782</v>
      </c>
      <c r="H4721" s="793" t="s">
        <v>804</v>
      </c>
      <c r="I4721" s="794">
        <v>2.0708568153012422E-5</v>
      </c>
      <c r="J4721" s="794">
        <v>0.22873909705060702</v>
      </c>
      <c r="K4721" s="771"/>
    </row>
    <row r="4722" spans="1:11" ht="18.75" customHeight="1" outlineLevel="2">
      <c r="A4722" s="791" t="s">
        <v>776</v>
      </c>
      <c r="B4722" s="791" t="s">
        <v>1044</v>
      </c>
      <c r="C4722" s="791" t="s">
        <v>778</v>
      </c>
      <c r="D4722" s="792" t="s">
        <v>779</v>
      </c>
      <c r="E4722" s="793" t="s">
        <v>947</v>
      </c>
      <c r="F4722" s="793" t="s">
        <v>951</v>
      </c>
      <c r="G4722" s="793" t="s">
        <v>782</v>
      </c>
      <c r="H4722" s="793" t="s">
        <v>804</v>
      </c>
      <c r="I4722" s="794">
        <v>3.0032747882410637E-4</v>
      </c>
      <c r="J4722" s="794">
        <v>3.7679564436884836</v>
      </c>
      <c r="K4722" s="771"/>
    </row>
    <row r="4723" spans="1:11" ht="18.75" customHeight="1" outlineLevel="2">
      <c r="A4723" s="791" t="s">
        <v>776</v>
      </c>
      <c r="B4723" s="791" t="s">
        <v>1044</v>
      </c>
      <c r="C4723" s="791" t="s">
        <v>778</v>
      </c>
      <c r="D4723" s="792" t="s">
        <v>779</v>
      </c>
      <c r="E4723" s="793" t="s">
        <v>947</v>
      </c>
      <c r="F4723" s="793" t="s">
        <v>952</v>
      </c>
      <c r="G4723" s="793" t="s">
        <v>782</v>
      </c>
      <c r="H4723" s="793" t="s">
        <v>804</v>
      </c>
      <c r="I4723" s="794">
        <v>6.85828992880619E-3</v>
      </c>
      <c r="J4723" s="794">
        <v>351.59717895403548</v>
      </c>
      <c r="K4723" s="771"/>
    </row>
    <row r="4724" spans="1:11" ht="18.75" customHeight="1" outlineLevel="2">
      <c r="A4724" s="791" t="s">
        <v>776</v>
      </c>
      <c r="B4724" s="791" t="s">
        <v>1044</v>
      </c>
      <c r="C4724" s="791" t="s">
        <v>778</v>
      </c>
      <c r="D4724" s="792" t="s">
        <v>779</v>
      </c>
      <c r="E4724" s="793" t="s">
        <v>947</v>
      </c>
      <c r="F4724" s="793" t="s">
        <v>953</v>
      </c>
      <c r="G4724" s="793" t="s">
        <v>782</v>
      </c>
      <c r="H4724" s="793" t="s">
        <v>804</v>
      </c>
      <c r="I4724" s="794">
        <v>5.2063151485724352E-3</v>
      </c>
      <c r="J4724" s="794">
        <v>382.56160888891679</v>
      </c>
      <c r="K4724" s="771"/>
    </row>
    <row r="4725" spans="1:11" ht="18.75" customHeight="1" outlineLevel="2">
      <c r="A4725" s="791" t="s">
        <v>776</v>
      </c>
      <c r="B4725" s="791" t="s">
        <v>1044</v>
      </c>
      <c r="C4725" s="791" t="s">
        <v>778</v>
      </c>
      <c r="D4725" s="792" t="s">
        <v>779</v>
      </c>
      <c r="E4725" s="793" t="s">
        <v>947</v>
      </c>
      <c r="F4725" s="793" t="s">
        <v>954</v>
      </c>
      <c r="G4725" s="793" t="s">
        <v>782</v>
      </c>
      <c r="H4725" s="793" t="s">
        <v>804</v>
      </c>
      <c r="I4725" s="794">
        <v>5.882045688434727E-4</v>
      </c>
      <c r="J4725" s="794">
        <v>21.124332963652193</v>
      </c>
      <c r="K4725" s="771"/>
    </row>
    <row r="4726" spans="1:11" ht="18.75" customHeight="1" outlineLevel="2">
      <c r="A4726" s="791" t="s">
        <v>776</v>
      </c>
      <c r="B4726" s="791" t="s">
        <v>1044</v>
      </c>
      <c r="C4726" s="791" t="s">
        <v>778</v>
      </c>
      <c r="D4726" s="792" t="s">
        <v>779</v>
      </c>
      <c r="E4726" s="793" t="s">
        <v>947</v>
      </c>
      <c r="F4726" s="793" t="s">
        <v>955</v>
      </c>
      <c r="G4726" s="793" t="s">
        <v>782</v>
      </c>
      <c r="H4726" s="793" t="s">
        <v>804</v>
      </c>
      <c r="I4726" s="794">
        <v>3.1286075816665119E-4</v>
      </c>
      <c r="J4726" s="794">
        <v>14.384760265497212</v>
      </c>
      <c r="K4726" s="771"/>
    </row>
    <row r="4727" spans="1:11" ht="18.75" customHeight="1" outlineLevel="2">
      <c r="A4727" s="791" t="s">
        <v>776</v>
      </c>
      <c r="B4727" s="791" t="s">
        <v>1044</v>
      </c>
      <c r="C4727" s="791" t="s">
        <v>778</v>
      </c>
      <c r="D4727" s="792" t="s">
        <v>779</v>
      </c>
      <c r="E4727" s="793" t="s">
        <v>947</v>
      </c>
      <c r="F4727" s="793" t="s">
        <v>956</v>
      </c>
      <c r="G4727" s="793" t="s">
        <v>782</v>
      </c>
      <c r="H4727" s="793" t="s">
        <v>804</v>
      </c>
      <c r="I4727" s="794">
        <v>1.6628428028239526E-3</v>
      </c>
      <c r="J4727" s="794">
        <v>39.501940831424115</v>
      </c>
      <c r="K4727" s="771"/>
    </row>
    <row r="4728" spans="1:11" ht="18.75" customHeight="1" outlineLevel="2">
      <c r="A4728" s="791" t="s">
        <v>776</v>
      </c>
      <c r="B4728" s="791" t="s">
        <v>1044</v>
      </c>
      <c r="C4728" s="791" t="s">
        <v>778</v>
      </c>
      <c r="D4728" s="792" t="s">
        <v>779</v>
      </c>
      <c r="E4728" s="793" t="s">
        <v>947</v>
      </c>
      <c r="F4728" s="793" t="s">
        <v>957</v>
      </c>
      <c r="G4728" s="793" t="s">
        <v>782</v>
      </c>
      <c r="H4728" s="793" t="s">
        <v>804</v>
      </c>
      <c r="I4728" s="794">
        <v>4.7668946959905671E-3</v>
      </c>
      <c r="J4728" s="794">
        <v>169.03926950312632</v>
      </c>
      <c r="K4728" s="771"/>
    </row>
    <row r="4729" spans="1:11" ht="18.75" customHeight="1" outlineLevel="2">
      <c r="A4729" s="791" t="s">
        <v>776</v>
      </c>
      <c r="B4729" s="791" t="s">
        <v>1044</v>
      </c>
      <c r="C4729" s="791" t="s">
        <v>778</v>
      </c>
      <c r="D4729" s="792" t="s">
        <v>779</v>
      </c>
      <c r="E4729" s="793" t="s">
        <v>947</v>
      </c>
      <c r="F4729" s="793" t="s">
        <v>958</v>
      </c>
      <c r="G4729" s="793" t="s">
        <v>782</v>
      </c>
      <c r="H4729" s="793" t="s">
        <v>804</v>
      </c>
      <c r="I4729" s="794">
        <v>3.3700379710580107E-3</v>
      </c>
      <c r="J4729" s="794">
        <v>185.59462139672652</v>
      </c>
      <c r="K4729" s="771"/>
    </row>
    <row r="4730" spans="1:11" ht="18.75" customHeight="1" outlineLevel="2">
      <c r="A4730" s="791" t="s">
        <v>776</v>
      </c>
      <c r="B4730" s="791" t="s">
        <v>1044</v>
      </c>
      <c r="C4730" s="791" t="s">
        <v>778</v>
      </c>
      <c r="D4730" s="792" t="s">
        <v>779</v>
      </c>
      <c r="E4730" s="793" t="s">
        <v>947</v>
      </c>
      <c r="F4730" s="793" t="s">
        <v>959</v>
      </c>
      <c r="G4730" s="793" t="s">
        <v>782</v>
      </c>
      <c r="H4730" s="793" t="s">
        <v>804</v>
      </c>
      <c r="I4730" s="794">
        <v>1.8476105972733491E-2</v>
      </c>
      <c r="J4730" s="794">
        <v>1425.0839888333637</v>
      </c>
      <c r="K4730" s="771"/>
    </row>
    <row r="4731" spans="1:11" ht="18.75" customHeight="1" outlineLevel="2">
      <c r="A4731" s="791" t="s">
        <v>776</v>
      </c>
      <c r="B4731" s="791" t="s">
        <v>1044</v>
      </c>
      <c r="C4731" s="791" t="s">
        <v>778</v>
      </c>
      <c r="D4731" s="792" t="s">
        <v>779</v>
      </c>
      <c r="E4731" s="793" t="s">
        <v>947</v>
      </c>
      <c r="F4731" s="793" t="s">
        <v>960</v>
      </c>
      <c r="G4731" s="793" t="s">
        <v>782</v>
      </c>
      <c r="H4731" s="793" t="s">
        <v>804</v>
      </c>
      <c r="I4731" s="794">
        <v>3.9078367064947575E-4</v>
      </c>
      <c r="J4731" s="794">
        <v>11.849743008753066</v>
      </c>
      <c r="K4731" s="771"/>
    </row>
    <row r="4732" spans="1:11" ht="18.75" customHeight="1" outlineLevel="2">
      <c r="A4732" s="791" t="s">
        <v>776</v>
      </c>
      <c r="B4732" s="791" t="s">
        <v>1044</v>
      </c>
      <c r="C4732" s="791" t="s">
        <v>778</v>
      </c>
      <c r="D4732" s="792" t="s">
        <v>779</v>
      </c>
      <c r="E4732" s="793" t="s">
        <v>947</v>
      </c>
      <c r="F4732" s="793" t="s">
        <v>961</v>
      </c>
      <c r="G4732" s="793" t="s">
        <v>782</v>
      </c>
      <c r="H4732" s="793" t="s">
        <v>804</v>
      </c>
      <c r="I4732" s="794">
        <v>1.538948648085785E-4</v>
      </c>
      <c r="J4732" s="794">
        <v>7.2556222979962843</v>
      </c>
      <c r="K4732" s="771"/>
    </row>
    <row r="4733" spans="1:11" ht="18.75" customHeight="1" outlineLevel="2">
      <c r="A4733" s="791" t="s">
        <v>776</v>
      </c>
      <c r="B4733" s="791" t="s">
        <v>1044</v>
      </c>
      <c r="C4733" s="791" t="s">
        <v>778</v>
      </c>
      <c r="D4733" s="792" t="s">
        <v>779</v>
      </c>
      <c r="E4733" s="793" t="s">
        <v>947</v>
      </c>
      <c r="F4733" s="793" t="s">
        <v>962</v>
      </c>
      <c r="G4733" s="793" t="s">
        <v>782</v>
      </c>
      <c r="H4733" s="793" t="s">
        <v>804</v>
      </c>
      <c r="I4733" s="794">
        <v>5.4520140231201133E-3</v>
      </c>
      <c r="J4733" s="794">
        <v>325.73760621931945</v>
      </c>
      <c r="K4733" s="771"/>
    </row>
    <row r="4734" spans="1:11" ht="18.75" customHeight="1" outlineLevel="2">
      <c r="A4734" s="791" t="s">
        <v>776</v>
      </c>
      <c r="B4734" s="791" t="s">
        <v>1044</v>
      </c>
      <c r="C4734" s="791" t="s">
        <v>778</v>
      </c>
      <c r="D4734" s="792" t="s">
        <v>779</v>
      </c>
      <c r="E4734" s="793" t="s">
        <v>947</v>
      </c>
      <c r="F4734" s="793" t="s">
        <v>963</v>
      </c>
      <c r="G4734" s="793" t="s">
        <v>782</v>
      </c>
      <c r="H4734" s="793" t="s">
        <v>804</v>
      </c>
      <c r="I4734" s="794">
        <v>4.6871718238050654E-3</v>
      </c>
      <c r="J4734" s="794">
        <v>354.56958625589698</v>
      </c>
      <c r="K4734" s="771"/>
    </row>
    <row r="4735" spans="1:11" ht="18.75" customHeight="1" outlineLevel="2">
      <c r="A4735" s="791" t="s">
        <v>776</v>
      </c>
      <c r="B4735" s="791" t="s">
        <v>1044</v>
      </c>
      <c r="C4735" s="791" t="s">
        <v>778</v>
      </c>
      <c r="D4735" s="792" t="s">
        <v>779</v>
      </c>
      <c r="E4735" s="793" t="s">
        <v>947</v>
      </c>
      <c r="F4735" s="793" t="s">
        <v>964</v>
      </c>
      <c r="G4735" s="793" t="s">
        <v>782</v>
      </c>
      <c r="H4735" s="793" t="s">
        <v>804</v>
      </c>
      <c r="I4735" s="794">
        <v>1.7113310733218246E-2</v>
      </c>
      <c r="J4735" s="794">
        <v>1219.669244315128</v>
      </c>
      <c r="K4735" s="771"/>
    </row>
    <row r="4736" spans="1:11" ht="18.75" customHeight="1" outlineLevel="2">
      <c r="A4736" s="791" t="s">
        <v>776</v>
      </c>
      <c r="B4736" s="791" t="s">
        <v>1044</v>
      </c>
      <c r="C4736" s="791" t="s">
        <v>778</v>
      </c>
      <c r="D4736" s="792" t="s">
        <v>779</v>
      </c>
      <c r="E4736" s="793" t="s">
        <v>947</v>
      </c>
      <c r="F4736" s="793" t="s">
        <v>965</v>
      </c>
      <c r="G4736" s="793" t="s">
        <v>782</v>
      </c>
      <c r="H4736" s="793" t="s">
        <v>804</v>
      </c>
      <c r="I4736" s="794">
        <v>1.1779967101835061E-3</v>
      </c>
      <c r="J4736" s="794">
        <v>57.350990822346361</v>
      </c>
      <c r="K4736" s="771"/>
    </row>
    <row r="4737" spans="1:11" ht="18.75" customHeight="1" outlineLevel="2">
      <c r="A4737" s="791" t="s">
        <v>776</v>
      </c>
      <c r="B4737" s="791" t="s">
        <v>1044</v>
      </c>
      <c r="C4737" s="791" t="s">
        <v>778</v>
      </c>
      <c r="D4737" s="792" t="s">
        <v>779</v>
      </c>
      <c r="E4737" s="793" t="s">
        <v>947</v>
      </c>
      <c r="F4737" s="793" t="s">
        <v>966</v>
      </c>
      <c r="G4737" s="793" t="s">
        <v>782</v>
      </c>
      <c r="H4737" s="793" t="s">
        <v>804</v>
      </c>
      <c r="I4737" s="794">
        <v>9.9054393165782049E-3</v>
      </c>
      <c r="J4737" s="794">
        <v>456.1962333209085</v>
      </c>
      <c r="K4737" s="771"/>
    </row>
    <row r="4738" spans="1:11" ht="18.75" customHeight="1" outlineLevel="2">
      <c r="A4738" s="791" t="s">
        <v>776</v>
      </c>
      <c r="B4738" s="791" t="s">
        <v>1044</v>
      </c>
      <c r="C4738" s="791" t="s">
        <v>778</v>
      </c>
      <c r="D4738" s="792" t="s">
        <v>779</v>
      </c>
      <c r="E4738" s="793" t="s">
        <v>947</v>
      </c>
      <c r="F4738" s="793" t="s">
        <v>967</v>
      </c>
      <c r="G4738" s="793" t="s">
        <v>782</v>
      </c>
      <c r="H4738" s="793" t="s">
        <v>804</v>
      </c>
      <c r="I4738" s="794">
        <v>2.4202025773439512E-2</v>
      </c>
      <c r="J4738" s="794">
        <v>1550.9802527052227</v>
      </c>
      <c r="K4738" s="771"/>
    </row>
    <row r="4739" spans="1:11" ht="18.75" customHeight="1" outlineLevel="2">
      <c r="A4739" s="791" t="s">
        <v>776</v>
      </c>
      <c r="B4739" s="791" t="s">
        <v>1044</v>
      </c>
      <c r="C4739" s="791" t="s">
        <v>778</v>
      </c>
      <c r="D4739" s="792" t="s">
        <v>779</v>
      </c>
      <c r="E4739" s="793" t="s">
        <v>947</v>
      </c>
      <c r="F4739" s="793" t="s">
        <v>968</v>
      </c>
      <c r="G4739" s="793" t="s">
        <v>782</v>
      </c>
      <c r="H4739" s="793" t="s">
        <v>804</v>
      </c>
      <c r="I4739" s="794">
        <v>5.3008383377246573E-2</v>
      </c>
      <c r="J4739" s="794">
        <v>1040.495515939989</v>
      </c>
      <c r="K4739" s="771"/>
    </row>
    <row r="4740" spans="1:11" ht="18.75" customHeight="1" outlineLevel="2">
      <c r="A4740" s="791" t="s">
        <v>776</v>
      </c>
      <c r="B4740" s="791" t="s">
        <v>1044</v>
      </c>
      <c r="C4740" s="791" t="s">
        <v>778</v>
      </c>
      <c r="D4740" s="792" t="s">
        <v>779</v>
      </c>
      <c r="E4740" s="793" t="s">
        <v>947</v>
      </c>
      <c r="F4740" s="793" t="s">
        <v>969</v>
      </c>
      <c r="G4740" s="793" t="s">
        <v>782</v>
      </c>
      <c r="H4740" s="793" t="s">
        <v>804</v>
      </c>
      <c r="I4740" s="794">
        <v>1.948992637653929E-2</v>
      </c>
      <c r="J4740" s="794">
        <v>1418.8186795640713</v>
      </c>
      <c r="K4740" s="771"/>
    </row>
    <row r="4741" spans="1:11" ht="18.75" customHeight="1" outlineLevel="2">
      <c r="A4741" s="791" t="s">
        <v>776</v>
      </c>
      <c r="B4741" s="791" t="s">
        <v>1044</v>
      </c>
      <c r="C4741" s="791" t="s">
        <v>778</v>
      </c>
      <c r="D4741" s="792" t="s">
        <v>779</v>
      </c>
      <c r="E4741" s="793" t="s">
        <v>947</v>
      </c>
      <c r="F4741" s="793" t="s">
        <v>970</v>
      </c>
      <c r="G4741" s="793" t="s">
        <v>782</v>
      </c>
      <c r="H4741" s="793" t="s">
        <v>804</v>
      </c>
      <c r="I4741" s="794">
        <v>3.5487360955003176E-2</v>
      </c>
      <c r="J4741" s="794">
        <v>816.73603444458604</v>
      </c>
      <c r="K4741" s="771"/>
    </row>
    <row r="4742" spans="1:11" ht="18.75" customHeight="1" outlineLevel="2">
      <c r="A4742" s="791" t="s">
        <v>776</v>
      </c>
      <c r="B4742" s="791" t="s">
        <v>1044</v>
      </c>
      <c r="C4742" s="791" t="s">
        <v>778</v>
      </c>
      <c r="D4742" s="792" t="s">
        <v>779</v>
      </c>
      <c r="E4742" s="793" t="s">
        <v>947</v>
      </c>
      <c r="F4742" s="793" t="s">
        <v>971</v>
      </c>
      <c r="G4742" s="793" t="s">
        <v>782</v>
      </c>
      <c r="H4742" s="793" t="s">
        <v>804</v>
      </c>
      <c r="I4742" s="794">
        <v>2.0831770998995143E-3</v>
      </c>
      <c r="J4742" s="794">
        <v>152.2410141843412</v>
      </c>
      <c r="K4742" s="771"/>
    </row>
    <row r="4743" spans="1:11" ht="18.75" customHeight="1" outlineLevel="2">
      <c r="A4743" s="791" t="s">
        <v>776</v>
      </c>
      <c r="B4743" s="791" t="s">
        <v>1044</v>
      </c>
      <c r="C4743" s="791" t="s">
        <v>778</v>
      </c>
      <c r="D4743" s="792" t="s">
        <v>779</v>
      </c>
      <c r="E4743" s="793" t="s">
        <v>947</v>
      </c>
      <c r="F4743" s="793" t="s">
        <v>972</v>
      </c>
      <c r="G4743" s="793" t="s">
        <v>782</v>
      </c>
      <c r="H4743" s="793" t="s">
        <v>804</v>
      </c>
      <c r="I4743" s="794">
        <v>1.0819849521456923E-4</v>
      </c>
      <c r="J4743" s="794">
        <v>2.4977153323182679</v>
      </c>
      <c r="K4743" s="771"/>
    </row>
    <row r="4744" spans="1:11" ht="18.75" customHeight="1" outlineLevel="2">
      <c r="A4744" s="791" t="s">
        <v>776</v>
      </c>
      <c r="B4744" s="791" t="s">
        <v>1044</v>
      </c>
      <c r="C4744" s="791" t="s">
        <v>778</v>
      </c>
      <c r="D4744" s="792" t="s">
        <v>779</v>
      </c>
      <c r="E4744" s="793" t="s">
        <v>947</v>
      </c>
      <c r="F4744" s="793" t="s">
        <v>973</v>
      </c>
      <c r="G4744" s="793" t="s">
        <v>782</v>
      </c>
      <c r="H4744" s="793" t="s">
        <v>804</v>
      </c>
      <c r="I4744" s="794">
        <v>2.9539177886109776E-3</v>
      </c>
      <c r="J4744" s="794">
        <v>158.80231655539288</v>
      </c>
      <c r="K4744" s="771"/>
    </row>
    <row r="4745" spans="1:11" ht="18.75" customHeight="1" outlineLevel="2">
      <c r="A4745" s="791" t="s">
        <v>776</v>
      </c>
      <c r="B4745" s="791" t="s">
        <v>1044</v>
      </c>
      <c r="C4745" s="791" t="s">
        <v>778</v>
      </c>
      <c r="D4745" s="792" t="s">
        <v>779</v>
      </c>
      <c r="E4745" s="793" t="s">
        <v>947</v>
      </c>
      <c r="F4745" s="793" t="s">
        <v>974</v>
      </c>
      <c r="G4745" s="793" t="s">
        <v>785</v>
      </c>
      <c r="H4745" s="793" t="s">
        <v>727</v>
      </c>
      <c r="I4745" s="794">
        <v>8.298209319633575E-4</v>
      </c>
      <c r="J4745" s="794">
        <v>20.07557797741941</v>
      </c>
      <c r="K4745" s="771"/>
    </row>
    <row r="4746" spans="1:11" ht="18.75" customHeight="1" outlineLevel="2">
      <c r="A4746" s="791" t="s">
        <v>776</v>
      </c>
      <c r="B4746" s="791" t="s">
        <v>1044</v>
      </c>
      <c r="C4746" s="791" t="s">
        <v>778</v>
      </c>
      <c r="D4746" s="792" t="s">
        <v>779</v>
      </c>
      <c r="E4746" s="793" t="s">
        <v>947</v>
      </c>
      <c r="F4746" s="793" t="s">
        <v>975</v>
      </c>
      <c r="G4746" s="793" t="s">
        <v>785</v>
      </c>
      <c r="H4746" s="793" t="s">
        <v>727</v>
      </c>
      <c r="I4746" s="794">
        <v>4.1297128538697724E-3</v>
      </c>
      <c r="J4746" s="794">
        <v>291.24847921822715</v>
      </c>
      <c r="K4746" s="771"/>
    </row>
    <row r="4747" spans="1:11" ht="18.75" customHeight="1" outlineLevel="2">
      <c r="A4747" s="791" t="s">
        <v>776</v>
      </c>
      <c r="B4747" s="791" t="s">
        <v>1044</v>
      </c>
      <c r="C4747" s="791" t="s">
        <v>778</v>
      </c>
      <c r="D4747" s="792" t="s">
        <v>779</v>
      </c>
      <c r="E4747" s="793" t="s">
        <v>947</v>
      </c>
      <c r="F4747" s="793" t="s">
        <v>976</v>
      </c>
      <c r="G4747" s="793" t="s">
        <v>785</v>
      </c>
      <c r="H4747" s="793" t="s">
        <v>727</v>
      </c>
      <c r="I4747" s="794">
        <v>2.4259889320697196E-3</v>
      </c>
      <c r="J4747" s="794">
        <v>127.2113202456753</v>
      </c>
      <c r="K4747" s="771"/>
    </row>
    <row r="4748" spans="1:11" ht="18.75" customHeight="1" outlineLevel="2">
      <c r="A4748" s="791" t="s">
        <v>776</v>
      </c>
      <c r="B4748" s="791" t="s">
        <v>1044</v>
      </c>
      <c r="C4748" s="791" t="s">
        <v>778</v>
      </c>
      <c r="D4748" s="792" t="s">
        <v>779</v>
      </c>
      <c r="E4748" s="793" t="s">
        <v>947</v>
      </c>
      <c r="F4748" s="793" t="s">
        <v>977</v>
      </c>
      <c r="G4748" s="793" t="s">
        <v>785</v>
      </c>
      <c r="H4748" s="793" t="s">
        <v>727</v>
      </c>
      <c r="I4748" s="794">
        <v>2.8715849552005705E-3</v>
      </c>
      <c r="J4748" s="794">
        <v>128.99726048964169</v>
      </c>
      <c r="K4748" s="771"/>
    </row>
    <row r="4749" spans="1:11" ht="18.75" customHeight="1" outlineLevel="2">
      <c r="A4749" s="791" t="s">
        <v>776</v>
      </c>
      <c r="B4749" s="791" t="s">
        <v>1044</v>
      </c>
      <c r="C4749" s="791" t="s">
        <v>778</v>
      </c>
      <c r="D4749" s="792" t="s">
        <v>779</v>
      </c>
      <c r="E4749" s="793" t="s">
        <v>947</v>
      </c>
      <c r="F4749" s="793" t="s">
        <v>978</v>
      </c>
      <c r="G4749" s="793" t="s">
        <v>785</v>
      </c>
      <c r="H4749" s="793" t="s">
        <v>727</v>
      </c>
      <c r="I4749" s="794">
        <v>1.8187317917966263E-4</v>
      </c>
      <c r="J4749" s="794">
        <v>4.9749305857432979</v>
      </c>
      <c r="K4749" s="771"/>
    </row>
    <row r="4750" spans="1:11" ht="18.75" customHeight="1" outlineLevel="2">
      <c r="A4750" s="791" t="s">
        <v>776</v>
      </c>
      <c r="B4750" s="791" t="s">
        <v>1044</v>
      </c>
      <c r="C4750" s="791" t="s">
        <v>778</v>
      </c>
      <c r="D4750" s="792" t="s">
        <v>779</v>
      </c>
      <c r="E4750" s="793" t="s">
        <v>947</v>
      </c>
      <c r="F4750" s="793" t="s">
        <v>979</v>
      </c>
      <c r="G4750" s="793" t="s">
        <v>785</v>
      </c>
      <c r="H4750" s="793" t="s">
        <v>727</v>
      </c>
      <c r="I4750" s="794">
        <v>2.5725960718461199E-2</v>
      </c>
      <c r="J4750" s="794">
        <v>845.51963284896317</v>
      </c>
      <c r="K4750" s="771"/>
    </row>
    <row r="4751" spans="1:11" ht="18.75" customHeight="1" outlineLevel="2">
      <c r="A4751" s="791" t="s">
        <v>776</v>
      </c>
      <c r="B4751" s="791" t="s">
        <v>1044</v>
      </c>
      <c r="C4751" s="791" t="s">
        <v>778</v>
      </c>
      <c r="D4751" s="792" t="s">
        <v>779</v>
      </c>
      <c r="E4751" s="793" t="s">
        <v>947</v>
      </c>
      <c r="F4751" s="793" t="s">
        <v>980</v>
      </c>
      <c r="G4751" s="793" t="s">
        <v>785</v>
      </c>
      <c r="H4751" s="793" t="s">
        <v>727</v>
      </c>
      <c r="I4751" s="794">
        <v>2.2643396578682332E-3</v>
      </c>
      <c r="J4751" s="794">
        <v>183.563399634978</v>
      </c>
      <c r="K4751" s="771"/>
    </row>
    <row r="4752" spans="1:11" ht="18.75" customHeight="1" outlineLevel="2">
      <c r="A4752" s="791" t="s">
        <v>776</v>
      </c>
      <c r="B4752" s="791" t="s">
        <v>1044</v>
      </c>
      <c r="C4752" s="791" t="s">
        <v>778</v>
      </c>
      <c r="D4752" s="792" t="s">
        <v>779</v>
      </c>
      <c r="E4752" s="793" t="s">
        <v>947</v>
      </c>
      <c r="F4752" s="793" t="s">
        <v>981</v>
      </c>
      <c r="G4752" s="793" t="s">
        <v>813</v>
      </c>
      <c r="H4752" s="793" t="s">
        <v>814</v>
      </c>
      <c r="I4752" s="794">
        <v>2.4205043883619344E-6</v>
      </c>
      <c r="J4752" s="794">
        <v>6.0667229383580074E-2</v>
      </c>
      <c r="K4752" s="771"/>
    </row>
    <row r="4753" spans="1:11" ht="18.75" customHeight="1" outlineLevel="2">
      <c r="A4753" s="791" t="s">
        <v>776</v>
      </c>
      <c r="B4753" s="791" t="s">
        <v>1044</v>
      </c>
      <c r="C4753" s="791" t="s">
        <v>778</v>
      </c>
      <c r="D4753" s="792" t="s">
        <v>779</v>
      </c>
      <c r="E4753" s="793" t="s">
        <v>947</v>
      </c>
      <c r="F4753" s="793" t="s">
        <v>983</v>
      </c>
      <c r="G4753" s="793" t="s">
        <v>813</v>
      </c>
      <c r="H4753" s="793" t="s">
        <v>814</v>
      </c>
      <c r="I4753" s="794">
        <v>1.9142899022900933E-2</v>
      </c>
      <c r="J4753" s="794">
        <v>425.26234479851456</v>
      </c>
      <c r="K4753" s="771"/>
    </row>
    <row r="4754" spans="1:11" ht="18.75" customHeight="1" outlineLevel="2">
      <c r="A4754" s="791" t="s">
        <v>776</v>
      </c>
      <c r="B4754" s="791" t="s">
        <v>1044</v>
      </c>
      <c r="C4754" s="791" t="s">
        <v>778</v>
      </c>
      <c r="D4754" s="792" t="s">
        <v>779</v>
      </c>
      <c r="E4754" s="793" t="s">
        <v>947</v>
      </c>
      <c r="F4754" s="793" t="s">
        <v>984</v>
      </c>
      <c r="G4754" s="793" t="s">
        <v>813</v>
      </c>
      <c r="H4754" s="793" t="s">
        <v>814</v>
      </c>
      <c r="I4754" s="794">
        <v>5.0342437946641495E-3</v>
      </c>
      <c r="J4754" s="794">
        <v>87.787665803856044</v>
      </c>
      <c r="K4754" s="771"/>
    </row>
    <row r="4755" spans="1:11" ht="18.75" customHeight="1" outlineLevel="2">
      <c r="A4755" s="791" t="s">
        <v>776</v>
      </c>
      <c r="B4755" s="791" t="s">
        <v>1044</v>
      </c>
      <c r="C4755" s="791" t="s">
        <v>778</v>
      </c>
      <c r="D4755" s="792" t="s">
        <v>779</v>
      </c>
      <c r="E4755" s="793" t="s">
        <v>947</v>
      </c>
      <c r="F4755" s="793" t="s">
        <v>985</v>
      </c>
      <c r="G4755" s="793" t="s">
        <v>813</v>
      </c>
      <c r="H4755" s="793" t="s">
        <v>814</v>
      </c>
      <c r="I4755" s="794">
        <v>1.1898980986702843E-2</v>
      </c>
      <c r="J4755" s="794">
        <v>579.71733598499418</v>
      </c>
      <c r="K4755" s="771"/>
    </row>
    <row r="4756" spans="1:11" ht="18.75" customHeight="1" outlineLevel="2">
      <c r="A4756" s="791" t="s">
        <v>776</v>
      </c>
      <c r="B4756" s="791" t="s">
        <v>1044</v>
      </c>
      <c r="C4756" s="791" t="s">
        <v>778</v>
      </c>
      <c r="D4756" s="792" t="s">
        <v>779</v>
      </c>
      <c r="E4756" s="793" t="s">
        <v>947</v>
      </c>
      <c r="F4756" s="793" t="s">
        <v>986</v>
      </c>
      <c r="G4756" s="793" t="s">
        <v>813</v>
      </c>
      <c r="H4756" s="793" t="s">
        <v>814</v>
      </c>
      <c r="I4756" s="794">
        <v>2.0406242793093625E-3</v>
      </c>
      <c r="J4756" s="794">
        <v>68.305297045295632</v>
      </c>
      <c r="K4756" s="771"/>
    </row>
    <row r="4757" spans="1:11" ht="18.75" customHeight="1" outlineLevel="2">
      <c r="A4757" s="791" t="s">
        <v>776</v>
      </c>
      <c r="B4757" s="791" t="s">
        <v>1044</v>
      </c>
      <c r="C4757" s="791" t="s">
        <v>778</v>
      </c>
      <c r="D4757" s="792" t="s">
        <v>779</v>
      </c>
      <c r="E4757" s="793" t="s">
        <v>947</v>
      </c>
      <c r="F4757" s="793" t="s">
        <v>987</v>
      </c>
      <c r="G4757" s="793" t="s">
        <v>813</v>
      </c>
      <c r="H4757" s="793" t="s">
        <v>814</v>
      </c>
      <c r="I4757" s="794">
        <v>5.7371859469934604E-5</v>
      </c>
      <c r="J4757" s="794">
        <v>1.7344213004758249</v>
      </c>
      <c r="K4757" s="771"/>
    </row>
    <row r="4758" spans="1:11" ht="18.75" customHeight="1" outlineLevel="2">
      <c r="A4758" s="791" t="s">
        <v>776</v>
      </c>
      <c r="B4758" s="791" t="s">
        <v>1044</v>
      </c>
      <c r="C4758" s="791" t="s">
        <v>778</v>
      </c>
      <c r="D4758" s="792" t="s">
        <v>779</v>
      </c>
      <c r="E4758" s="793" t="s">
        <v>947</v>
      </c>
      <c r="F4758" s="793" t="s">
        <v>988</v>
      </c>
      <c r="G4758" s="793" t="s">
        <v>791</v>
      </c>
      <c r="H4758" s="793" t="s">
        <v>826</v>
      </c>
      <c r="I4758" s="794">
        <v>1.3477229834683533E-5</v>
      </c>
      <c r="J4758" s="794">
        <v>0.11519531564098313</v>
      </c>
      <c r="K4758" s="771"/>
    </row>
    <row r="4759" spans="1:11" ht="18.75" customHeight="1" outlineLevel="2">
      <c r="A4759" s="791" t="s">
        <v>776</v>
      </c>
      <c r="B4759" s="791" t="s">
        <v>1044</v>
      </c>
      <c r="C4759" s="791" t="s">
        <v>778</v>
      </c>
      <c r="D4759" s="792" t="s">
        <v>779</v>
      </c>
      <c r="E4759" s="793" t="s">
        <v>947</v>
      </c>
      <c r="F4759" s="793" t="s">
        <v>989</v>
      </c>
      <c r="G4759" s="793" t="s">
        <v>791</v>
      </c>
      <c r="H4759" s="793" t="s">
        <v>826</v>
      </c>
      <c r="I4759" s="794">
        <v>8.1524114494793534E-2</v>
      </c>
      <c r="J4759" s="794">
        <v>4783.1608283073983</v>
      </c>
      <c r="K4759" s="771"/>
    </row>
    <row r="4760" spans="1:11" ht="18.75" customHeight="1" outlineLevel="2">
      <c r="A4760" s="791" t="s">
        <v>776</v>
      </c>
      <c r="B4760" s="791" t="s">
        <v>1044</v>
      </c>
      <c r="C4760" s="791" t="s">
        <v>778</v>
      </c>
      <c r="D4760" s="792" t="s">
        <v>779</v>
      </c>
      <c r="E4760" s="793" t="s">
        <v>947</v>
      </c>
      <c r="F4760" s="793" t="s">
        <v>990</v>
      </c>
      <c r="G4760" s="793" t="s">
        <v>791</v>
      </c>
      <c r="H4760" s="793" t="s">
        <v>826</v>
      </c>
      <c r="I4760" s="794">
        <v>3.8910639162765969E-3</v>
      </c>
      <c r="J4760" s="794">
        <v>428.85118043297587</v>
      </c>
      <c r="K4760" s="771"/>
    </row>
    <row r="4761" spans="1:11" ht="18.75" customHeight="1" outlineLevel="2">
      <c r="A4761" s="791" t="s">
        <v>776</v>
      </c>
      <c r="B4761" s="791" t="s">
        <v>1044</v>
      </c>
      <c r="C4761" s="791" t="s">
        <v>778</v>
      </c>
      <c r="D4761" s="792" t="s">
        <v>779</v>
      </c>
      <c r="E4761" s="793" t="s">
        <v>947</v>
      </c>
      <c r="F4761" s="793" t="s">
        <v>991</v>
      </c>
      <c r="G4761" s="793" t="s">
        <v>791</v>
      </c>
      <c r="H4761" s="793" t="s">
        <v>826</v>
      </c>
      <c r="I4761" s="794">
        <v>3.0907000527163966E-5</v>
      </c>
      <c r="J4761" s="794">
        <v>2.3737218424844451</v>
      </c>
      <c r="K4761" s="771"/>
    </row>
    <row r="4762" spans="1:11" ht="18.75" customHeight="1" outlineLevel="2">
      <c r="A4762" s="791" t="s">
        <v>776</v>
      </c>
      <c r="B4762" s="791" t="s">
        <v>1044</v>
      </c>
      <c r="C4762" s="791" t="s">
        <v>778</v>
      </c>
      <c r="D4762" s="792" t="s">
        <v>779</v>
      </c>
      <c r="E4762" s="793" t="s">
        <v>947</v>
      </c>
      <c r="F4762" s="793" t="s">
        <v>992</v>
      </c>
      <c r="G4762" s="793" t="s">
        <v>791</v>
      </c>
      <c r="H4762" s="793" t="s">
        <v>826</v>
      </c>
      <c r="I4762" s="794">
        <v>6.0248768656712998E-6</v>
      </c>
      <c r="J4762" s="794">
        <v>0.49864633267047831</v>
      </c>
      <c r="K4762" s="771"/>
    </row>
    <row r="4763" spans="1:11" ht="18.75" customHeight="1" outlineLevel="2">
      <c r="A4763" s="791" t="s">
        <v>776</v>
      </c>
      <c r="B4763" s="791" t="s">
        <v>1044</v>
      </c>
      <c r="C4763" s="791" t="s">
        <v>778</v>
      </c>
      <c r="D4763" s="792" t="s">
        <v>779</v>
      </c>
      <c r="E4763" s="793" t="s">
        <v>947</v>
      </c>
      <c r="F4763" s="793" t="s">
        <v>993</v>
      </c>
      <c r="G4763" s="793" t="s">
        <v>791</v>
      </c>
      <c r="H4763" s="793" t="s">
        <v>826</v>
      </c>
      <c r="I4763" s="794">
        <v>3.955326084133576E-4</v>
      </c>
      <c r="J4763" s="794">
        <v>36.368450869515456</v>
      </c>
      <c r="K4763" s="771"/>
    </row>
    <row r="4764" spans="1:11" ht="18.75" customHeight="1" outlineLevel="2">
      <c r="A4764" s="791" t="s">
        <v>776</v>
      </c>
      <c r="B4764" s="791" t="s">
        <v>1044</v>
      </c>
      <c r="C4764" s="791" t="s">
        <v>778</v>
      </c>
      <c r="D4764" s="792" t="s">
        <v>779</v>
      </c>
      <c r="E4764" s="793" t="s">
        <v>947</v>
      </c>
      <c r="F4764" s="793" t="s">
        <v>994</v>
      </c>
      <c r="G4764" s="793" t="s">
        <v>791</v>
      </c>
      <c r="H4764" s="793" t="s">
        <v>826</v>
      </c>
      <c r="I4764" s="794">
        <v>8.3625707707781002E-7</v>
      </c>
      <c r="J4764" s="794">
        <v>0.1006202910063847</v>
      </c>
      <c r="K4764" s="771"/>
    </row>
    <row r="4765" spans="1:11" ht="18.75" customHeight="1" outlineLevel="2">
      <c r="A4765" s="791" t="s">
        <v>776</v>
      </c>
      <c r="B4765" s="791" t="s">
        <v>1044</v>
      </c>
      <c r="C4765" s="791" t="s">
        <v>778</v>
      </c>
      <c r="D4765" s="792" t="s">
        <v>779</v>
      </c>
      <c r="E4765" s="793" t="s">
        <v>947</v>
      </c>
      <c r="F4765" s="793" t="s">
        <v>995</v>
      </c>
      <c r="G4765" s="793" t="s">
        <v>791</v>
      </c>
      <c r="H4765" s="793" t="s">
        <v>826</v>
      </c>
      <c r="I4765" s="794">
        <v>3.560041611873755E-4</v>
      </c>
      <c r="J4765" s="794">
        <v>33.627442831272241</v>
      </c>
      <c r="K4765" s="771"/>
    </row>
    <row r="4766" spans="1:11" ht="18.75" customHeight="1" outlineLevel="2">
      <c r="A4766" s="791" t="s">
        <v>776</v>
      </c>
      <c r="B4766" s="791" t="s">
        <v>1044</v>
      </c>
      <c r="C4766" s="791" t="s">
        <v>778</v>
      </c>
      <c r="D4766" s="792" t="s">
        <v>779</v>
      </c>
      <c r="E4766" s="793" t="s">
        <v>947</v>
      </c>
      <c r="F4766" s="793" t="s">
        <v>996</v>
      </c>
      <c r="G4766" s="793" t="s">
        <v>791</v>
      </c>
      <c r="H4766" s="793" t="s">
        <v>826</v>
      </c>
      <c r="I4766" s="794">
        <v>1.0525895024406883E-3</v>
      </c>
      <c r="J4766" s="794">
        <v>93.579639666346992</v>
      </c>
      <c r="K4766" s="771"/>
    </row>
    <row r="4767" spans="1:11" ht="18.75" customHeight="1" outlineLevel="2">
      <c r="A4767" s="791" t="s">
        <v>776</v>
      </c>
      <c r="B4767" s="791" t="s">
        <v>1044</v>
      </c>
      <c r="C4767" s="791" t="s">
        <v>778</v>
      </c>
      <c r="D4767" s="792" t="s">
        <v>779</v>
      </c>
      <c r="E4767" s="793" t="s">
        <v>947</v>
      </c>
      <c r="F4767" s="793" t="s">
        <v>997</v>
      </c>
      <c r="G4767" s="793" t="s">
        <v>791</v>
      </c>
      <c r="H4767" s="793" t="s">
        <v>826</v>
      </c>
      <c r="I4767" s="794">
        <v>1.5963765750196914E-3</v>
      </c>
      <c r="J4767" s="794">
        <v>69.002970194766249</v>
      </c>
      <c r="K4767" s="771"/>
    </row>
    <row r="4768" spans="1:11" ht="18.75" customHeight="1" outlineLevel="2">
      <c r="A4768" s="791" t="s">
        <v>776</v>
      </c>
      <c r="B4768" s="791" t="s">
        <v>1044</v>
      </c>
      <c r="C4768" s="791" t="s">
        <v>778</v>
      </c>
      <c r="D4768" s="792" t="s">
        <v>779</v>
      </c>
      <c r="E4768" s="793" t="s">
        <v>947</v>
      </c>
      <c r="F4768" s="793" t="s">
        <v>998</v>
      </c>
      <c r="G4768" s="793" t="s">
        <v>794</v>
      </c>
      <c r="H4768" s="793" t="s">
        <v>828</v>
      </c>
      <c r="I4768" s="794">
        <v>1.4739711520175388E-2</v>
      </c>
      <c r="J4768" s="794">
        <v>538.98647418034079</v>
      </c>
      <c r="K4768" s="771"/>
    </row>
    <row r="4769" spans="1:11" ht="18.75" customHeight="1" outlineLevel="2">
      <c r="A4769" s="791" t="s">
        <v>776</v>
      </c>
      <c r="B4769" s="791" t="s">
        <v>1044</v>
      </c>
      <c r="C4769" s="791" t="s">
        <v>778</v>
      </c>
      <c r="D4769" s="792" t="s">
        <v>779</v>
      </c>
      <c r="E4769" s="793" t="s">
        <v>947</v>
      </c>
      <c r="F4769" s="793" t="s">
        <v>999</v>
      </c>
      <c r="G4769" s="793" t="s">
        <v>794</v>
      </c>
      <c r="H4769" s="793" t="s">
        <v>828</v>
      </c>
      <c r="I4769" s="794">
        <v>3.4760760007102936E-3</v>
      </c>
      <c r="J4769" s="794">
        <v>127.21062651772867</v>
      </c>
      <c r="K4769" s="771"/>
    </row>
    <row r="4770" spans="1:11" ht="18.75" customHeight="1" outlineLevel="2">
      <c r="A4770" s="791" t="s">
        <v>776</v>
      </c>
      <c r="B4770" s="791" t="s">
        <v>1044</v>
      </c>
      <c r="C4770" s="791" t="s">
        <v>778</v>
      </c>
      <c r="D4770" s="792" t="s">
        <v>779</v>
      </c>
      <c r="E4770" s="793" t="s">
        <v>947</v>
      </c>
      <c r="F4770" s="793" t="s">
        <v>1000</v>
      </c>
      <c r="G4770" s="793" t="s">
        <v>794</v>
      </c>
      <c r="H4770" s="793" t="s">
        <v>828</v>
      </c>
      <c r="I4770" s="794">
        <v>9.7558834114409403E-3</v>
      </c>
      <c r="J4770" s="794">
        <v>352.93043301911996</v>
      </c>
      <c r="K4770" s="771"/>
    </row>
    <row r="4771" spans="1:11" ht="18.75" customHeight="1" outlineLevel="2">
      <c r="A4771" s="791" t="s">
        <v>776</v>
      </c>
      <c r="B4771" s="791" t="s">
        <v>1044</v>
      </c>
      <c r="C4771" s="791" t="s">
        <v>778</v>
      </c>
      <c r="D4771" s="792" t="s">
        <v>779</v>
      </c>
      <c r="E4771" s="793" t="s">
        <v>947</v>
      </c>
      <c r="F4771" s="793" t="s">
        <v>1001</v>
      </c>
      <c r="G4771" s="793" t="s">
        <v>794</v>
      </c>
      <c r="H4771" s="793" t="s">
        <v>828</v>
      </c>
      <c r="I4771" s="794">
        <v>8.2380318650560232E-3</v>
      </c>
      <c r="J4771" s="794">
        <v>179.19352417768408</v>
      </c>
      <c r="K4771" s="771"/>
    </row>
    <row r="4772" spans="1:11" ht="18.75" customHeight="1" outlineLevel="2">
      <c r="A4772" s="791" t="s">
        <v>776</v>
      </c>
      <c r="B4772" s="791" t="s">
        <v>1044</v>
      </c>
      <c r="C4772" s="791" t="s">
        <v>778</v>
      </c>
      <c r="D4772" s="792" t="s">
        <v>779</v>
      </c>
      <c r="E4772" s="793" t="s">
        <v>947</v>
      </c>
      <c r="F4772" s="793" t="s">
        <v>1002</v>
      </c>
      <c r="G4772" s="793" t="s">
        <v>794</v>
      </c>
      <c r="H4772" s="793" t="s">
        <v>828</v>
      </c>
      <c r="I4772" s="794">
        <v>4.0979587294208354E-4</v>
      </c>
      <c r="J4772" s="794">
        <v>17.233922032383756</v>
      </c>
      <c r="K4772" s="771"/>
    </row>
    <row r="4773" spans="1:11" ht="18.75" customHeight="1" outlineLevel="2">
      <c r="A4773" s="791" t="s">
        <v>776</v>
      </c>
      <c r="B4773" s="791" t="s">
        <v>1044</v>
      </c>
      <c r="C4773" s="791" t="s">
        <v>778</v>
      </c>
      <c r="D4773" s="792" t="s">
        <v>779</v>
      </c>
      <c r="E4773" s="793" t="s">
        <v>947</v>
      </c>
      <c r="F4773" s="793" t="s">
        <v>1003</v>
      </c>
      <c r="G4773" s="793" t="s">
        <v>794</v>
      </c>
      <c r="H4773" s="793" t="s">
        <v>828</v>
      </c>
      <c r="I4773" s="794">
        <v>4.7408711670241172E-4</v>
      </c>
      <c r="J4773" s="794">
        <v>15.253402361198809</v>
      </c>
      <c r="K4773" s="771"/>
    </row>
    <row r="4774" spans="1:11" ht="18.75" customHeight="1" outlineLevel="2">
      <c r="A4774" s="791" t="s">
        <v>776</v>
      </c>
      <c r="B4774" s="791" t="s">
        <v>1044</v>
      </c>
      <c r="C4774" s="791" t="s">
        <v>778</v>
      </c>
      <c r="D4774" s="792" t="s">
        <v>779</v>
      </c>
      <c r="E4774" s="793" t="s">
        <v>947</v>
      </c>
      <c r="F4774" s="793" t="s">
        <v>1004</v>
      </c>
      <c r="G4774" s="793" t="s">
        <v>833</v>
      </c>
      <c r="H4774" s="793" t="s">
        <v>834</v>
      </c>
      <c r="I4774" s="794">
        <v>1.3325417867683735E-2</v>
      </c>
      <c r="J4774" s="794">
        <v>873.31943952308393</v>
      </c>
      <c r="K4774" s="771"/>
    </row>
    <row r="4775" spans="1:11" ht="18.75" customHeight="1" outlineLevel="2">
      <c r="A4775" s="791" t="s">
        <v>776</v>
      </c>
      <c r="B4775" s="795" t="s">
        <v>1044</v>
      </c>
      <c r="C4775" s="795" t="s">
        <v>778</v>
      </c>
      <c r="D4775" s="796" t="s">
        <v>779</v>
      </c>
      <c r="E4775" s="793" t="s">
        <v>947</v>
      </c>
      <c r="F4775" s="793" t="s">
        <v>1007</v>
      </c>
      <c r="G4775" s="793" t="s">
        <v>244</v>
      </c>
      <c r="H4775" s="793" t="s">
        <v>911</v>
      </c>
      <c r="I4775" s="794">
        <v>6.6139955972890284E-5</v>
      </c>
      <c r="J4775" s="794">
        <v>1.4745358107251625</v>
      </c>
      <c r="K4775" s="771"/>
    </row>
    <row r="4776" spans="1:11" ht="18.75" customHeight="1" outlineLevel="1">
      <c r="A4776" s="797" t="s">
        <v>1045</v>
      </c>
      <c r="B4776" s="772"/>
      <c r="C4776" s="772"/>
      <c r="D4776" s="772"/>
      <c r="E4776" s="793">
        <f>SUBTOTAL(9,E23:E4775)</f>
        <v>0</v>
      </c>
      <c r="F4776" s="793"/>
      <c r="G4776" s="793"/>
      <c r="H4776" s="793">
        <f>SUBTOTAL(9,H23:H4775)</f>
        <v>0</v>
      </c>
      <c r="I4776" s="794"/>
      <c r="J4776" s="794">
        <f>SUBTOTAL(9,J23:J4775)</f>
        <v>2329670.880317356</v>
      </c>
      <c r="K4776" s="771"/>
    </row>
    <row r="4777" spans="1:11" ht="18.75" customHeight="1" outlineLevel="1">
      <c r="A4777" s="771"/>
      <c r="B4777" s="771"/>
      <c r="C4777" s="771"/>
      <c r="D4777" s="771"/>
      <c r="E4777" s="793" t="s">
        <v>1046</v>
      </c>
      <c r="F4777" s="798"/>
      <c r="G4777" s="798"/>
      <c r="H4777" s="798"/>
      <c r="I4777" s="798">
        <f t="shared" ref="I4777:J4777" si="8">SUM(I23:I4775)</f>
        <v>1093.9823026530232</v>
      </c>
      <c r="J4777" s="798">
        <f t="shared" si="8"/>
        <v>2329670.880317356</v>
      </c>
      <c r="K4777" s="771"/>
    </row>
    <row r="4778" spans="1:11" ht="18.75" customHeight="1" outlineLevel="1">
      <c r="A4778" s="2" t="s">
        <v>1047</v>
      </c>
      <c r="B4778" s="771"/>
      <c r="C4778" s="771"/>
      <c r="D4778" s="771"/>
      <c r="E4778" s="793">
        <f>SUBTOTAL(9,E23:E4777)</f>
        <v>0</v>
      </c>
      <c r="F4778" s="798"/>
      <c r="G4778" s="798"/>
      <c r="H4778" s="798">
        <f>SUBTOTAL(9,H23:H4777)</f>
        <v>0</v>
      </c>
      <c r="I4778" s="798"/>
      <c r="J4778" s="798">
        <f>SUBTOTAL(9,J23:J4777)</f>
        <v>4659341.7606347119</v>
      </c>
      <c r="K4778" s="771"/>
    </row>
    <row r="4779" spans="1:11" ht="18.75" customHeight="1">
      <c r="A4779" s="771"/>
      <c r="B4779" s="771"/>
      <c r="C4779" s="771"/>
      <c r="D4779" s="771"/>
      <c r="E4779" s="798"/>
      <c r="F4779" s="798"/>
      <c r="G4779" s="798"/>
      <c r="H4779" s="798"/>
      <c r="I4779" s="798"/>
      <c r="J4779" s="798"/>
      <c r="K4779" s="771"/>
    </row>
    <row r="4780" spans="1:11" ht="18.75" customHeight="1">
      <c r="A4780" s="771"/>
      <c r="B4780" s="771"/>
      <c r="C4780" s="771"/>
      <c r="D4780" s="771"/>
      <c r="E4780" s="793" t="s">
        <v>780</v>
      </c>
      <c r="F4780" s="798"/>
      <c r="G4780" s="798"/>
      <c r="H4780" s="798"/>
      <c r="I4780" s="798">
        <f t="shared" ref="I4780:I4784" si="9">SUMIF($E$23:$E$4775,E4780,$I$23:$I$4775)</f>
        <v>144.76642411887534</v>
      </c>
      <c r="J4780" s="798">
        <f t="shared" ref="J4780:J4784" si="10">SUMIF($E$23:$E$4775,E4780,$J$23:$J$4775)</f>
        <v>15882.54545303574</v>
      </c>
      <c r="K4780" s="771"/>
    </row>
    <row r="4781" spans="1:11" ht="18.75" customHeight="1">
      <c r="A4781" s="771"/>
      <c r="B4781" s="771"/>
      <c r="C4781" s="771"/>
      <c r="D4781" s="771"/>
      <c r="E4781" s="793" t="s">
        <v>662</v>
      </c>
      <c r="F4781" s="798"/>
      <c r="G4781" s="798"/>
      <c r="H4781" s="798"/>
      <c r="I4781" s="798">
        <f t="shared" si="9"/>
        <v>908.42813943085628</v>
      </c>
      <c r="J4781" s="798">
        <f t="shared" si="10"/>
        <v>1038820.1242113099</v>
      </c>
      <c r="K4781" s="771"/>
    </row>
    <row r="4782" spans="1:11" ht="18.75" customHeight="1">
      <c r="A4782" s="771"/>
      <c r="B4782" s="771"/>
      <c r="C4782" s="771"/>
      <c r="D4782" s="771"/>
      <c r="E4782" s="793" t="s">
        <v>763</v>
      </c>
      <c r="F4782" s="798"/>
      <c r="G4782" s="798"/>
      <c r="H4782" s="798"/>
      <c r="I4782" s="798">
        <f t="shared" si="9"/>
        <v>14.766107282413545</v>
      </c>
      <c r="J4782" s="798">
        <f t="shared" si="10"/>
        <v>166851.40523870086</v>
      </c>
      <c r="K4782" s="771"/>
    </row>
    <row r="4783" spans="1:11" ht="18.75" customHeight="1">
      <c r="A4783" s="771"/>
      <c r="B4783" s="771"/>
      <c r="C4783" s="771"/>
      <c r="D4783" s="771"/>
      <c r="E4783" s="793" t="s">
        <v>764</v>
      </c>
      <c r="F4783" s="798"/>
      <c r="G4783" s="798"/>
      <c r="H4783" s="798"/>
      <c r="I4783" s="798">
        <f t="shared" si="9"/>
        <v>1.5598899438349469</v>
      </c>
      <c r="J4783" s="798">
        <f t="shared" si="10"/>
        <v>55961.485858346525</v>
      </c>
      <c r="K4783" s="771"/>
    </row>
    <row r="4784" spans="1:11" ht="18.75" customHeight="1">
      <c r="A4784" s="771"/>
      <c r="B4784" s="771"/>
      <c r="C4784" s="771"/>
      <c r="D4784" s="771"/>
      <c r="E4784" s="793" t="s">
        <v>947</v>
      </c>
      <c r="F4784" s="798"/>
      <c r="G4784" s="798"/>
      <c r="H4784" s="798"/>
      <c r="I4784" s="798">
        <f t="shared" si="9"/>
        <v>24.461741877043224</v>
      </c>
      <c r="J4784" s="798">
        <f t="shared" si="10"/>
        <v>1052155.3195559583</v>
      </c>
      <c r="K4784" s="771"/>
    </row>
  </sheetData>
  <mergeCells count="3">
    <mergeCell ref="A2:K2"/>
    <mergeCell ref="B4:F4"/>
    <mergeCell ref="H4:I4"/>
  </mergeCells>
  <printOptions gridLines="1"/>
  <pageMargins left="0.17" right="0.19" top="0.33"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H1000"/>
  <sheetViews>
    <sheetView workbookViewId="0"/>
  </sheetViews>
  <sheetFormatPr defaultColWidth="16.85546875" defaultRowHeight="15" customHeight="1"/>
  <cols>
    <col min="1" max="1" width="1.85546875" customWidth="1"/>
    <col min="2" max="2" width="58.28515625" customWidth="1"/>
    <col min="3" max="3" width="24.7109375" customWidth="1"/>
    <col min="4" max="4" width="4" customWidth="1"/>
    <col min="5" max="5" width="30.85546875" customWidth="1"/>
    <col min="6" max="6" width="2.7109375" customWidth="1"/>
    <col min="7" max="7" width="20" customWidth="1"/>
    <col min="8" max="8" width="2.7109375" customWidth="1"/>
    <col min="9" max="9" width="18.42578125" customWidth="1"/>
    <col min="10" max="10" width="2.140625" customWidth="1"/>
    <col min="11" max="11" width="26.140625" customWidth="1"/>
    <col min="12" max="12" width="2.140625" customWidth="1"/>
    <col min="13" max="13" width="19.28515625" customWidth="1"/>
    <col min="14" max="14" width="2.140625" customWidth="1"/>
    <col min="15" max="15" width="17.85546875" customWidth="1"/>
    <col min="16" max="16" width="2.28515625" customWidth="1"/>
    <col min="17" max="17" width="16" customWidth="1"/>
    <col min="18" max="18" width="13.85546875" customWidth="1"/>
    <col min="19" max="19" width="18" customWidth="1"/>
    <col min="20" max="20" width="18.85546875" customWidth="1"/>
    <col min="21" max="21" width="2.140625" customWidth="1"/>
    <col min="22" max="22" width="10.140625" customWidth="1"/>
    <col min="23" max="23" width="2.42578125" customWidth="1"/>
    <col min="24" max="24" width="15.140625" customWidth="1"/>
    <col min="25" max="25" width="2.7109375" customWidth="1"/>
    <col min="26" max="26" width="14.85546875" customWidth="1"/>
    <col min="27" max="27" width="15.42578125" customWidth="1"/>
    <col min="28" max="28" width="2.7109375" customWidth="1"/>
    <col min="29" max="29" width="12.28515625" customWidth="1"/>
    <col min="30" max="30" width="1.42578125" customWidth="1"/>
    <col min="31" max="31" width="16.42578125" customWidth="1"/>
    <col min="32" max="32" width="1.42578125" customWidth="1"/>
    <col min="33" max="34" width="9.28515625" customWidth="1"/>
  </cols>
  <sheetData>
    <row r="1" spans="1:34" ht="32.4">
      <c r="A1" s="134" t="s">
        <v>1108</v>
      </c>
      <c r="B1" s="134"/>
      <c r="C1" s="136"/>
      <c r="D1" s="136"/>
      <c r="E1" s="137"/>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row>
    <row r="2" spans="1:34" ht="66.75" customHeight="1">
      <c r="A2" s="2871"/>
      <c r="B2" s="2863"/>
      <c r="C2" s="2863"/>
      <c r="D2" s="2863"/>
      <c r="E2" s="2863"/>
      <c r="F2" s="2863"/>
      <c r="G2" s="2863"/>
      <c r="H2" s="2863"/>
      <c r="I2" s="2863"/>
      <c r="J2" s="2863"/>
      <c r="K2" s="2863"/>
      <c r="L2" s="136"/>
      <c r="M2" s="136"/>
      <c r="N2" s="136"/>
      <c r="O2" s="136"/>
      <c r="P2" s="136"/>
      <c r="Q2" s="136"/>
      <c r="R2" s="136"/>
      <c r="S2" s="136"/>
      <c r="T2" s="136"/>
      <c r="U2" s="136"/>
      <c r="V2" s="136"/>
      <c r="W2" s="136"/>
      <c r="X2" s="136"/>
      <c r="Y2" s="136"/>
      <c r="Z2" s="136"/>
      <c r="AA2" s="136"/>
      <c r="AB2" s="136"/>
      <c r="AC2" s="136"/>
      <c r="AD2" s="136"/>
      <c r="AE2" s="136"/>
      <c r="AF2" s="136"/>
      <c r="AG2" s="136"/>
      <c r="AH2" s="136"/>
    </row>
    <row r="3" spans="1:34" ht="19.8">
      <c r="A3" s="1"/>
      <c r="B3" s="920" t="s">
        <v>1109</v>
      </c>
      <c r="C3" s="921"/>
      <c r="D3" s="921"/>
      <c r="E3" s="921"/>
      <c r="F3" s="921"/>
      <c r="G3" s="318"/>
      <c r="H3" s="1"/>
      <c r="I3" s="1"/>
      <c r="J3" s="1"/>
      <c r="K3" s="1"/>
      <c r="L3" s="1"/>
      <c r="M3" s="1"/>
      <c r="N3" s="1"/>
      <c r="O3" s="1"/>
      <c r="P3" s="1"/>
      <c r="Q3" s="1"/>
      <c r="R3" s="1"/>
      <c r="S3" s="1"/>
      <c r="T3" s="1"/>
      <c r="U3" s="1"/>
      <c r="V3" s="1"/>
      <c r="W3" s="1"/>
      <c r="X3" s="1"/>
      <c r="Y3" s="1"/>
      <c r="Z3" s="1"/>
      <c r="AA3" s="1"/>
      <c r="AB3" s="1"/>
      <c r="AC3" s="1"/>
      <c r="AD3" s="1"/>
      <c r="AE3" s="1"/>
      <c r="AF3" s="1"/>
      <c r="AG3" s="1"/>
      <c r="AH3" s="1"/>
    </row>
    <row r="4" spans="1:34" ht="18">
      <c r="A4" s="1"/>
      <c r="B4" s="922" t="s">
        <v>1110</v>
      </c>
      <c r="C4" s="923" t="s">
        <v>1111</v>
      </c>
      <c r="D4" s="1"/>
      <c r="E4" s="923" t="s">
        <v>1112</v>
      </c>
      <c r="F4" s="1"/>
      <c r="G4" s="924" t="s">
        <v>538</v>
      </c>
      <c r="H4" s="1"/>
      <c r="I4" s="1"/>
      <c r="J4" s="1"/>
      <c r="K4" s="1"/>
      <c r="L4" s="1"/>
      <c r="M4" s="1"/>
      <c r="N4" s="1"/>
      <c r="O4" s="1"/>
      <c r="P4" s="1"/>
      <c r="Q4" s="1"/>
      <c r="R4" s="1"/>
      <c r="S4" s="1"/>
      <c r="T4" s="1"/>
      <c r="U4" s="1"/>
      <c r="V4" s="1"/>
      <c r="W4" s="1"/>
      <c r="X4" s="1"/>
      <c r="Y4" s="1"/>
      <c r="Z4" s="1"/>
      <c r="AA4" s="1"/>
      <c r="AB4" s="1"/>
      <c r="AC4" s="1"/>
      <c r="AD4" s="1"/>
      <c r="AE4" s="1"/>
      <c r="AF4" s="1"/>
      <c r="AG4" s="1"/>
      <c r="AH4" s="1"/>
    </row>
    <row r="5" spans="1:34" ht="10.199999999999999">
      <c r="A5" s="1"/>
      <c r="B5" s="378" t="s">
        <v>1113</v>
      </c>
      <c r="C5" s="813">
        <v>39</v>
      </c>
      <c r="D5" s="1"/>
      <c r="E5" s="813">
        <f t="shared" ref="E5:E7" si="0">C5*42*1000</f>
        <v>1638000</v>
      </c>
      <c r="F5" s="1"/>
      <c r="G5" s="925">
        <v>196</v>
      </c>
      <c r="H5" s="1"/>
      <c r="I5" s="747"/>
      <c r="J5" s="1"/>
      <c r="K5" s="1"/>
      <c r="L5" s="1"/>
      <c r="M5" s="1"/>
      <c r="N5" s="1"/>
      <c r="O5" s="1"/>
      <c r="P5" s="1"/>
      <c r="Q5" s="1"/>
      <c r="R5" s="1"/>
      <c r="S5" s="1"/>
      <c r="T5" s="1"/>
      <c r="U5" s="1"/>
      <c r="V5" s="1"/>
      <c r="W5" s="1"/>
      <c r="X5" s="1"/>
      <c r="Y5" s="1"/>
      <c r="Z5" s="1"/>
      <c r="AA5" s="1"/>
      <c r="AB5" s="1"/>
      <c r="AC5" s="1"/>
      <c r="AD5" s="1"/>
      <c r="AE5" s="1"/>
      <c r="AF5" s="1"/>
      <c r="AG5" s="1"/>
      <c r="AH5" s="1"/>
    </row>
    <row r="6" spans="1:34" ht="10.199999999999999">
      <c r="A6" s="1"/>
      <c r="B6" s="378" t="s">
        <v>1114</v>
      </c>
      <c r="C6" s="926">
        <v>6745</v>
      </c>
      <c r="D6" s="141"/>
      <c r="E6" s="926">
        <f t="shared" si="0"/>
        <v>283290000</v>
      </c>
      <c r="F6" s="141"/>
      <c r="G6" s="927">
        <v>38243</v>
      </c>
      <c r="H6" s="1"/>
      <c r="I6" s="926"/>
      <c r="J6" s="1"/>
      <c r="K6" s="928"/>
      <c r="L6" s="1"/>
      <c r="M6" s="1"/>
      <c r="N6" s="1"/>
      <c r="O6" s="1"/>
      <c r="P6" s="1"/>
      <c r="Q6" s="1"/>
      <c r="R6" s="2858" t="s">
        <v>0</v>
      </c>
      <c r="S6" s="2859"/>
      <c r="T6" s="1"/>
      <c r="U6" s="1"/>
      <c r="V6" s="1"/>
      <c r="W6" s="1"/>
      <c r="X6" s="1"/>
      <c r="Y6" s="1"/>
      <c r="Z6" s="1"/>
      <c r="AA6" s="1"/>
      <c r="AB6" s="1"/>
      <c r="AC6" s="1"/>
      <c r="AD6" s="1"/>
      <c r="AE6" s="1"/>
      <c r="AF6" s="1"/>
      <c r="AG6" s="1"/>
      <c r="AH6" s="1"/>
    </row>
    <row r="7" spans="1:34" ht="10.199999999999999">
      <c r="A7" s="1"/>
      <c r="B7" s="679" t="s">
        <v>1115</v>
      </c>
      <c r="C7" s="929">
        <v>352</v>
      </c>
      <c r="D7" s="1"/>
      <c r="E7" s="929">
        <f t="shared" si="0"/>
        <v>14784000</v>
      </c>
      <c r="F7" s="1"/>
      <c r="G7" s="930">
        <v>2135</v>
      </c>
      <c r="H7" s="1"/>
      <c r="I7" s="747"/>
      <c r="J7" s="1"/>
      <c r="K7" s="1"/>
      <c r="L7" s="1"/>
      <c r="M7" s="1"/>
      <c r="N7" s="1"/>
      <c r="O7" s="1"/>
      <c r="P7" s="1"/>
      <c r="Q7" s="1"/>
      <c r="R7" s="240"/>
      <c r="S7" s="241"/>
      <c r="T7" s="1"/>
      <c r="U7" s="1"/>
      <c r="V7" s="1"/>
      <c r="W7" s="1"/>
      <c r="X7" s="1"/>
      <c r="Y7" s="1"/>
      <c r="Z7" s="1"/>
      <c r="AA7" s="1"/>
      <c r="AB7" s="1"/>
      <c r="AC7" s="1"/>
      <c r="AD7" s="1"/>
      <c r="AE7" s="1"/>
      <c r="AF7" s="1"/>
      <c r="AG7" s="1"/>
      <c r="AH7" s="1"/>
    </row>
    <row r="8" spans="1:34" ht="13.8">
      <c r="A8" s="1"/>
      <c r="B8" s="931" t="s">
        <v>1116</v>
      </c>
      <c r="C8" s="813">
        <f t="shared" ref="C8:C9" si="1">E8/(42*1000)</f>
        <v>387.74866666666668</v>
      </c>
      <c r="D8" s="649"/>
      <c r="E8" s="813">
        <v>16285444</v>
      </c>
      <c r="F8" s="649"/>
      <c r="G8" s="925"/>
      <c r="H8" s="1"/>
      <c r="I8" s="747"/>
      <c r="J8" s="1"/>
      <c r="K8" s="1"/>
      <c r="L8" s="1"/>
      <c r="M8" s="1"/>
      <c r="N8" s="1"/>
      <c r="O8" s="1"/>
      <c r="P8" s="1"/>
      <c r="Q8" s="1"/>
      <c r="R8" s="240" t="s">
        <v>528</v>
      </c>
      <c r="S8" s="247">
        <f>Summary!$E4</f>
        <v>1</v>
      </c>
      <c r="T8" s="1"/>
      <c r="U8" s="1"/>
      <c r="V8" s="1"/>
      <c r="W8" s="1"/>
      <c r="X8" s="1"/>
      <c r="Y8" s="1"/>
      <c r="Z8" s="1"/>
      <c r="AA8" s="1"/>
      <c r="AB8" s="1"/>
      <c r="AC8" s="1"/>
      <c r="AD8" s="1"/>
      <c r="AE8" s="1"/>
      <c r="AF8" s="1"/>
      <c r="AG8" s="1"/>
      <c r="AH8" s="1"/>
    </row>
    <row r="9" spans="1:34" ht="13.8">
      <c r="A9" s="1"/>
      <c r="B9" s="932" t="s">
        <v>1117</v>
      </c>
      <c r="C9" s="813">
        <f t="shared" si="1"/>
        <v>85.333333333333329</v>
      </c>
      <c r="D9" s="649"/>
      <c r="E9" s="813">
        <v>3584000</v>
      </c>
      <c r="F9" s="649"/>
      <c r="G9" s="925"/>
      <c r="H9" s="1"/>
      <c r="I9" s="747"/>
      <c r="J9" s="1"/>
      <c r="K9" s="1"/>
      <c r="L9" s="1"/>
      <c r="M9" s="1"/>
      <c r="N9" s="1"/>
      <c r="O9" s="1"/>
      <c r="P9" s="1"/>
      <c r="Q9" s="1"/>
      <c r="R9" s="240" t="s">
        <v>530</v>
      </c>
      <c r="S9" s="247">
        <f>Summary!$E5</f>
        <v>28</v>
      </c>
      <c r="T9" s="1"/>
      <c r="U9" s="1"/>
      <c r="V9" s="1"/>
      <c r="W9" s="1"/>
      <c r="X9" s="1"/>
      <c r="Y9" s="1"/>
      <c r="Z9" s="1"/>
      <c r="AA9" s="1"/>
      <c r="AB9" s="1"/>
      <c r="AC9" s="1"/>
      <c r="AD9" s="1"/>
      <c r="AE9" s="1"/>
      <c r="AF9" s="1"/>
      <c r="AG9" s="1"/>
      <c r="AH9" s="1"/>
    </row>
    <row r="10" spans="1:34" ht="10.199999999999999">
      <c r="A10" s="1"/>
      <c r="B10" s="933" t="s">
        <v>1118</v>
      </c>
      <c r="C10" s="934">
        <v>58</v>
      </c>
      <c r="D10" s="935"/>
      <c r="E10" s="934">
        <f>C10*42*1000</f>
        <v>2436000</v>
      </c>
      <c r="F10" s="935"/>
      <c r="G10" s="936">
        <v>363</v>
      </c>
      <c r="H10" s="1"/>
      <c r="I10" s="747"/>
      <c r="J10" s="1"/>
      <c r="K10" s="1"/>
      <c r="L10" s="1"/>
      <c r="M10" s="1"/>
      <c r="N10" s="1"/>
      <c r="O10" s="1"/>
      <c r="P10" s="1"/>
      <c r="Q10" s="1"/>
      <c r="R10" s="240" t="s">
        <v>532</v>
      </c>
      <c r="S10" s="247">
        <f>Summary!$E6</f>
        <v>265</v>
      </c>
      <c r="T10" s="1"/>
      <c r="U10" s="1"/>
      <c r="V10" s="1"/>
      <c r="W10" s="1"/>
      <c r="X10" s="1"/>
      <c r="Y10" s="1"/>
      <c r="Z10" s="1"/>
      <c r="AA10" s="1"/>
      <c r="AB10" s="1"/>
      <c r="AC10" s="1"/>
      <c r="AD10" s="1"/>
      <c r="AE10" s="1"/>
      <c r="AF10" s="1"/>
      <c r="AG10" s="1"/>
      <c r="AH10" s="1"/>
    </row>
    <row r="11" spans="1:34" ht="10.199999999999999">
      <c r="A11" s="1"/>
      <c r="B11" s="1"/>
      <c r="C11" s="1"/>
      <c r="D11" s="1"/>
      <c r="E11" s="372"/>
      <c r="F11" s="1"/>
      <c r="G11" s="1"/>
      <c r="H11" s="1"/>
      <c r="I11" s="1"/>
      <c r="J11" s="1"/>
      <c r="K11" s="1"/>
      <c r="L11" s="1"/>
      <c r="M11" s="1"/>
      <c r="N11" s="1"/>
      <c r="O11" s="1"/>
      <c r="P11" s="1"/>
      <c r="Q11" s="1"/>
      <c r="R11" s="240" t="s">
        <v>533</v>
      </c>
      <c r="S11" s="247">
        <f>Summary!$E7</f>
        <v>23500</v>
      </c>
      <c r="T11" s="1"/>
      <c r="U11" s="1"/>
      <c r="V11" s="1"/>
      <c r="W11" s="1"/>
      <c r="X11" s="1"/>
      <c r="Y11" s="1"/>
      <c r="Z11" s="1"/>
      <c r="AA11" s="1"/>
      <c r="AB11" s="1"/>
      <c r="AC11" s="1"/>
      <c r="AD11" s="1"/>
      <c r="AE11" s="1"/>
      <c r="AF11" s="1"/>
      <c r="AG11" s="1"/>
      <c r="AH11" s="1"/>
    </row>
    <row r="12" spans="1:34" ht="14.4">
      <c r="A12" s="451"/>
      <c r="B12" s="937" t="s">
        <v>1089</v>
      </c>
      <c r="C12" s="3"/>
      <c r="D12" s="3"/>
      <c r="E12" s="1"/>
      <c r="F12" s="3"/>
      <c r="G12" s="3"/>
      <c r="H12" s="3"/>
      <c r="I12" s="3"/>
      <c r="J12" s="523"/>
      <c r="K12" s="3"/>
      <c r="L12" s="3"/>
      <c r="M12" s="3"/>
      <c r="N12" s="3"/>
      <c r="O12" s="3"/>
      <c r="P12" s="3"/>
      <c r="Q12" s="3"/>
      <c r="R12" s="259"/>
      <c r="S12" s="247"/>
      <c r="T12" s="3"/>
      <c r="U12" s="3"/>
      <c r="V12" s="3"/>
      <c r="W12" s="3"/>
      <c r="X12" s="3"/>
      <c r="Y12" s="3"/>
      <c r="Z12" s="3"/>
      <c r="AA12" s="3"/>
      <c r="AB12" s="3"/>
      <c r="AC12" s="3"/>
      <c r="AD12" s="3"/>
      <c r="AE12" s="3"/>
      <c r="AF12" s="3"/>
      <c r="AG12" s="3"/>
      <c r="AH12" s="3"/>
    </row>
    <row r="13" spans="1:34" ht="14.4">
      <c r="A13" s="451"/>
      <c r="B13" s="938" t="s">
        <v>662</v>
      </c>
      <c r="C13" s="939">
        <v>120452</v>
      </c>
      <c r="D13" s="940" t="s">
        <v>1087</v>
      </c>
      <c r="E13" s="941"/>
      <c r="F13" s="3"/>
      <c r="G13" s="3"/>
      <c r="H13" s="3"/>
      <c r="I13" s="3"/>
      <c r="J13" s="523"/>
      <c r="K13" s="3"/>
      <c r="L13" s="3"/>
      <c r="M13" s="3"/>
      <c r="N13" s="3"/>
      <c r="O13" s="3"/>
      <c r="P13" s="3"/>
      <c r="Q13" s="3"/>
      <c r="R13" s="3"/>
      <c r="S13" s="3"/>
      <c r="T13" s="3"/>
      <c r="U13" s="3"/>
      <c r="V13" s="3"/>
      <c r="W13" s="3"/>
      <c r="X13" s="3"/>
      <c r="Y13" s="3"/>
      <c r="Z13" s="3"/>
      <c r="AA13" s="3"/>
      <c r="AB13" s="3"/>
      <c r="AC13" s="3"/>
      <c r="AD13" s="3"/>
      <c r="AE13" s="3"/>
      <c r="AF13" s="3"/>
      <c r="AG13" s="3"/>
      <c r="AH13" s="3"/>
    </row>
    <row r="14" spans="1:34" ht="14.4">
      <c r="A14" s="451"/>
      <c r="B14" s="942" t="s">
        <v>244</v>
      </c>
      <c r="C14" s="943">
        <v>137381</v>
      </c>
      <c r="D14" s="944" t="s">
        <v>1087</v>
      </c>
      <c r="E14" s="945"/>
      <c r="F14" s="3"/>
      <c r="G14" s="3"/>
      <c r="H14" s="3"/>
      <c r="I14" s="3"/>
      <c r="J14" s="523"/>
      <c r="K14" s="3"/>
      <c r="L14" s="3"/>
      <c r="M14" s="3"/>
      <c r="N14" s="3"/>
      <c r="O14" s="3"/>
      <c r="P14" s="3"/>
      <c r="Q14" s="3"/>
      <c r="R14" s="3"/>
      <c r="S14" s="3"/>
      <c r="T14" s="3"/>
      <c r="U14" s="3"/>
      <c r="V14" s="3"/>
      <c r="W14" s="3"/>
      <c r="X14" s="3"/>
      <c r="Y14" s="3"/>
      <c r="Z14" s="3"/>
      <c r="AA14" s="3"/>
      <c r="AB14" s="3"/>
      <c r="AC14" s="3"/>
      <c r="AD14" s="3"/>
      <c r="AE14" s="3"/>
      <c r="AF14" s="3"/>
      <c r="AG14" s="3"/>
      <c r="AH14" s="3"/>
    </row>
    <row r="15" spans="1:34" ht="14.4">
      <c r="A15" s="3"/>
      <c r="B15" s="3"/>
      <c r="C15" s="3"/>
      <c r="D15" s="2883"/>
      <c r="E15" s="286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row>
    <row r="16" spans="1:34" ht="14.4">
      <c r="A16" s="3"/>
      <c r="B16" s="3"/>
      <c r="C16" s="3"/>
      <c r="D16" s="3"/>
      <c r="E16" s="1"/>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row>
    <row r="17" spans="1:34" ht="19.8">
      <c r="A17" s="3"/>
      <c r="B17" s="946" t="s">
        <v>1119</v>
      </c>
      <c r="C17" s="947"/>
      <c r="D17" s="947"/>
      <c r="E17" s="947"/>
      <c r="F17" s="947"/>
      <c r="G17" s="947"/>
      <c r="H17" s="947"/>
      <c r="I17" s="947"/>
      <c r="J17" s="948"/>
      <c r="K17" s="948"/>
      <c r="L17" s="948"/>
      <c r="M17" s="947"/>
      <c r="N17" s="947"/>
      <c r="O17" s="947"/>
      <c r="P17" s="947"/>
      <c r="Q17" s="947"/>
      <c r="R17" s="947"/>
      <c r="S17" s="947"/>
      <c r="T17" s="947"/>
      <c r="U17" s="947"/>
      <c r="V17" s="947"/>
      <c r="W17" s="947"/>
      <c r="X17" s="947"/>
      <c r="Y17" s="947"/>
      <c r="Z17" s="947"/>
      <c r="AA17" s="947"/>
      <c r="AB17" s="947"/>
      <c r="AC17" s="947"/>
      <c r="AD17" s="947"/>
      <c r="AE17" s="947"/>
      <c r="AF17" s="949"/>
      <c r="AG17" s="3"/>
      <c r="AH17" s="3"/>
    </row>
    <row r="18" spans="1:34" ht="19.8">
      <c r="A18" s="1"/>
      <c r="B18" s="950" t="s">
        <v>1120</v>
      </c>
      <c r="C18" s="951"/>
      <c r="D18" s="952"/>
      <c r="E18" s="952"/>
      <c r="F18" s="951"/>
      <c r="G18" s="951"/>
      <c r="H18" s="951"/>
      <c r="I18" s="951"/>
      <c r="J18" s="951"/>
      <c r="K18" s="951"/>
      <c r="L18" s="951"/>
      <c r="M18" s="951"/>
      <c r="N18" s="951"/>
      <c r="O18" s="951"/>
      <c r="P18" s="3"/>
      <c r="Q18" s="3"/>
      <c r="R18" s="3"/>
      <c r="S18" s="3"/>
      <c r="T18" s="1"/>
      <c r="U18" s="1"/>
      <c r="V18" s="1"/>
      <c r="W18" s="1"/>
      <c r="X18" s="1"/>
      <c r="Y18" s="1"/>
      <c r="Z18" s="1"/>
      <c r="AA18" s="1"/>
      <c r="AB18" s="1"/>
      <c r="AC18" s="1"/>
      <c r="AD18" s="1"/>
      <c r="AE18" s="1"/>
      <c r="AF18" s="953"/>
      <c r="AG18" s="1"/>
      <c r="AH18" s="1"/>
    </row>
    <row r="19" spans="1:34" ht="12">
      <c r="A19" s="1"/>
      <c r="B19" s="954"/>
      <c r="C19" s="1"/>
      <c r="D19" s="1"/>
      <c r="E19" s="136"/>
      <c r="F19" s="261"/>
      <c r="G19" s="261"/>
      <c r="H19" s="136"/>
      <c r="I19" s="136"/>
      <c r="J19" s="136"/>
      <c r="K19" s="955"/>
      <c r="L19" s="956"/>
      <c r="M19" s="957" t="s">
        <v>1121</v>
      </c>
      <c r="N19" s="956"/>
      <c r="O19" s="958"/>
      <c r="P19" s="136"/>
      <c r="Q19" s="955"/>
      <c r="R19" s="956"/>
      <c r="S19" s="956"/>
      <c r="T19" s="957" t="s">
        <v>1122</v>
      </c>
      <c r="U19" s="959"/>
      <c r="V19" s="959"/>
      <c r="W19" s="959"/>
      <c r="X19" s="960"/>
      <c r="Y19" s="1"/>
      <c r="Z19" s="961"/>
      <c r="AA19" s="962" t="s">
        <v>1123</v>
      </c>
      <c r="AB19" s="957"/>
      <c r="AC19" s="957"/>
      <c r="AD19" s="957"/>
      <c r="AE19" s="960"/>
      <c r="AF19" s="953"/>
      <c r="AG19" s="1"/>
      <c r="AH19" s="1"/>
    </row>
    <row r="20" spans="1:34" ht="13.8">
      <c r="A20" s="863"/>
      <c r="B20" s="963"/>
      <c r="C20" s="964" t="s">
        <v>519</v>
      </c>
      <c r="D20" s="965"/>
      <c r="E20" s="964" t="s">
        <v>519</v>
      </c>
      <c r="F20" s="964"/>
      <c r="G20" s="964" t="s">
        <v>1124</v>
      </c>
      <c r="H20" s="966"/>
      <c r="I20" s="964" t="s">
        <v>1125</v>
      </c>
      <c r="J20" s="967"/>
      <c r="K20" s="968" t="s">
        <v>536</v>
      </c>
      <c r="L20" s="966"/>
      <c r="M20" s="969" t="s">
        <v>536</v>
      </c>
      <c r="N20" s="966"/>
      <c r="O20" s="970" t="s">
        <v>536</v>
      </c>
      <c r="P20" s="971"/>
      <c r="Q20" s="972"/>
      <c r="R20" s="966"/>
      <c r="S20" s="966"/>
      <c r="T20" s="965"/>
      <c r="U20" s="965"/>
      <c r="V20" s="965"/>
      <c r="W20" s="965"/>
      <c r="X20" s="973"/>
      <c r="Y20" s="974"/>
      <c r="Z20" s="975"/>
      <c r="AA20" s="965"/>
      <c r="AB20" s="965"/>
      <c r="AC20" s="965"/>
      <c r="AD20" s="965"/>
      <c r="AE20" s="973"/>
      <c r="AF20" s="976"/>
      <c r="AG20" s="863"/>
      <c r="AH20" s="863"/>
    </row>
    <row r="21" spans="1:34" ht="15.75" customHeight="1">
      <c r="A21" s="863"/>
      <c r="B21" s="977" t="s">
        <v>177</v>
      </c>
      <c r="C21" s="978" t="s">
        <v>1094</v>
      </c>
      <c r="D21" s="979"/>
      <c r="E21" s="978" t="s">
        <v>538</v>
      </c>
      <c r="F21" s="980"/>
      <c r="G21" s="978" t="s">
        <v>1126</v>
      </c>
      <c r="H21" s="980"/>
      <c r="I21" s="978" t="s">
        <v>1127</v>
      </c>
      <c r="J21" s="981"/>
      <c r="K21" s="982" t="s">
        <v>1128</v>
      </c>
      <c r="L21" s="978"/>
      <c r="M21" s="978" t="s">
        <v>1129</v>
      </c>
      <c r="N21" s="980"/>
      <c r="O21" s="983" t="s">
        <v>1130</v>
      </c>
      <c r="P21" s="984"/>
      <c r="Q21" s="985" t="s">
        <v>1131</v>
      </c>
      <c r="R21" s="986" t="s">
        <v>1095</v>
      </c>
      <c r="S21" s="986" t="s">
        <v>1132</v>
      </c>
      <c r="T21" s="986" t="s">
        <v>1133</v>
      </c>
      <c r="U21" s="979"/>
      <c r="V21" s="986" t="s">
        <v>1134</v>
      </c>
      <c r="W21" s="979"/>
      <c r="X21" s="987" t="s">
        <v>1135</v>
      </c>
      <c r="Y21" s="988"/>
      <c r="Z21" s="985" t="s">
        <v>1136</v>
      </c>
      <c r="AA21" s="986" t="s">
        <v>1137</v>
      </c>
      <c r="AB21" s="979"/>
      <c r="AC21" s="986" t="s">
        <v>1138</v>
      </c>
      <c r="AD21" s="979"/>
      <c r="AE21" s="987" t="s">
        <v>1139</v>
      </c>
      <c r="AF21" s="976"/>
      <c r="AG21" s="863"/>
      <c r="AH21" s="863"/>
    </row>
    <row r="22" spans="1:34" ht="15.75" customHeight="1">
      <c r="A22" s="863"/>
      <c r="B22" s="860" t="s">
        <v>1140</v>
      </c>
      <c r="C22" s="989">
        <f t="shared" ref="C22:C23" si="2">E5</f>
        <v>1638000</v>
      </c>
      <c r="D22" s="990"/>
      <c r="E22" s="991">
        <f t="shared" ref="E22:E23" si="3">G5</f>
        <v>196</v>
      </c>
      <c r="F22" s="992" t="s">
        <v>1141</v>
      </c>
      <c r="G22" s="993">
        <v>41.57</v>
      </c>
      <c r="H22" s="992" t="s">
        <v>1141</v>
      </c>
      <c r="I22" s="994">
        <v>1</v>
      </c>
      <c r="J22" s="995" t="s">
        <v>1105</v>
      </c>
      <c r="K22" s="996">
        <f t="shared" ref="K22:K24" si="4">E22*1000*G22*I22/2000</f>
        <v>4073.86</v>
      </c>
      <c r="L22" s="997" t="s">
        <v>1105</v>
      </c>
      <c r="M22" s="998">
        <f t="shared" ref="M22:M24" si="5">K22*0.90718/1000000</f>
        <v>3.6957243148000004E-3</v>
      </c>
      <c r="N22" s="997" t="s">
        <v>1105</v>
      </c>
      <c r="O22" s="999">
        <f t="shared" ref="O22:O24" si="6">M22*44/12</f>
        <v>1.3550989154266668E-2</v>
      </c>
      <c r="P22" s="1000"/>
      <c r="Q22" s="1001">
        <v>22.257999999999999</v>
      </c>
      <c r="R22" s="990"/>
      <c r="S22" s="1002">
        <v>0.04</v>
      </c>
      <c r="T22" s="1003">
        <f t="shared" ref="T22:T23" si="7">E22*1000*Q22*S22/1000000000</f>
        <v>1.7450272000000001E-4</v>
      </c>
      <c r="U22" s="997" t="s">
        <v>1105</v>
      </c>
      <c r="V22" s="1004">
        <f t="shared" ref="V22:V24" si="8">T22*1000</f>
        <v>0.17450272</v>
      </c>
      <c r="W22" s="997" t="s">
        <v>1105</v>
      </c>
      <c r="X22" s="1005">
        <f t="shared" ref="X22:X24" si="9">(V22*$S$10)/1000000</f>
        <v>4.6243220800000006E-5</v>
      </c>
      <c r="Y22" s="1006"/>
      <c r="Z22" s="1007">
        <v>2.64</v>
      </c>
      <c r="AA22" s="1008">
        <f t="shared" ref="AA22:AA23" si="10">E22*1000*Q22*Z22/1000000000</f>
        <v>1.1517179520000002E-2</v>
      </c>
      <c r="AB22" s="997" t="s">
        <v>1105</v>
      </c>
      <c r="AC22" s="1009">
        <f t="shared" ref="AC22:AC24" si="11">AA22*1000</f>
        <v>11.517179520000003</v>
      </c>
      <c r="AD22" s="997" t="s">
        <v>1105</v>
      </c>
      <c r="AE22" s="1010">
        <f t="shared" ref="AE22:AE23" si="12">AC22*$S$9/1000000</f>
        <v>3.2248102656000008E-4</v>
      </c>
      <c r="AF22" s="976"/>
      <c r="AG22" s="863"/>
      <c r="AH22" s="863"/>
    </row>
    <row r="23" spans="1:34" ht="15.75" customHeight="1">
      <c r="A23" s="863"/>
      <c r="B23" s="889" t="s">
        <v>1142</v>
      </c>
      <c r="C23" s="1011">
        <f t="shared" si="2"/>
        <v>283290000</v>
      </c>
      <c r="D23" s="891"/>
      <c r="E23" s="1012">
        <f t="shared" si="3"/>
        <v>38243</v>
      </c>
      <c r="F23" s="1013" t="s">
        <v>1141</v>
      </c>
      <c r="G23" s="1014">
        <v>43.431818181818173</v>
      </c>
      <c r="H23" s="1013" t="s">
        <v>1141</v>
      </c>
      <c r="I23" s="1015">
        <v>1</v>
      </c>
      <c r="J23" s="1016" t="s">
        <v>1105</v>
      </c>
      <c r="K23" s="1017">
        <f t="shared" si="4"/>
        <v>830481.51136363612</v>
      </c>
      <c r="L23" s="895" t="s">
        <v>1105</v>
      </c>
      <c r="M23" s="1018">
        <f t="shared" si="5"/>
        <v>0.75339621747886343</v>
      </c>
      <c r="N23" s="895" t="s">
        <v>1105</v>
      </c>
      <c r="O23" s="1019">
        <f t="shared" si="6"/>
        <v>2.7624527974224993</v>
      </c>
      <c r="P23" s="1020"/>
      <c r="Q23" s="1021">
        <v>22.24</v>
      </c>
      <c r="R23" s="891"/>
      <c r="S23" s="1022">
        <v>0.1</v>
      </c>
      <c r="T23" s="894">
        <f t="shared" si="7"/>
        <v>8.5052431999999997E-2</v>
      </c>
      <c r="U23" s="895" t="s">
        <v>1105</v>
      </c>
      <c r="V23" s="1023">
        <f t="shared" si="8"/>
        <v>85.052431999999996</v>
      </c>
      <c r="W23" s="895" t="s">
        <v>1105</v>
      </c>
      <c r="X23" s="1024">
        <f t="shared" si="9"/>
        <v>2.2538894479999998E-2</v>
      </c>
      <c r="Y23" s="1025"/>
      <c r="Z23" s="1026">
        <v>8.7000000000000008E-2</v>
      </c>
      <c r="AA23" s="1027">
        <f t="shared" si="10"/>
        <v>7.3995615840000001E-2</v>
      </c>
      <c r="AB23" s="895" t="s">
        <v>1105</v>
      </c>
      <c r="AC23" s="1028">
        <f t="shared" si="11"/>
        <v>73.995615839999999</v>
      </c>
      <c r="AD23" s="895" t="s">
        <v>1105</v>
      </c>
      <c r="AE23" s="1029">
        <f t="shared" si="12"/>
        <v>2.0718772435199999E-3</v>
      </c>
      <c r="AF23" s="976"/>
      <c r="AG23" s="863"/>
      <c r="AH23" s="863"/>
    </row>
    <row r="24" spans="1:34" ht="15.75" customHeight="1">
      <c r="A24" s="863"/>
      <c r="B24" s="889" t="s">
        <v>1116</v>
      </c>
      <c r="C24" s="1030">
        <f>E8</f>
        <v>16285444</v>
      </c>
      <c r="D24" s="891"/>
      <c r="E24" s="1012">
        <f>C24*$C$14/1000000000</f>
        <v>2237.3105821640002</v>
      </c>
      <c r="F24" s="1013" t="s">
        <v>1141</v>
      </c>
      <c r="G24" s="1031">
        <v>44.47</v>
      </c>
      <c r="H24" s="1013" t="s">
        <v>1141</v>
      </c>
      <c r="I24" s="1015">
        <v>1</v>
      </c>
      <c r="J24" s="1016" t="s">
        <v>1105</v>
      </c>
      <c r="K24" s="1017">
        <f t="shared" si="4"/>
        <v>49746.600794416547</v>
      </c>
      <c r="L24" s="895" t="s">
        <v>1105</v>
      </c>
      <c r="M24" s="1018">
        <f t="shared" si="5"/>
        <v>4.5129121308678806E-2</v>
      </c>
      <c r="N24" s="895" t="s">
        <v>1105</v>
      </c>
      <c r="O24" s="1019">
        <f t="shared" si="6"/>
        <v>0.16547344479848894</v>
      </c>
      <c r="P24" s="1020"/>
      <c r="Q24" s="1032"/>
      <c r="R24" s="1033">
        <v>3.1920000000000002</v>
      </c>
      <c r="S24" s="892">
        <v>0.08</v>
      </c>
      <c r="T24" s="894">
        <f>C24*R24*S24/1000000000</f>
        <v>4.1586509798399998E-3</v>
      </c>
      <c r="U24" s="895" t="s">
        <v>1105</v>
      </c>
      <c r="V24" s="1023">
        <f t="shared" si="8"/>
        <v>4.15865097984</v>
      </c>
      <c r="W24" s="895" t="s">
        <v>1105</v>
      </c>
      <c r="X24" s="1034">
        <f t="shared" si="9"/>
        <v>1.1020425096576001E-3</v>
      </c>
      <c r="Y24" s="1025"/>
      <c r="Z24" s="1026">
        <v>0.25</v>
      </c>
      <c r="AA24" s="1027">
        <f>C24*R24*Z24/1000000000</f>
        <v>1.2995784312E-2</v>
      </c>
      <c r="AB24" s="895" t="s">
        <v>1105</v>
      </c>
      <c r="AC24" s="1028">
        <f t="shared" si="11"/>
        <v>12.995784312</v>
      </c>
      <c r="AD24" s="895" t="s">
        <v>1105</v>
      </c>
      <c r="AE24" s="1029">
        <f>(AC24*$S$9)/1000000</f>
        <v>3.6388196073600001E-4</v>
      </c>
      <c r="AF24" s="863"/>
      <c r="AG24" s="1035"/>
      <c r="AH24" s="863"/>
    </row>
    <row r="25" spans="1:34" ht="15.75" customHeight="1">
      <c r="A25" s="863"/>
      <c r="B25" s="889"/>
      <c r="C25" s="891"/>
      <c r="D25" s="891"/>
      <c r="E25" s="1036"/>
      <c r="F25" s="1013"/>
      <c r="G25" s="1037"/>
      <c r="H25" s="1013"/>
      <c r="I25" s="1015"/>
      <c r="J25" s="1038"/>
      <c r="K25" s="1017"/>
      <c r="L25" s="1013"/>
      <c r="M25" s="1018"/>
      <c r="N25" s="1013"/>
      <c r="O25" s="1039">
        <f>SUM(O22:O24)</f>
        <v>2.9414772313752549</v>
      </c>
      <c r="P25" s="1020"/>
      <c r="Q25" s="1040"/>
      <c r="R25" s="1037"/>
      <c r="S25" s="1037"/>
      <c r="T25" s="891"/>
      <c r="U25" s="891"/>
      <c r="V25" s="1041"/>
      <c r="W25" s="891"/>
      <c r="X25" s="1042">
        <f>SUM(X22:X24)</f>
        <v>2.3687180210457598E-2</v>
      </c>
      <c r="Y25" s="1025"/>
      <c r="Z25" s="1032"/>
      <c r="AA25" s="891"/>
      <c r="AB25" s="891"/>
      <c r="AC25" s="1043"/>
      <c r="AD25" s="891"/>
      <c r="AE25" s="1044">
        <f>SUM(AE22:AE24)</f>
        <v>2.7582402308160003E-3</v>
      </c>
      <c r="AF25" s="976"/>
      <c r="AG25" s="863"/>
      <c r="AH25" s="863"/>
    </row>
    <row r="26" spans="1:34" ht="15.75" customHeight="1">
      <c r="A26" s="863"/>
      <c r="B26" s="1045"/>
      <c r="C26" s="1046"/>
      <c r="D26" s="863"/>
      <c r="E26" s="1047"/>
      <c r="F26" s="1047"/>
      <c r="G26" s="1047"/>
      <c r="H26" s="1047"/>
      <c r="I26" s="1047"/>
      <c r="J26" s="1047"/>
      <c r="K26" s="1048"/>
      <c r="L26" s="1049"/>
      <c r="M26" s="1050"/>
      <c r="N26" s="1051"/>
      <c r="O26" s="1052"/>
      <c r="P26" s="1047"/>
      <c r="Q26" s="1048"/>
      <c r="R26" s="1050"/>
      <c r="S26" s="1050"/>
      <c r="T26" s="1053"/>
      <c r="U26" s="1053"/>
      <c r="V26" s="1054"/>
      <c r="W26" s="1053"/>
      <c r="X26" s="1055"/>
      <c r="Y26" s="863"/>
      <c r="Z26" s="1056"/>
      <c r="AA26" s="1053"/>
      <c r="AB26" s="1053"/>
      <c r="AC26" s="1053"/>
      <c r="AD26" s="1053"/>
      <c r="AE26" s="1055"/>
      <c r="AF26" s="976"/>
      <c r="AG26" s="863"/>
      <c r="AH26" s="863"/>
    </row>
    <row r="27" spans="1:34" ht="15.75" customHeight="1">
      <c r="A27" s="1"/>
      <c r="B27" s="1057"/>
      <c r="C27" s="1058"/>
      <c r="D27" s="1058"/>
      <c r="E27" s="1058"/>
      <c r="F27" s="1058"/>
      <c r="G27" s="1058"/>
      <c r="H27" s="1058"/>
      <c r="I27" s="1058"/>
      <c r="J27" s="1058"/>
      <c r="K27" s="1058"/>
      <c r="L27" s="1058"/>
      <c r="M27" s="1058"/>
      <c r="N27" s="1058"/>
      <c r="O27" s="1058"/>
      <c r="P27" s="1058"/>
      <c r="Q27" s="1058"/>
      <c r="R27" s="1058"/>
      <c r="S27" s="1058"/>
      <c r="T27" s="1058"/>
      <c r="U27" s="1058"/>
      <c r="V27" s="1059"/>
      <c r="W27" s="1058"/>
      <c r="X27" s="1058"/>
      <c r="Y27" s="1058"/>
      <c r="Z27" s="1058"/>
      <c r="AA27" s="1058"/>
      <c r="AB27" s="1058"/>
      <c r="AC27" s="1058"/>
      <c r="AD27" s="1058"/>
      <c r="AE27" s="1058"/>
      <c r="AF27" s="1060"/>
      <c r="AG27" s="1"/>
      <c r="AH27" s="1"/>
    </row>
    <row r="28" spans="1:34" ht="15.75" customHeight="1">
      <c r="A28" s="1"/>
      <c r="B28" s="1"/>
      <c r="C28" s="1"/>
      <c r="D28" s="1"/>
      <c r="E28" s="1"/>
      <c r="F28" s="1"/>
      <c r="G28" s="1"/>
      <c r="H28" s="1"/>
      <c r="I28" s="1"/>
      <c r="J28" s="1"/>
      <c r="K28" s="1"/>
      <c r="L28" s="1"/>
      <c r="M28" s="1"/>
      <c r="N28" s="1"/>
      <c r="O28" s="1"/>
      <c r="P28" s="1"/>
      <c r="Q28" s="1"/>
      <c r="R28" s="1"/>
      <c r="S28" s="1"/>
      <c r="T28" s="1"/>
      <c r="U28" s="1"/>
      <c r="V28" s="1061"/>
      <c r="W28" s="1"/>
      <c r="X28" s="1"/>
      <c r="Y28" s="1"/>
      <c r="Z28" s="1"/>
      <c r="AA28" s="1"/>
      <c r="AB28" s="1"/>
      <c r="AC28" s="1"/>
      <c r="AD28" s="1"/>
      <c r="AE28" s="1"/>
      <c r="AF28" s="1"/>
      <c r="AG28" s="1"/>
      <c r="AH28" s="1"/>
    </row>
    <row r="29" spans="1:34" ht="15.75" customHeight="1">
      <c r="A29" s="1"/>
      <c r="B29" s="1062" t="s">
        <v>1143</v>
      </c>
      <c r="C29" s="940"/>
      <c r="D29" s="940"/>
      <c r="E29" s="940"/>
      <c r="F29" s="940"/>
      <c r="G29" s="940"/>
      <c r="H29" s="940"/>
      <c r="I29" s="940"/>
      <c r="J29" s="374"/>
      <c r="K29" s="374"/>
      <c r="L29" s="374"/>
      <c r="M29" s="940"/>
      <c r="N29" s="940"/>
      <c r="O29" s="940"/>
      <c r="P29" s="940"/>
      <c r="Q29" s="1063"/>
      <c r="R29" s="1063"/>
      <c r="S29" s="1063"/>
      <c r="T29" s="1063"/>
      <c r="U29" s="1063"/>
      <c r="V29" s="1064"/>
      <c r="W29" s="1063"/>
      <c r="X29" s="1063"/>
      <c r="Y29" s="940"/>
      <c r="Z29" s="1063"/>
      <c r="AA29" s="1063"/>
      <c r="AB29" s="1063"/>
      <c r="AC29" s="1063"/>
      <c r="AD29" s="1063"/>
      <c r="AE29" s="1063"/>
      <c r="AF29" s="1065"/>
      <c r="AG29" s="1"/>
      <c r="AH29" s="1"/>
    </row>
    <row r="30" spans="1:34" ht="15.75" customHeight="1">
      <c r="A30" s="1"/>
      <c r="B30" s="1066" t="s">
        <v>1144</v>
      </c>
      <c r="C30" s="1067"/>
      <c r="D30" s="1068"/>
      <c r="E30" s="1068"/>
      <c r="F30" s="1067"/>
      <c r="G30" s="1067"/>
      <c r="H30" s="1067"/>
      <c r="I30" s="1067"/>
      <c r="J30" s="1067"/>
      <c r="K30" s="1069"/>
      <c r="L30" s="1069"/>
      <c r="M30" s="1069"/>
      <c r="N30" s="1069"/>
      <c r="O30" s="1069"/>
      <c r="P30" s="11"/>
      <c r="Q30" s="1070"/>
      <c r="R30" s="1071"/>
      <c r="S30" s="1071"/>
      <c r="T30" s="1072"/>
      <c r="U30" s="1072"/>
      <c r="V30" s="1073"/>
      <c r="W30" s="1072"/>
      <c r="X30" s="1074"/>
      <c r="Y30" s="649"/>
      <c r="Z30" s="1075"/>
      <c r="AA30" s="1072"/>
      <c r="AB30" s="1072"/>
      <c r="AC30" s="1072"/>
      <c r="AD30" s="1072"/>
      <c r="AE30" s="1074"/>
      <c r="AF30" s="806"/>
      <c r="AG30" s="1"/>
      <c r="AH30" s="1"/>
    </row>
    <row r="31" spans="1:34" ht="15.75" customHeight="1">
      <c r="A31" s="1"/>
      <c r="B31" s="1076"/>
      <c r="C31" s="381"/>
      <c r="D31" s="381"/>
      <c r="E31" s="856"/>
      <c r="F31" s="1077"/>
      <c r="G31" s="1077"/>
      <c r="H31" s="856"/>
      <c r="I31" s="856"/>
      <c r="J31" s="1078"/>
      <c r="K31" s="1079"/>
      <c r="L31" s="1080"/>
      <c r="M31" s="1081" t="s">
        <v>1145</v>
      </c>
      <c r="N31" s="1080"/>
      <c r="O31" s="1082"/>
      <c r="P31" s="1083"/>
      <c r="Q31" s="1084"/>
      <c r="R31" s="1085"/>
      <c r="S31" s="1085"/>
      <c r="T31" s="1086" t="s">
        <v>1146</v>
      </c>
      <c r="U31" s="1087"/>
      <c r="V31" s="1088"/>
      <c r="W31" s="1087"/>
      <c r="X31" s="1089"/>
      <c r="Y31" s="649"/>
      <c r="Z31" s="1090"/>
      <c r="AA31" s="1091" t="s">
        <v>1147</v>
      </c>
      <c r="AB31" s="1086"/>
      <c r="AC31" s="1086"/>
      <c r="AD31" s="1086"/>
      <c r="AE31" s="1089"/>
      <c r="AF31" s="806"/>
      <c r="AG31" s="1"/>
      <c r="AH31" s="1"/>
    </row>
    <row r="32" spans="1:34" ht="15.75" customHeight="1">
      <c r="A32" s="1"/>
      <c r="B32" s="1092"/>
      <c r="C32" s="1093" t="s">
        <v>519</v>
      </c>
      <c r="D32" s="1094"/>
      <c r="E32" s="1093" t="s">
        <v>519</v>
      </c>
      <c r="F32" s="1093"/>
      <c r="G32" s="1093" t="s">
        <v>1124</v>
      </c>
      <c r="H32" s="1095"/>
      <c r="I32" s="1093" t="s">
        <v>1125</v>
      </c>
      <c r="J32" s="1096"/>
      <c r="K32" s="1097" t="s">
        <v>536</v>
      </c>
      <c r="L32" s="1095"/>
      <c r="M32" s="1098" t="s">
        <v>536</v>
      </c>
      <c r="N32" s="1095"/>
      <c r="O32" s="1099" t="s">
        <v>536</v>
      </c>
      <c r="P32" s="1020"/>
      <c r="Q32" s="1100"/>
      <c r="R32" s="1095"/>
      <c r="S32" s="1095"/>
      <c r="T32" s="1094"/>
      <c r="U32" s="1094"/>
      <c r="V32" s="1101"/>
      <c r="W32" s="1094"/>
      <c r="X32" s="1102"/>
      <c r="Y32" s="1025"/>
      <c r="Z32" s="1103"/>
      <c r="AA32" s="891"/>
      <c r="AB32" s="891"/>
      <c r="AC32" s="891"/>
      <c r="AD32" s="891"/>
      <c r="AE32" s="1104"/>
      <c r="AF32" s="806"/>
      <c r="AG32" s="1"/>
      <c r="AH32" s="1"/>
    </row>
    <row r="33" spans="1:34" ht="15.75" customHeight="1">
      <c r="A33" s="1"/>
      <c r="B33" s="1105" t="s">
        <v>177</v>
      </c>
      <c r="C33" s="1106" t="s">
        <v>1094</v>
      </c>
      <c r="D33" s="1107"/>
      <c r="E33" s="1106" t="s">
        <v>538</v>
      </c>
      <c r="F33" s="1108"/>
      <c r="G33" s="1106" t="s">
        <v>1126</v>
      </c>
      <c r="H33" s="1108"/>
      <c r="I33" s="1106" t="s">
        <v>1127</v>
      </c>
      <c r="J33" s="1096"/>
      <c r="K33" s="1109" t="s">
        <v>1128</v>
      </c>
      <c r="L33" s="1093"/>
      <c r="M33" s="1093" t="s">
        <v>1129</v>
      </c>
      <c r="N33" s="1095"/>
      <c r="O33" s="1099" t="s">
        <v>1148</v>
      </c>
      <c r="P33" s="1020"/>
      <c r="Q33" s="1110" t="s">
        <v>1131</v>
      </c>
      <c r="R33" s="1111" t="s">
        <v>1095</v>
      </c>
      <c r="S33" s="1111" t="s">
        <v>1149</v>
      </c>
      <c r="T33" s="1111" t="s">
        <v>1150</v>
      </c>
      <c r="U33" s="1094"/>
      <c r="V33" s="1112" t="s">
        <v>1151</v>
      </c>
      <c r="W33" s="1094"/>
      <c r="X33" s="1113" t="s">
        <v>1152</v>
      </c>
      <c r="Y33" s="1114"/>
      <c r="Z33" s="1110" t="s">
        <v>1153</v>
      </c>
      <c r="AA33" s="1111" t="s">
        <v>1154</v>
      </c>
      <c r="AB33" s="1094"/>
      <c r="AC33" s="1111" t="s">
        <v>1155</v>
      </c>
      <c r="AD33" s="1094"/>
      <c r="AE33" s="1113" t="s">
        <v>1156</v>
      </c>
      <c r="AF33" s="806"/>
      <c r="AG33" s="1"/>
      <c r="AH33" s="1"/>
    </row>
    <row r="34" spans="1:34" ht="15.75" customHeight="1">
      <c r="A34" s="1"/>
      <c r="B34" s="1115" t="s">
        <v>1157</v>
      </c>
      <c r="C34" s="1116">
        <f t="shared" ref="C34:C35" si="13">E9</f>
        <v>3584000</v>
      </c>
      <c r="D34" s="1117"/>
      <c r="E34" s="1118">
        <f>C34*$C$14/1000000000</f>
        <v>492.37350400000003</v>
      </c>
      <c r="F34" s="1119" t="s">
        <v>1141</v>
      </c>
      <c r="G34" s="1120">
        <v>44.47</v>
      </c>
      <c r="H34" s="1119" t="s">
        <v>1141</v>
      </c>
      <c r="I34" s="1121">
        <v>1</v>
      </c>
      <c r="J34" s="1016" t="s">
        <v>1105</v>
      </c>
      <c r="K34" s="1122">
        <f t="shared" ref="K34:K35" si="14">E34*1000*G34*I34/2000</f>
        <v>10947.924861439998</v>
      </c>
      <c r="L34" s="895" t="s">
        <v>1105</v>
      </c>
      <c r="M34" s="1018">
        <f t="shared" ref="M34:M35" si="15">K34*0.90718/1000000</f>
        <v>9.9317384758011371E-3</v>
      </c>
      <c r="N34" s="895" t="s">
        <v>1105</v>
      </c>
      <c r="O34" s="1123">
        <f t="shared" ref="O34:O35" si="16">M34*44/12</f>
        <v>3.6416374411270831E-2</v>
      </c>
      <c r="P34" s="1020"/>
      <c r="Q34" s="1103"/>
      <c r="R34" s="1033">
        <v>3.1920000000000002</v>
      </c>
      <c r="S34" s="892">
        <v>0.08</v>
      </c>
      <c r="T34" s="894">
        <f t="shared" ref="T34:T35" si="17">C34*R34*S34/1000000000</f>
        <v>9.1521023999999998E-4</v>
      </c>
      <c r="U34" s="895" t="s">
        <v>1105</v>
      </c>
      <c r="V34" s="1023">
        <f t="shared" ref="V34:V35" si="18">T34*1000</f>
        <v>0.91521023999999995</v>
      </c>
      <c r="W34" s="895" t="s">
        <v>1105</v>
      </c>
      <c r="X34" s="1124">
        <f t="shared" ref="X34:X35" si="19">(V34*$S$10)/1000000</f>
        <v>2.425307136E-4</v>
      </c>
      <c r="Y34" s="1025"/>
      <c r="Z34" s="1125">
        <v>0.25</v>
      </c>
      <c r="AA34" s="1027">
        <f t="shared" ref="AA34:AA35" si="20">C34*R34*Z34/1000000000</f>
        <v>2.8600320000000002E-3</v>
      </c>
      <c r="AB34" s="895" t="s">
        <v>1105</v>
      </c>
      <c r="AC34" s="1028">
        <f t="shared" ref="AC34:AC35" si="21">AA34*1000</f>
        <v>2.8600320000000004</v>
      </c>
      <c r="AD34" s="895" t="s">
        <v>1105</v>
      </c>
      <c r="AE34" s="1126">
        <f t="shared" ref="AE34:AE35" si="22">(AC34*$S$9)/1000000</f>
        <v>8.0080896000000003E-5</v>
      </c>
      <c r="AF34" s="806"/>
      <c r="AG34" s="1"/>
      <c r="AH34" s="1"/>
    </row>
    <row r="35" spans="1:34" ht="15.75" customHeight="1">
      <c r="A35" s="1"/>
      <c r="B35" s="1127" t="s">
        <v>1158</v>
      </c>
      <c r="C35" s="1011">
        <f t="shared" si="13"/>
        <v>2436000</v>
      </c>
      <c r="D35" s="891"/>
      <c r="E35" s="1012">
        <f>G10</f>
        <v>363</v>
      </c>
      <c r="F35" s="1013" t="s">
        <v>1141</v>
      </c>
      <c r="G35" s="1031">
        <v>45.15</v>
      </c>
      <c r="H35" s="1013" t="s">
        <v>1141</v>
      </c>
      <c r="I35" s="1015">
        <v>1</v>
      </c>
      <c r="J35" s="1016" t="s">
        <v>1105</v>
      </c>
      <c r="K35" s="1122">
        <f t="shared" si="14"/>
        <v>8194.7250000000004</v>
      </c>
      <c r="L35" s="895" t="s">
        <v>1105</v>
      </c>
      <c r="M35" s="1018">
        <f t="shared" si="15"/>
        <v>7.4340906254999999E-3</v>
      </c>
      <c r="N35" s="895" t="s">
        <v>1105</v>
      </c>
      <c r="O35" s="1123">
        <f t="shared" si="16"/>
        <v>2.7258332293499998E-2</v>
      </c>
      <c r="P35" s="1020"/>
      <c r="Q35" s="1128"/>
      <c r="R35" s="1033">
        <v>3.5750000000000002</v>
      </c>
      <c r="S35" s="892">
        <v>0.08</v>
      </c>
      <c r="T35" s="894">
        <f t="shared" si="17"/>
        <v>6.9669600000000001E-4</v>
      </c>
      <c r="U35" s="895" t="s">
        <v>1105</v>
      </c>
      <c r="V35" s="1023">
        <f t="shared" si="18"/>
        <v>0.69669599999999998</v>
      </c>
      <c r="W35" s="895" t="s">
        <v>1105</v>
      </c>
      <c r="X35" s="1129">
        <f t="shared" si="19"/>
        <v>1.8462443999999999E-4</v>
      </c>
      <c r="Y35" s="1025"/>
      <c r="Z35" s="1125">
        <v>0.23</v>
      </c>
      <c r="AA35" s="1027">
        <f t="shared" si="20"/>
        <v>2.0030009999999999E-3</v>
      </c>
      <c r="AB35" s="895" t="s">
        <v>1105</v>
      </c>
      <c r="AC35" s="1028">
        <f t="shared" si="21"/>
        <v>2.0030009999999998</v>
      </c>
      <c r="AD35" s="895" t="s">
        <v>1105</v>
      </c>
      <c r="AE35" s="1126">
        <f t="shared" si="22"/>
        <v>5.6084027999999997E-5</v>
      </c>
      <c r="AF35" s="806"/>
      <c r="AG35" s="1"/>
      <c r="AH35" s="1"/>
    </row>
    <row r="36" spans="1:34" ht="15.75" customHeight="1">
      <c r="A36" s="1"/>
      <c r="B36" s="1127"/>
      <c r="C36" s="891"/>
      <c r="D36" s="891"/>
      <c r="E36" s="1036"/>
      <c r="F36" s="1013"/>
      <c r="G36" s="1037"/>
      <c r="H36" s="1013"/>
      <c r="I36" s="1015"/>
      <c r="J36" s="1038"/>
      <c r="K36" s="1122"/>
      <c r="L36" s="1013"/>
      <c r="M36" s="1018"/>
      <c r="N36" s="1013"/>
      <c r="O36" s="1130">
        <f>SUM(O34:O35)</f>
        <v>6.3674706704770823E-2</v>
      </c>
      <c r="P36" s="1020"/>
      <c r="Q36" s="1128"/>
      <c r="R36" s="1037"/>
      <c r="S36" s="1037"/>
      <c r="T36" s="891"/>
      <c r="U36" s="891"/>
      <c r="V36" s="1043"/>
      <c r="W36" s="891"/>
      <c r="X36" s="1131">
        <f>(X34+X35)</f>
        <v>4.2715515359999999E-4</v>
      </c>
      <c r="Y36" s="1025"/>
      <c r="Z36" s="1103"/>
      <c r="AA36" s="891"/>
      <c r="AB36" s="891"/>
      <c r="AC36" s="1043"/>
      <c r="AD36" s="891"/>
      <c r="AE36" s="1132">
        <f>(AE34+AE35)</f>
        <v>1.36164924E-4</v>
      </c>
      <c r="AF36" s="806"/>
      <c r="AG36" s="1"/>
      <c r="AH36" s="1"/>
    </row>
    <row r="37" spans="1:34" ht="15.75" customHeight="1">
      <c r="A37" s="1"/>
      <c r="B37" s="1127"/>
      <c r="C37" s="1030"/>
      <c r="D37" s="891"/>
      <c r="E37" s="1037"/>
      <c r="F37" s="1037"/>
      <c r="G37" s="1037"/>
      <c r="H37" s="1037"/>
      <c r="I37" s="1037"/>
      <c r="J37" s="1096"/>
      <c r="K37" s="1133"/>
      <c r="L37" s="1134"/>
      <c r="M37" s="1135"/>
      <c r="N37" s="1136"/>
      <c r="O37" s="1137"/>
      <c r="P37" s="1020"/>
      <c r="Q37" s="1133"/>
      <c r="R37" s="1135"/>
      <c r="S37" s="1135"/>
      <c r="T37" s="1138"/>
      <c r="U37" s="1138"/>
      <c r="V37" s="1138"/>
      <c r="W37" s="1138"/>
      <c r="X37" s="1139"/>
      <c r="Y37" s="1025"/>
      <c r="Z37" s="1140"/>
      <c r="AA37" s="1138"/>
      <c r="AB37" s="1138"/>
      <c r="AC37" s="1138"/>
      <c r="AD37" s="1138"/>
      <c r="AE37" s="1139"/>
      <c r="AF37" s="806"/>
      <c r="AG37" s="1"/>
      <c r="AH37" s="1"/>
    </row>
    <row r="38" spans="1:34" ht="15.75" customHeight="1">
      <c r="A38" s="1"/>
      <c r="B38" s="321"/>
      <c r="C38" s="1"/>
      <c r="D38" s="1"/>
      <c r="E38" s="1"/>
      <c r="F38" s="1"/>
      <c r="G38" s="1"/>
      <c r="H38" s="1"/>
      <c r="I38" s="1141"/>
      <c r="J38" s="1141"/>
      <c r="K38" s="1"/>
      <c r="L38" s="1"/>
      <c r="M38" s="1"/>
      <c r="N38" s="1"/>
      <c r="O38" s="1"/>
      <c r="P38" s="1"/>
      <c r="Q38" s="1"/>
      <c r="R38" s="1"/>
      <c r="S38" s="1"/>
      <c r="T38" s="1"/>
      <c r="U38" s="1"/>
      <c r="V38" s="1"/>
      <c r="W38" s="1"/>
      <c r="X38" s="1"/>
      <c r="Y38" s="1141"/>
      <c r="Z38" s="1"/>
      <c r="AA38" s="1"/>
      <c r="AB38" s="1"/>
      <c r="AC38" s="1"/>
      <c r="AD38" s="1"/>
      <c r="AE38" s="1"/>
      <c r="AF38" s="806"/>
      <c r="AG38" s="1"/>
      <c r="AH38" s="1"/>
    </row>
    <row r="39" spans="1:34" ht="15.75" customHeight="1">
      <c r="A39" s="1"/>
      <c r="B39" s="1142"/>
      <c r="C39" s="935"/>
      <c r="D39" s="935"/>
      <c r="E39" s="935"/>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1143"/>
      <c r="AG39" s="1"/>
      <c r="AH39" s="1"/>
    </row>
    <row r="40" spans="1:34" ht="15.75" customHeight="1">
      <c r="A40" s="1"/>
      <c r="B40" s="1"/>
      <c r="C40" s="1"/>
      <c r="D40" s="1"/>
      <c r="E40" s="1"/>
      <c r="F40" s="1"/>
      <c r="G40" s="1"/>
      <c r="H40" s="1"/>
      <c r="I40" s="1"/>
      <c r="J40" s="1"/>
      <c r="K40" s="1"/>
      <c r="L40" s="1"/>
      <c r="M40" s="1">
        <v>171972210</v>
      </c>
      <c r="N40" s="1"/>
      <c r="O40" s="1">
        <f>(M40*0.907184)/(1000000)</f>
        <v>156.01043735664001</v>
      </c>
      <c r="P40" s="1"/>
      <c r="Q40" s="1"/>
      <c r="R40" s="1"/>
      <c r="S40" s="1"/>
      <c r="T40" s="1"/>
      <c r="U40" s="1"/>
      <c r="V40" s="1"/>
      <c r="W40" s="1"/>
      <c r="X40" s="1"/>
      <c r="Y40" s="1"/>
      <c r="Z40" s="1"/>
      <c r="AA40" s="1"/>
      <c r="AB40" s="1"/>
      <c r="AC40" s="1"/>
      <c r="AD40" s="1"/>
      <c r="AE40" s="1"/>
      <c r="AF40" s="1"/>
      <c r="AG40" s="1"/>
      <c r="AH40" s="1"/>
    </row>
    <row r="41" spans="1:34" ht="15.75" customHeight="1">
      <c r="A41" s="1"/>
      <c r="B41" s="1"/>
      <c r="C41" s="1"/>
      <c r="D41" s="1"/>
      <c r="E41" s="1"/>
      <c r="F41" s="1"/>
      <c r="G41" s="1"/>
      <c r="H41" s="1"/>
      <c r="I41" s="340"/>
      <c r="J41" s="1"/>
      <c r="K41" s="1"/>
      <c r="L41" s="1"/>
      <c r="M41" s="1"/>
      <c r="N41" s="1"/>
      <c r="O41" s="1"/>
      <c r="P41" s="1"/>
      <c r="Q41" s="1"/>
      <c r="R41" s="1"/>
      <c r="S41" s="1"/>
      <c r="T41" s="1"/>
      <c r="U41" s="1"/>
      <c r="V41" s="1"/>
      <c r="W41" s="1"/>
      <c r="X41" s="1"/>
      <c r="Y41" s="1"/>
      <c r="Z41" s="1"/>
      <c r="AA41" s="1"/>
      <c r="AB41" s="1"/>
      <c r="AC41" s="1"/>
      <c r="AD41" s="1"/>
      <c r="AE41" s="1"/>
      <c r="AF41" s="1"/>
      <c r="AG41" s="1"/>
      <c r="AH41" s="1"/>
    </row>
    <row r="42" spans="1:34" ht="15.75" customHeight="1">
      <c r="A42" s="863"/>
      <c r="B42" s="1144"/>
      <c r="C42" s="1145"/>
      <c r="D42" s="1145"/>
      <c r="E42" s="1146" t="s">
        <v>1159</v>
      </c>
      <c r="F42" s="1145"/>
      <c r="G42" s="1145"/>
      <c r="H42" s="1145"/>
      <c r="I42" s="1146" t="s">
        <v>1160</v>
      </c>
      <c r="J42" s="1147"/>
      <c r="K42" s="1145"/>
      <c r="L42" s="1148"/>
      <c r="M42" s="1145"/>
      <c r="N42" s="1147"/>
      <c r="O42" s="1149"/>
      <c r="P42" s="1149"/>
      <c r="Q42" s="1149"/>
      <c r="R42" s="1149"/>
      <c r="S42" s="1150"/>
      <c r="T42" s="1151"/>
      <c r="U42" s="863"/>
      <c r="V42" s="863"/>
      <c r="W42" s="863"/>
      <c r="X42" s="863"/>
      <c r="Y42" s="863"/>
      <c r="Z42" s="863"/>
      <c r="AA42" s="863"/>
      <c r="AB42" s="863"/>
      <c r="AC42" s="863"/>
      <c r="AD42" s="863"/>
      <c r="AE42" s="863"/>
      <c r="AF42" s="863"/>
      <c r="AG42" s="863"/>
      <c r="AH42" s="863"/>
    </row>
    <row r="43" spans="1:34" ht="15.75" customHeight="1">
      <c r="A43" s="863"/>
      <c r="B43" s="1152"/>
      <c r="C43" s="1153" t="s">
        <v>519</v>
      </c>
      <c r="D43" s="1154"/>
      <c r="E43" s="1153" t="s">
        <v>519</v>
      </c>
      <c r="F43" s="1154"/>
      <c r="G43" s="1154"/>
      <c r="H43" s="1154"/>
      <c r="I43" s="1153" t="s">
        <v>519</v>
      </c>
      <c r="J43" s="1154"/>
      <c r="K43" s="1153" t="s">
        <v>1124</v>
      </c>
      <c r="L43" s="1154"/>
      <c r="M43" s="1153" t="s">
        <v>1125</v>
      </c>
      <c r="N43" s="1154"/>
      <c r="O43" s="1155" t="s">
        <v>536</v>
      </c>
      <c r="P43" s="1154"/>
      <c r="Q43" s="1155" t="s">
        <v>536</v>
      </c>
      <c r="R43" s="1154"/>
      <c r="S43" s="1156" t="s">
        <v>536</v>
      </c>
      <c r="T43" s="1151"/>
      <c r="U43" s="863"/>
      <c r="V43" s="863"/>
      <c r="W43" s="863"/>
      <c r="X43" s="863"/>
      <c r="Y43" s="863"/>
      <c r="Z43" s="863"/>
      <c r="AA43" s="863"/>
      <c r="AB43" s="863"/>
      <c r="AC43" s="863"/>
      <c r="AD43" s="863"/>
      <c r="AE43" s="863"/>
      <c r="AF43" s="863"/>
      <c r="AG43" s="863"/>
      <c r="AH43" s="863"/>
    </row>
    <row r="44" spans="1:34" ht="15.75" customHeight="1">
      <c r="A44" s="863"/>
      <c r="B44" s="1152"/>
      <c r="C44" s="1153" t="s">
        <v>538</v>
      </c>
      <c r="D44" s="1154"/>
      <c r="E44" s="1153" t="s">
        <v>538</v>
      </c>
      <c r="F44" s="1154"/>
      <c r="G44" s="1153" t="s">
        <v>1161</v>
      </c>
      <c r="H44" s="1154"/>
      <c r="I44" s="1153" t="s">
        <v>538</v>
      </c>
      <c r="J44" s="1154"/>
      <c r="K44" s="1153" t="s">
        <v>1126</v>
      </c>
      <c r="L44" s="1154"/>
      <c r="M44" s="1153" t="s">
        <v>1127</v>
      </c>
      <c r="N44" s="1154"/>
      <c r="O44" s="1153" t="s">
        <v>1128</v>
      </c>
      <c r="P44" s="1153"/>
      <c r="Q44" s="1153" t="s">
        <v>1129</v>
      </c>
      <c r="R44" s="1154"/>
      <c r="S44" s="1156" t="s">
        <v>1162</v>
      </c>
      <c r="T44" s="1151"/>
      <c r="U44" s="863"/>
      <c r="V44" s="863"/>
      <c r="W44" s="863"/>
      <c r="X44" s="863"/>
      <c r="Y44" s="863"/>
      <c r="Z44" s="863"/>
      <c r="AA44" s="863"/>
      <c r="AB44" s="863"/>
      <c r="AC44" s="863"/>
      <c r="AD44" s="863"/>
      <c r="AE44" s="863"/>
      <c r="AF44" s="863"/>
      <c r="AG44" s="863"/>
      <c r="AH44" s="863"/>
    </row>
    <row r="45" spans="1:34" ht="15.75" customHeight="1">
      <c r="A45" s="863"/>
      <c r="B45" s="1157" t="s">
        <v>1163</v>
      </c>
      <c r="C45" s="991">
        <f>G7</f>
        <v>2135</v>
      </c>
      <c r="D45" s="997" t="s">
        <v>1164</v>
      </c>
      <c r="E45" s="991">
        <v>1427</v>
      </c>
      <c r="F45" s="992" t="s">
        <v>1141</v>
      </c>
      <c r="G45" s="1158">
        <v>9.2393732597307904E-2</v>
      </c>
      <c r="H45" s="992" t="s">
        <v>1165</v>
      </c>
      <c r="I45" s="1159">
        <f>C45-(E45*G45)</f>
        <v>2003.1541435836416</v>
      </c>
      <c r="J45" s="992" t="s">
        <v>1141</v>
      </c>
      <c r="K45" s="993">
        <v>44.53</v>
      </c>
      <c r="L45" s="992" t="s">
        <v>1141</v>
      </c>
      <c r="M45" s="994">
        <v>1</v>
      </c>
      <c r="N45" s="997" t="s">
        <v>1105</v>
      </c>
      <c r="O45" s="1159">
        <f>I45*1000*K45*M45/2000</f>
        <v>44600.227006889785</v>
      </c>
      <c r="P45" s="997" t="s">
        <v>1105</v>
      </c>
      <c r="Q45" s="998">
        <f>O45*0.90718/1000000</f>
        <v>4.0460433936110277E-2</v>
      </c>
      <c r="R45" s="992" t="s">
        <v>1105</v>
      </c>
      <c r="S45" s="1160">
        <f>Q45*44/12</f>
        <v>0.14835492443240436</v>
      </c>
      <c r="T45" s="1151"/>
      <c r="U45" s="863"/>
      <c r="V45" s="863"/>
      <c r="W45" s="863"/>
      <c r="X45" s="863"/>
      <c r="Y45" s="863"/>
      <c r="Z45" s="863"/>
      <c r="AA45" s="863"/>
      <c r="AB45" s="863"/>
      <c r="AC45" s="863"/>
      <c r="AD45" s="863"/>
      <c r="AE45" s="863"/>
      <c r="AF45" s="863"/>
      <c r="AG45" s="863"/>
      <c r="AH45" s="863"/>
    </row>
    <row r="46" spans="1:34" ht="15.75" customHeight="1">
      <c r="A46" s="863"/>
      <c r="B46" s="1161"/>
      <c r="C46" s="1162"/>
      <c r="D46" s="1163"/>
      <c r="E46" s="1162"/>
      <c r="F46" s="1163"/>
      <c r="G46" s="1164"/>
      <c r="H46" s="1163"/>
      <c r="I46" s="1162"/>
      <c r="J46" s="1163"/>
      <c r="K46" s="1165"/>
      <c r="L46" s="1163"/>
      <c r="M46" s="1166"/>
      <c r="N46" s="1163"/>
      <c r="O46" s="1162"/>
      <c r="P46" s="1163"/>
      <c r="Q46" s="1167"/>
      <c r="R46" s="1163"/>
      <c r="S46" s="1168"/>
      <c r="T46" s="1151"/>
      <c r="U46" s="863"/>
      <c r="V46" s="863"/>
      <c r="W46" s="863"/>
      <c r="X46" s="863"/>
      <c r="Y46" s="863"/>
      <c r="Z46" s="863"/>
      <c r="AA46" s="863"/>
      <c r="AB46" s="863"/>
      <c r="AC46" s="863"/>
      <c r="AD46" s="863"/>
      <c r="AE46" s="863"/>
      <c r="AF46" s="863"/>
      <c r="AG46" s="863"/>
      <c r="AH46" s="863"/>
    </row>
    <row r="47" spans="1:34" ht="15.75" customHeight="1">
      <c r="A47" s="863"/>
      <c r="B47" s="1047"/>
      <c r="C47" s="1169"/>
      <c r="D47" s="1170"/>
      <c r="E47" s="1169"/>
      <c r="F47" s="1170"/>
      <c r="G47" s="1171"/>
      <c r="H47" s="1170"/>
      <c r="I47" s="1169"/>
      <c r="J47" s="1170"/>
      <c r="K47" s="1172"/>
      <c r="L47" s="1170"/>
      <c r="M47" s="1173"/>
      <c r="N47" s="1170"/>
      <c r="O47" s="1169"/>
      <c r="P47" s="1170"/>
      <c r="Q47" s="1174"/>
      <c r="R47" s="1170"/>
      <c r="S47" s="1174"/>
      <c r="T47" s="863"/>
      <c r="U47" s="863"/>
      <c r="V47" s="863"/>
      <c r="W47" s="863"/>
      <c r="X47" s="863"/>
      <c r="Y47" s="863"/>
      <c r="Z47" s="863"/>
      <c r="AA47" s="863"/>
      <c r="AB47" s="863"/>
      <c r="AC47" s="863"/>
      <c r="AD47" s="863"/>
      <c r="AE47" s="863"/>
      <c r="AF47" s="863"/>
      <c r="AG47" s="863"/>
      <c r="AH47" s="863"/>
    </row>
    <row r="48" spans="1:34" ht="15.75" customHeight="1">
      <c r="A48" s="1"/>
      <c r="B48" s="1"/>
      <c r="C48" s="1"/>
      <c r="D48" s="1"/>
      <c r="E48" s="1"/>
      <c r="F48" s="1"/>
      <c r="G48" s="1"/>
      <c r="H48" s="1"/>
      <c r="I48" s="340"/>
      <c r="J48" s="1"/>
      <c r="K48" s="1"/>
      <c r="L48" s="1"/>
      <c r="M48" s="1"/>
      <c r="N48" s="1"/>
      <c r="O48" s="1"/>
      <c r="P48" s="1"/>
      <c r="Q48" s="1"/>
      <c r="R48" s="1"/>
      <c r="S48" s="1"/>
      <c r="T48" s="1"/>
      <c r="U48" s="1"/>
      <c r="V48" s="1"/>
      <c r="W48" s="1"/>
      <c r="X48" s="1"/>
      <c r="Y48" s="1"/>
      <c r="Z48" s="1"/>
      <c r="AA48" s="1"/>
      <c r="AB48" s="1"/>
      <c r="AC48" s="1"/>
      <c r="AD48" s="1"/>
      <c r="AE48" s="1"/>
      <c r="AF48" s="1"/>
      <c r="AG48" s="1"/>
      <c r="AH48" s="1"/>
    </row>
    <row r="49" spans="1:34" ht="15.75" customHeight="1">
      <c r="A49" s="1"/>
      <c r="B49" s="1"/>
      <c r="C49" s="1"/>
      <c r="D49" s="1"/>
      <c r="E49" s="1"/>
      <c r="F49" s="1"/>
      <c r="G49" s="1"/>
      <c r="H49" s="1"/>
      <c r="I49" s="340"/>
      <c r="J49" s="1"/>
      <c r="K49" s="1"/>
      <c r="L49" s="1"/>
      <c r="M49" s="1"/>
      <c r="N49" s="1"/>
      <c r="O49" s="1"/>
      <c r="P49" s="1"/>
      <c r="Q49" s="1"/>
      <c r="R49" s="1"/>
      <c r="S49" s="1"/>
      <c r="T49" s="1"/>
      <c r="U49" s="1"/>
      <c r="V49" s="1"/>
      <c r="W49" s="1"/>
      <c r="X49" s="1"/>
      <c r="Y49" s="1"/>
      <c r="Z49" s="1"/>
      <c r="AA49" s="1"/>
      <c r="AB49" s="1"/>
      <c r="AC49" s="1"/>
      <c r="AD49" s="1"/>
      <c r="AE49" s="1"/>
      <c r="AF49" s="1"/>
      <c r="AG49" s="1"/>
      <c r="AH49" s="1"/>
    </row>
    <row r="50" spans="1:34" ht="15.75" customHeight="1">
      <c r="A50" s="1"/>
      <c r="B50" s="1175"/>
      <c r="C50" s="1176" t="s">
        <v>536</v>
      </c>
      <c r="D50" s="1177"/>
      <c r="E50" s="1177" t="s">
        <v>536</v>
      </c>
      <c r="F50" s="1176"/>
      <c r="G50" s="1177" t="s">
        <v>536</v>
      </c>
      <c r="H50" s="1178"/>
      <c r="I50" s="1177" t="s">
        <v>536</v>
      </c>
      <c r="J50" s="1179"/>
      <c r="K50" s="1"/>
      <c r="L50" s="1"/>
      <c r="M50" s="1"/>
      <c r="N50" s="1"/>
      <c r="O50" s="1"/>
      <c r="P50" s="1"/>
      <c r="Q50" s="1"/>
      <c r="R50" s="1"/>
      <c r="S50" s="1"/>
      <c r="T50" s="1"/>
      <c r="U50" s="1"/>
      <c r="V50" s="1"/>
      <c r="W50" s="1"/>
      <c r="X50" s="1"/>
      <c r="Y50" s="1"/>
      <c r="Z50" s="1"/>
      <c r="AA50" s="1"/>
      <c r="AB50" s="1"/>
      <c r="AC50" s="1"/>
      <c r="AD50" s="1"/>
      <c r="AE50" s="1"/>
      <c r="AF50" s="1"/>
      <c r="AG50" s="1"/>
      <c r="AH50" s="1"/>
    </row>
    <row r="51" spans="1:34" ht="15.75" customHeight="1">
      <c r="A51" s="1"/>
      <c r="B51" s="1175"/>
      <c r="C51" s="1176" t="s">
        <v>1166</v>
      </c>
      <c r="D51" s="1177"/>
      <c r="E51" s="1177" t="s">
        <v>1167</v>
      </c>
      <c r="F51" s="1176"/>
      <c r="G51" s="1177" t="s">
        <v>1168</v>
      </c>
      <c r="H51" s="1178"/>
      <c r="I51" s="1177" t="s">
        <v>1169</v>
      </c>
      <c r="J51" s="1179"/>
      <c r="K51" s="1"/>
      <c r="L51" s="1"/>
      <c r="M51" s="1"/>
      <c r="N51" s="1"/>
      <c r="O51" s="1"/>
      <c r="P51" s="1"/>
      <c r="Q51" s="1"/>
      <c r="R51" s="1"/>
      <c r="S51" s="1"/>
      <c r="T51" s="1"/>
      <c r="U51" s="1"/>
      <c r="V51" s="1"/>
      <c r="W51" s="1"/>
      <c r="X51" s="1"/>
      <c r="Y51" s="1"/>
      <c r="Z51" s="1"/>
      <c r="AA51" s="1"/>
      <c r="AB51" s="1"/>
      <c r="AC51" s="1"/>
      <c r="AD51" s="1"/>
      <c r="AE51" s="1"/>
      <c r="AF51" s="1"/>
      <c r="AG51" s="1"/>
      <c r="AH51" s="1"/>
    </row>
    <row r="52" spans="1:34" ht="15.75" customHeight="1">
      <c r="A52" s="1"/>
      <c r="B52" s="1180" t="s">
        <v>177</v>
      </c>
      <c r="C52" s="1181" t="s">
        <v>1170</v>
      </c>
      <c r="D52" s="1182"/>
      <c r="E52" s="1182" t="s">
        <v>1171</v>
      </c>
      <c r="F52" s="1181"/>
      <c r="G52" s="1182" t="s">
        <v>1172</v>
      </c>
      <c r="H52" s="1183"/>
      <c r="I52" s="1182" t="s">
        <v>1173</v>
      </c>
      <c r="J52" s="1179"/>
      <c r="K52" s="1"/>
      <c r="L52" s="1"/>
      <c r="M52" s="1"/>
      <c r="N52" s="1"/>
      <c r="O52" s="1"/>
      <c r="P52" s="1"/>
      <c r="Q52" s="1"/>
      <c r="R52" s="1"/>
      <c r="S52" s="1"/>
      <c r="T52" s="1"/>
      <c r="U52" s="1"/>
      <c r="V52" s="1"/>
      <c r="W52" s="1"/>
      <c r="X52" s="1"/>
      <c r="Y52" s="1"/>
      <c r="Z52" s="1"/>
      <c r="AA52" s="1"/>
      <c r="AB52" s="1"/>
      <c r="AC52" s="1"/>
      <c r="AD52" s="1"/>
      <c r="AE52" s="1"/>
      <c r="AF52" s="1"/>
      <c r="AG52" s="1"/>
      <c r="AH52" s="1"/>
    </row>
    <row r="53" spans="1:34" ht="15.75" customHeight="1">
      <c r="A53" s="1"/>
      <c r="B53" s="1184" t="s">
        <v>1140</v>
      </c>
      <c r="C53" s="1185">
        <f t="shared" ref="C53:C55" si="23">O22</f>
        <v>1.3550989154266668E-2</v>
      </c>
      <c r="D53" s="1186"/>
      <c r="E53" s="1186">
        <f t="shared" ref="E53:E55" si="24">AE22</f>
        <v>3.2248102656000008E-4</v>
      </c>
      <c r="F53" s="1185"/>
      <c r="G53" s="1186">
        <f t="shared" ref="G53:G55" si="25">X22</f>
        <v>4.6243220800000006E-5</v>
      </c>
      <c r="H53" s="1187"/>
      <c r="I53" s="1186">
        <f t="shared" ref="I53:I55" si="26">SUM(C53:H53)</f>
        <v>1.3919713401626668E-2</v>
      </c>
      <c r="J53" s="1188"/>
      <c r="K53" s="1"/>
      <c r="L53" s="1"/>
      <c r="M53" s="1"/>
      <c r="N53" s="1"/>
      <c r="O53" s="1"/>
      <c r="P53" s="1"/>
      <c r="Q53" s="1"/>
      <c r="R53" s="1"/>
      <c r="S53" s="1"/>
      <c r="T53" s="1"/>
      <c r="U53" s="1"/>
      <c r="V53" s="1"/>
      <c r="W53" s="1"/>
      <c r="X53" s="1061"/>
      <c r="Y53" s="1"/>
      <c r="Z53" s="1"/>
      <c r="AA53" s="1"/>
      <c r="AB53" s="1"/>
      <c r="AC53" s="1"/>
      <c r="AD53" s="1"/>
      <c r="AE53" s="1"/>
      <c r="AF53" s="1"/>
      <c r="AG53" s="1"/>
      <c r="AH53" s="1"/>
    </row>
    <row r="54" spans="1:34" ht="15.75" customHeight="1">
      <c r="A54" s="1"/>
      <c r="B54" s="1189" t="s">
        <v>1142</v>
      </c>
      <c r="C54" s="1185">
        <f t="shared" si="23"/>
        <v>2.7624527974224993</v>
      </c>
      <c r="D54" s="1186"/>
      <c r="E54" s="1186">
        <f t="shared" si="24"/>
        <v>2.0718772435199999E-3</v>
      </c>
      <c r="F54" s="1185"/>
      <c r="G54" s="1186">
        <f t="shared" si="25"/>
        <v>2.2538894479999998E-2</v>
      </c>
      <c r="H54" s="1187"/>
      <c r="I54" s="1186">
        <f t="shared" si="26"/>
        <v>2.787063569146019</v>
      </c>
      <c r="J54" s="1188"/>
      <c r="K54" s="1"/>
      <c r="L54" s="1"/>
      <c r="M54" s="1"/>
      <c r="N54" s="1"/>
      <c r="O54" s="1"/>
      <c r="P54" s="1"/>
      <c r="Q54" s="1"/>
      <c r="R54" s="1"/>
      <c r="S54" s="1"/>
      <c r="T54" s="1"/>
      <c r="U54" s="1"/>
      <c r="V54" s="1"/>
      <c r="W54" s="1"/>
      <c r="X54" s="1"/>
      <c r="Y54" s="1"/>
      <c r="Z54" s="1"/>
      <c r="AA54" s="1"/>
      <c r="AB54" s="1"/>
      <c r="AC54" s="1"/>
      <c r="AD54" s="1"/>
      <c r="AE54" s="1"/>
      <c r="AF54" s="1"/>
      <c r="AG54" s="1"/>
      <c r="AH54" s="1"/>
    </row>
    <row r="55" spans="1:34" ht="15.75" customHeight="1">
      <c r="A55" s="1"/>
      <c r="B55" s="1189" t="s">
        <v>1174</v>
      </c>
      <c r="C55" s="1185">
        <f t="shared" si="23"/>
        <v>0.16547344479848894</v>
      </c>
      <c r="D55" s="1186"/>
      <c r="E55" s="1186">
        <f t="shared" si="24"/>
        <v>3.6388196073600001E-4</v>
      </c>
      <c r="F55" s="1185"/>
      <c r="G55" s="1186">
        <f t="shared" si="25"/>
        <v>1.1020425096576001E-3</v>
      </c>
      <c r="H55" s="1187"/>
      <c r="I55" s="1186">
        <f t="shared" si="26"/>
        <v>0.16693936926888253</v>
      </c>
      <c r="J55" s="1188"/>
      <c r="K55" s="1"/>
      <c r="L55" s="1"/>
      <c r="M55" s="1"/>
      <c r="N55" s="1"/>
      <c r="O55" s="1"/>
      <c r="P55" s="1"/>
      <c r="Q55" s="1"/>
      <c r="R55" s="1"/>
      <c r="S55" s="1"/>
      <c r="T55" s="1"/>
      <c r="U55" s="1"/>
      <c r="V55" s="1"/>
      <c r="W55" s="1"/>
      <c r="X55" s="1"/>
      <c r="Y55" s="1"/>
      <c r="Z55" s="1"/>
      <c r="AA55" s="1"/>
      <c r="AB55" s="1"/>
      <c r="AC55" s="1"/>
      <c r="AD55" s="1"/>
      <c r="AE55" s="1"/>
      <c r="AF55" s="1"/>
      <c r="AG55" s="1"/>
      <c r="AH55" s="1"/>
    </row>
    <row r="56" spans="1:34" ht="15.75" customHeight="1">
      <c r="A56" s="1"/>
      <c r="B56" s="1184" t="s">
        <v>1157</v>
      </c>
      <c r="C56" s="1185">
        <f t="shared" ref="C56:C57" si="27">O34</f>
        <v>3.6416374411270831E-2</v>
      </c>
      <c r="D56" s="1186"/>
      <c r="E56" s="1186">
        <f t="shared" ref="E56:E57" si="28">AE34</f>
        <v>8.0080896000000003E-5</v>
      </c>
      <c r="F56" s="1185"/>
      <c r="G56" s="1186">
        <f t="shared" ref="G56:G57" si="29">X34</f>
        <v>2.425307136E-4</v>
      </c>
      <c r="H56" s="1187"/>
      <c r="I56" s="1186"/>
      <c r="J56" s="1188"/>
      <c r="K56" s="1"/>
      <c r="L56" s="1"/>
      <c r="M56" s="1"/>
      <c r="N56" s="1"/>
      <c r="O56" s="1"/>
      <c r="P56" s="1"/>
      <c r="Q56" s="1"/>
      <c r="R56" s="1"/>
      <c r="S56" s="1"/>
      <c r="T56" s="1"/>
      <c r="U56" s="1"/>
      <c r="V56" s="1"/>
      <c r="W56" s="1"/>
      <c r="X56" s="1"/>
      <c r="Y56" s="1"/>
      <c r="Z56" s="1"/>
      <c r="AA56" s="1"/>
      <c r="AB56" s="1"/>
      <c r="AC56" s="1"/>
      <c r="AD56" s="1"/>
      <c r="AE56" s="1"/>
      <c r="AF56" s="1"/>
      <c r="AG56" s="1"/>
      <c r="AH56" s="1"/>
    </row>
    <row r="57" spans="1:34" ht="15.75" customHeight="1">
      <c r="A57" s="1"/>
      <c r="B57" s="1189" t="s">
        <v>1158</v>
      </c>
      <c r="C57" s="1185">
        <f t="shared" si="27"/>
        <v>2.7258332293499998E-2</v>
      </c>
      <c r="D57" s="1186"/>
      <c r="E57" s="1186">
        <f t="shared" si="28"/>
        <v>5.6084027999999997E-5</v>
      </c>
      <c r="F57" s="1185"/>
      <c r="G57" s="1186">
        <f t="shared" si="29"/>
        <v>1.8462443999999999E-4</v>
      </c>
      <c r="H57" s="1187"/>
      <c r="I57" s="1186">
        <f>SUM(C57:H57)</f>
        <v>2.7499040761499997E-2</v>
      </c>
      <c r="J57" s="1188"/>
      <c r="K57" s="1"/>
      <c r="L57" s="1"/>
      <c r="M57" s="1190"/>
      <c r="N57" s="1"/>
      <c r="O57" s="1"/>
      <c r="P57" s="1"/>
      <c r="Q57" s="1"/>
      <c r="R57" s="1"/>
      <c r="S57" s="1"/>
      <c r="T57" s="1"/>
      <c r="U57" s="1"/>
      <c r="V57" s="1"/>
      <c r="W57" s="1"/>
      <c r="X57" s="1"/>
      <c r="Y57" s="1"/>
      <c r="Z57" s="1"/>
      <c r="AA57" s="1"/>
      <c r="AB57" s="1"/>
      <c r="AC57" s="1"/>
      <c r="AD57" s="1"/>
      <c r="AE57" s="1"/>
      <c r="AF57" s="1"/>
      <c r="AG57" s="1"/>
      <c r="AH57" s="1"/>
    </row>
    <row r="58" spans="1:34" ht="15.75" customHeight="1">
      <c r="A58" s="1"/>
      <c r="B58" s="1191" t="s">
        <v>1163</v>
      </c>
      <c r="C58" s="1185">
        <f>S45</f>
        <v>0.14835492443240436</v>
      </c>
      <c r="D58" s="1186"/>
      <c r="E58" s="1186">
        <v>0</v>
      </c>
      <c r="F58" s="1185"/>
      <c r="G58" s="1186">
        <v>0</v>
      </c>
      <c r="H58" s="1187"/>
      <c r="I58" s="1186">
        <v>0</v>
      </c>
      <c r="J58" s="1188"/>
      <c r="K58" s="1"/>
      <c r="L58" s="1"/>
      <c r="M58" s="1"/>
      <c r="N58" s="1"/>
      <c r="O58" s="1"/>
      <c r="P58" s="1"/>
      <c r="Q58" s="1"/>
      <c r="R58" s="1"/>
      <c r="S58" s="1"/>
      <c r="T58" s="1"/>
      <c r="U58" s="1"/>
      <c r="V58" s="1"/>
      <c r="W58" s="1"/>
      <c r="X58" s="1"/>
      <c r="Y58" s="1"/>
      <c r="Z58" s="1"/>
      <c r="AA58" s="1"/>
      <c r="AB58" s="1"/>
      <c r="AC58" s="1"/>
      <c r="AD58" s="1"/>
      <c r="AE58" s="1"/>
      <c r="AF58" s="1"/>
      <c r="AG58" s="1"/>
      <c r="AH58" s="1"/>
    </row>
    <row r="59" spans="1:34" ht="15.75" customHeight="1">
      <c r="A59" s="1"/>
      <c r="B59" s="1192"/>
      <c r="C59" s="1"/>
      <c r="D59" s="1192"/>
      <c r="E59" s="1192"/>
      <c r="F59" s="1"/>
      <c r="G59" s="1192"/>
      <c r="H59" s="1"/>
      <c r="I59" s="1192"/>
      <c r="J59" s="1188"/>
      <c r="K59" s="1"/>
      <c r="L59" s="1"/>
      <c r="M59" s="1"/>
      <c r="N59" s="1"/>
      <c r="O59" s="1"/>
      <c r="P59" s="1"/>
      <c r="Q59" s="1"/>
      <c r="R59" s="1"/>
      <c r="S59" s="1"/>
      <c r="T59" s="1"/>
      <c r="U59" s="1"/>
      <c r="V59" s="1"/>
      <c r="W59" s="1"/>
      <c r="X59" s="1"/>
      <c r="Y59" s="1"/>
      <c r="Z59" s="1"/>
      <c r="AA59" s="1"/>
      <c r="AB59" s="1"/>
      <c r="AC59" s="1"/>
      <c r="AD59" s="1"/>
      <c r="AE59" s="1"/>
      <c r="AF59" s="1"/>
      <c r="AG59" s="1"/>
      <c r="AH59" s="1"/>
    </row>
    <row r="60" spans="1:34" ht="15.75" customHeight="1">
      <c r="A60" s="1"/>
      <c r="B60" s="1193" t="s">
        <v>88</v>
      </c>
      <c r="C60" s="1194">
        <f>SUM(C53:C58)</f>
        <v>3.1535068625124301</v>
      </c>
      <c r="D60" s="1195"/>
      <c r="E60" s="1196">
        <f>SUM(E53:E58)</f>
        <v>2.8944051548160004E-3</v>
      </c>
      <c r="F60" s="1197"/>
      <c r="G60" s="1198">
        <f>SUM(G53:G58)</f>
        <v>2.4114335364057597E-2</v>
      </c>
      <c r="H60" s="1199"/>
      <c r="I60" s="1200">
        <f>SUM(I53:I58)</f>
        <v>2.9954216925780286</v>
      </c>
      <c r="J60" s="1201"/>
      <c r="K60" s="1"/>
      <c r="L60" s="1"/>
      <c r="M60" s="1"/>
      <c r="N60" s="1"/>
      <c r="O60" s="1"/>
      <c r="P60" s="1"/>
      <c r="Q60" s="1"/>
      <c r="R60" s="1"/>
      <c r="S60" s="1"/>
      <c r="T60" s="1"/>
      <c r="U60" s="1"/>
      <c r="V60" s="1"/>
      <c r="W60" s="1"/>
      <c r="X60" s="1"/>
      <c r="Y60" s="1"/>
      <c r="Z60" s="1"/>
      <c r="AA60" s="1"/>
      <c r="AB60" s="1"/>
      <c r="AC60" s="1"/>
      <c r="AD60" s="1"/>
      <c r="AE60" s="1"/>
      <c r="AF60" s="1"/>
      <c r="AG60" s="1"/>
      <c r="AH60" s="1"/>
    </row>
    <row r="61" spans="1:34"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row>
    <row r="62" spans="1:34"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row>
    <row r="63" spans="1:34"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row>
    <row r="64" spans="1:3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row>
    <row r="65" spans="1:34"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row>
    <row r="66" spans="1:34"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row>
    <row r="67" spans="1:34"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row>
    <row r="68" spans="1:34"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row>
    <row r="69" spans="1:34"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row>
    <row r="70" spans="1:34"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row>
    <row r="71" spans="1:34"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row>
    <row r="72" spans="1:34"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row>
    <row r="73" spans="1:34"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row>
    <row r="74" spans="1:3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row>
    <row r="75" spans="1:34"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row>
    <row r="76" spans="1:34"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row>
    <row r="77" spans="1:34"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row>
    <row r="78" spans="1:34"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row>
    <row r="79" spans="1:34"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row>
    <row r="80" spans="1:34"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row>
    <row r="81" spans="1:34"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row>
    <row r="82" spans="1:34"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row>
    <row r="83" spans="1:34"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row>
    <row r="84" spans="1:3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row>
    <row r="85" spans="1:34"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row>
    <row r="86" spans="1:34"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row>
    <row r="87" spans="1:34"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row>
    <row r="88" spans="1:34"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row>
    <row r="89" spans="1:34"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row>
    <row r="90" spans="1:34"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row>
    <row r="91" spans="1:34"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row>
    <row r="92" spans="1:34"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row>
    <row r="93" spans="1:34"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row>
    <row r="94" spans="1:3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row>
    <row r="95" spans="1:34"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row>
    <row r="96" spans="1:34"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row>
    <row r="97" spans="1:34"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row>
    <row r="98" spans="1:34"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row>
    <row r="99" spans="1:34"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row>
    <row r="100" spans="1:34"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row>
    <row r="101" spans="1:34"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row>
    <row r="102" spans="1:34"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row>
    <row r="103" spans="1:34"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row>
    <row r="104" spans="1:3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row>
    <row r="105" spans="1:34"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row>
    <row r="106" spans="1:34"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row>
    <row r="107" spans="1:34"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row>
    <row r="108" spans="1:34"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row>
    <row r="109" spans="1:34"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row>
    <row r="110" spans="1:34"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row>
    <row r="111" spans="1:34"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row>
    <row r="112" spans="1:34"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row>
    <row r="113" spans="1:34"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row>
    <row r="114" spans="1:3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row>
    <row r="115" spans="1:34"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row>
    <row r="116" spans="1:34"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row>
    <row r="117" spans="1:34"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row>
    <row r="118" spans="1:34"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row>
    <row r="119" spans="1:34"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row>
    <row r="120" spans="1:34"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row>
    <row r="121" spans="1:34"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row>
    <row r="122" spans="1:34"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row>
    <row r="123" spans="1:34"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row>
    <row r="124" spans="1:3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row>
    <row r="125" spans="1:34"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row>
    <row r="126" spans="1:34"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row>
    <row r="127" spans="1:34"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row>
    <row r="128" spans="1:34"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row>
    <row r="129" spans="1:34"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row>
    <row r="130" spans="1:34"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row>
    <row r="131" spans="1:34"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row>
    <row r="132" spans="1:34"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row>
    <row r="133" spans="1:34"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row>
    <row r="134" spans="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row>
    <row r="135" spans="1:34"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row>
    <row r="136" spans="1:34"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row>
    <row r="137" spans="1:34"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row>
    <row r="138" spans="1:34"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row>
    <row r="139" spans="1:34"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row>
    <row r="140" spans="1:34"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row>
    <row r="141" spans="1:34"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row>
    <row r="142" spans="1:34"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row>
    <row r="143" spans="1:34"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row>
    <row r="144" spans="1:3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row>
    <row r="145" spans="1:34"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row>
    <row r="146" spans="1:34"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row>
    <row r="147" spans="1:34"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row>
    <row r="148" spans="1:34"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row>
    <row r="149" spans="1:34"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row>
    <row r="150" spans="1:34"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row>
    <row r="151" spans="1:34"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row>
    <row r="152" spans="1:34"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row>
    <row r="153" spans="1:34"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row>
    <row r="154" spans="1:3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row>
    <row r="155" spans="1:34"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row>
    <row r="156" spans="1:34"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row>
    <row r="157" spans="1:34"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row>
    <row r="158" spans="1:34"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row>
    <row r="159" spans="1:34"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row>
    <row r="160" spans="1:34"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row>
    <row r="161" spans="1:34"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row>
    <row r="162" spans="1:34"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row>
    <row r="163" spans="1:34"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row>
    <row r="164" spans="1:3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row>
    <row r="165" spans="1:34"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row>
    <row r="166" spans="1:34"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row>
    <row r="167" spans="1:34"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row>
    <row r="168" spans="1:34"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row>
    <row r="169" spans="1:34"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row>
    <row r="170" spans="1:34"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row>
    <row r="171" spans="1:34"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row>
    <row r="172" spans="1:34"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row>
    <row r="173" spans="1:34"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row>
    <row r="174" spans="1:3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row>
    <row r="175" spans="1:34"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row>
    <row r="176" spans="1:34"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row>
    <row r="177" spans="1:34"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row>
    <row r="178" spans="1:34"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row>
    <row r="179" spans="1:34"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row>
    <row r="180" spans="1:34"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row>
    <row r="181" spans="1:34"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row>
    <row r="182" spans="1:34"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row>
    <row r="183" spans="1:34"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row>
    <row r="184" spans="1:3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row>
    <row r="185" spans="1:34"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row>
    <row r="186" spans="1:34"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row>
    <row r="187" spans="1:34"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row>
    <row r="188" spans="1:34"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row>
    <row r="189" spans="1:34"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row>
    <row r="190" spans="1:34"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row>
    <row r="191" spans="1:34"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row>
    <row r="192" spans="1:34"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row>
    <row r="193" spans="1:34"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row>
    <row r="194" spans="1:3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row>
    <row r="195" spans="1:34"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row>
    <row r="196" spans="1:34"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row>
    <row r="197" spans="1:34"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row>
    <row r="198" spans="1:34"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row>
    <row r="199" spans="1:34"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row>
    <row r="200" spans="1:34"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row>
    <row r="201" spans="1:34"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row>
    <row r="202" spans="1:34"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row>
    <row r="203" spans="1:34"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row>
    <row r="204" spans="1:3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row>
    <row r="205" spans="1:34"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row>
    <row r="206" spans="1:34"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row>
    <row r="207" spans="1:34"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row>
    <row r="208" spans="1:34"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row>
    <row r="209" spans="1:34"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row>
    <row r="210" spans="1:34"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row>
    <row r="211" spans="1:34"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row>
    <row r="212" spans="1:34"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row>
    <row r="213" spans="1:34"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row>
    <row r="214" spans="1:3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row>
    <row r="215" spans="1:34"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row>
    <row r="216" spans="1:34"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row>
    <row r="217" spans="1:34"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row>
    <row r="218" spans="1:34"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row>
    <row r="219" spans="1:34"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row>
    <row r="220" spans="1:34"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row>
    <row r="221" spans="1:34"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row>
    <row r="222" spans="1:34"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row>
    <row r="223" spans="1:34"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row>
    <row r="224" spans="1:3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row>
    <row r="225" spans="1:34"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row>
    <row r="226" spans="1:34"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row>
    <row r="227" spans="1:34"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row>
    <row r="228" spans="1:34"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row>
    <row r="229" spans="1:34"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row>
    <row r="230" spans="1:34"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row>
    <row r="231" spans="1:34"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row>
    <row r="232" spans="1:34"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row>
    <row r="233" spans="1:34"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row>
    <row r="234" spans="1: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row>
    <row r="235" spans="1:34"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row>
    <row r="236" spans="1:34"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row>
    <row r="237" spans="1:34"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row>
    <row r="238" spans="1:34"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row>
    <row r="239" spans="1:34"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row>
    <row r="240" spans="1:34"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row>
    <row r="241" spans="1:34"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row>
    <row r="242" spans="1:34"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row>
    <row r="243" spans="1:34"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row>
    <row r="244" spans="1:3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row>
    <row r="245" spans="1:34"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row>
    <row r="246" spans="1:34"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row>
    <row r="247" spans="1:34"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row>
    <row r="248" spans="1:34"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row>
    <row r="249" spans="1:34"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row>
    <row r="250" spans="1:34"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row>
    <row r="251" spans="1:34"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row>
    <row r="252" spans="1:34"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row>
    <row r="253" spans="1:34"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row>
    <row r="254" spans="1:3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row>
    <row r="255" spans="1:34"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row>
    <row r="256" spans="1:34"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row>
    <row r="257" spans="1:34"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row>
    <row r="258" spans="1:34"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row>
    <row r="259" spans="1:34"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row>
    <row r="260" spans="1:34"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row>
    <row r="261" spans="1:34" ht="15.75" customHeight="1"/>
    <row r="262" spans="1:34" ht="15.75" customHeight="1"/>
    <row r="263" spans="1:34" ht="15.75" customHeight="1"/>
    <row r="264" spans="1:34" ht="15.75" customHeight="1"/>
    <row r="265" spans="1:34" ht="15.75" customHeight="1"/>
    <row r="266" spans="1:34" ht="15.75" customHeight="1"/>
    <row r="267" spans="1:34" ht="15.75" customHeight="1"/>
    <row r="268" spans="1:34" ht="15.75" customHeight="1"/>
    <row r="269" spans="1:34" ht="15.75" customHeight="1"/>
    <row r="270" spans="1:34" ht="15.75" customHeight="1"/>
    <row r="271" spans="1:34" ht="15.75" customHeight="1"/>
    <row r="272" spans="1:34"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2:K2"/>
    <mergeCell ref="R6:S6"/>
    <mergeCell ref="D15:E15"/>
  </mergeCells>
  <printOptions gridLines="1"/>
  <pageMargins left="0.16" right="0.18" top="0.32" bottom="0.26" header="0" footer="0"/>
  <pageSetup paperSize="5" orientation="landscape"/>
  <colBreaks count="1" manualBreakCount="1">
    <brk id="32" man="1"/>
  </colBreaks>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1000"/>
  <sheetViews>
    <sheetView workbookViewId="0"/>
  </sheetViews>
  <sheetFormatPr defaultColWidth="16.85546875" defaultRowHeight="15" customHeight="1"/>
  <cols>
    <col min="1" max="1" width="3.7109375" customWidth="1"/>
    <col min="2" max="2" width="30.28515625" customWidth="1"/>
    <col min="3" max="3" width="17.140625" customWidth="1"/>
    <col min="4" max="4" width="21.7109375" customWidth="1"/>
    <col min="5" max="5" width="18.140625" customWidth="1"/>
    <col min="6" max="6" width="17.85546875" customWidth="1"/>
    <col min="7" max="7" width="18.85546875" customWidth="1"/>
    <col min="8" max="9" width="18" customWidth="1"/>
    <col min="10" max="10" width="20.7109375" customWidth="1"/>
    <col min="11" max="11" width="20.140625" customWidth="1"/>
    <col min="12" max="12" width="8.85546875" customWidth="1"/>
  </cols>
  <sheetData>
    <row r="1" spans="1:12" ht="32.4">
      <c r="A1" s="134" t="s">
        <v>1635</v>
      </c>
      <c r="B1" s="135"/>
      <c r="E1" s="137"/>
      <c r="G1" s="1"/>
      <c r="H1" s="1"/>
    </row>
    <row r="2" spans="1:12" ht="170.25" customHeight="1">
      <c r="A2" s="134"/>
    </row>
    <row r="3" spans="1:12" ht="13.2">
      <c r="B3" s="1454"/>
      <c r="C3" s="286"/>
      <c r="D3" s="286"/>
      <c r="E3" s="1984"/>
      <c r="F3" s="286"/>
      <c r="G3" s="1984"/>
      <c r="H3" s="1985"/>
      <c r="I3" s="1986"/>
      <c r="J3" s="1987"/>
      <c r="K3" s="286"/>
    </row>
    <row r="4" spans="1:12" ht="19.8">
      <c r="B4" s="1988" t="s">
        <v>1636</v>
      </c>
      <c r="C4" s="1989"/>
      <c r="D4" s="1988">
        <v>2017</v>
      </c>
      <c r="E4" s="1990"/>
      <c r="F4" s="1989"/>
      <c r="G4" s="1984"/>
      <c r="H4" s="286"/>
      <c r="I4" s="286"/>
      <c r="J4" s="286"/>
      <c r="K4" s="286"/>
      <c r="L4" s="1"/>
    </row>
    <row r="5" spans="1:12" ht="12">
      <c r="B5" s="286"/>
      <c r="C5" s="286"/>
      <c r="D5" s="286"/>
      <c r="E5" s="1984"/>
      <c r="F5" s="286"/>
      <c r="G5" s="1984"/>
      <c r="H5" s="286"/>
      <c r="I5" s="286"/>
      <c r="J5" s="286"/>
      <c r="K5" s="286"/>
    </row>
    <row r="6" spans="1:12" ht="13.2">
      <c r="B6" s="1397"/>
      <c r="C6" s="1991" t="s">
        <v>1637</v>
      </c>
      <c r="D6" s="1991" t="s">
        <v>1124</v>
      </c>
      <c r="E6" s="1991" t="s">
        <v>1638</v>
      </c>
      <c r="F6" s="1992" t="s">
        <v>1639</v>
      </c>
      <c r="G6" s="1984"/>
      <c r="I6" s="1984"/>
      <c r="K6" s="2858" t="s">
        <v>0</v>
      </c>
      <c r="L6" s="2859"/>
    </row>
    <row r="7" spans="1:12" ht="24">
      <c r="B7" s="1993"/>
      <c r="C7" s="1994"/>
      <c r="D7" s="1995" t="s">
        <v>1640</v>
      </c>
      <c r="E7" s="1994"/>
      <c r="F7" s="1996"/>
      <c r="G7" s="1984"/>
      <c r="I7" s="1984"/>
      <c r="K7" s="240"/>
      <c r="L7" s="241"/>
    </row>
    <row r="8" spans="1:12" ht="12">
      <c r="B8" s="1997" t="s">
        <v>1641</v>
      </c>
      <c r="C8" s="1998">
        <v>5</v>
      </c>
      <c r="D8" s="1999">
        <v>4.1021717966689701</v>
      </c>
      <c r="E8" s="2000">
        <f>C8*D8</f>
        <v>20.51085898334485</v>
      </c>
      <c r="F8" s="2001">
        <f>E8*$L$9/1000000</f>
        <v>5.743040515336558E-4</v>
      </c>
      <c r="G8" s="1984"/>
      <c r="I8" s="1986"/>
      <c r="K8" s="240" t="s">
        <v>528</v>
      </c>
      <c r="L8" s="247">
        <f>Summary!$E4</f>
        <v>1</v>
      </c>
    </row>
    <row r="9" spans="1:12" ht="24">
      <c r="B9" s="2002" t="s">
        <v>1642</v>
      </c>
      <c r="C9" s="2003">
        <v>0</v>
      </c>
      <c r="D9" s="2004">
        <v>13.055796863999998</v>
      </c>
      <c r="E9" s="2005">
        <v>0</v>
      </c>
      <c r="F9" s="2006">
        <f>E9*21/1000000</f>
        <v>0</v>
      </c>
      <c r="G9" s="1984"/>
      <c r="I9" s="1986"/>
      <c r="K9" s="240" t="s">
        <v>530</v>
      </c>
      <c r="L9" s="247">
        <f>Summary!$E5</f>
        <v>28</v>
      </c>
    </row>
    <row r="10" spans="1:12" ht="13.2">
      <c r="B10" s="2007" t="s">
        <v>1643</v>
      </c>
      <c r="C10" s="2008"/>
      <c r="D10" s="2009"/>
      <c r="E10" s="2010">
        <v>21.095017507998922</v>
      </c>
      <c r="F10" s="2011">
        <f>F8+F9</f>
        <v>5.743040515336558E-4</v>
      </c>
      <c r="G10" s="1984"/>
      <c r="I10" s="1986"/>
      <c r="K10" s="240" t="s">
        <v>532</v>
      </c>
      <c r="L10" s="247">
        <f>Summary!$E6</f>
        <v>265</v>
      </c>
    </row>
    <row r="11" spans="1:12" ht="10.199999999999999">
      <c r="B11" s="425"/>
      <c r="C11" s="1227"/>
      <c r="D11" s="1227"/>
      <c r="E11" s="1227"/>
      <c r="F11" s="1689"/>
      <c r="K11" s="240" t="s">
        <v>533</v>
      </c>
      <c r="L11" s="247">
        <f>Summary!$E7</f>
        <v>23500</v>
      </c>
    </row>
    <row r="12" spans="1:12" ht="10.199999999999999">
      <c r="B12" s="1"/>
      <c r="C12" s="1"/>
      <c r="D12" s="1"/>
      <c r="E12" s="1"/>
      <c r="F12" s="1"/>
      <c r="K12" s="259"/>
      <c r="L12" s="247"/>
    </row>
    <row r="13" spans="1:12" ht="10.199999999999999">
      <c r="B13" s="1" t="s">
        <v>1644</v>
      </c>
      <c r="C13" s="1452" t="s">
        <v>1645</v>
      </c>
      <c r="D13" s="1"/>
      <c r="E13" s="1"/>
      <c r="F13" s="1"/>
    </row>
    <row r="14" spans="1:12" ht="10.8">
      <c r="B14" s="2884" t="s">
        <v>1646</v>
      </c>
      <c r="C14" s="2863"/>
      <c r="D14" s="2863"/>
      <c r="E14" s="2863"/>
      <c r="F14" s="2863"/>
      <c r="G14" s="2863"/>
      <c r="H14" s="2863"/>
      <c r="I14" s="2863"/>
    </row>
    <row r="15" spans="1:12" ht="10.199999999999999">
      <c r="B15" s="1"/>
      <c r="C15" s="1"/>
      <c r="D15" s="1"/>
      <c r="E15" s="1"/>
      <c r="F15" s="1"/>
    </row>
    <row r="16" spans="1:12" ht="10.199999999999999">
      <c r="B16" s="1"/>
      <c r="C16" s="1"/>
      <c r="D16" s="1"/>
      <c r="E16" s="1"/>
      <c r="F16" s="1"/>
    </row>
    <row r="19" spans="2:7" ht="19.8">
      <c r="B19" s="2012" t="s">
        <v>1647</v>
      </c>
      <c r="C19" s="2012"/>
      <c r="D19" s="2013"/>
      <c r="E19" s="2013"/>
      <c r="F19" s="2013"/>
    </row>
    <row r="20" spans="2:7" ht="10.199999999999999">
      <c r="C20" s="2884"/>
      <c r="D20" s="2863"/>
      <c r="E20" s="2863"/>
      <c r="F20" s="2863"/>
    </row>
    <row r="21" spans="2:7" ht="15.75" customHeight="1">
      <c r="B21" s="2014"/>
      <c r="C21" s="2015" t="s">
        <v>1637</v>
      </c>
      <c r="D21" s="2015" t="s">
        <v>1124</v>
      </c>
      <c r="E21" s="2015" t="s">
        <v>1648</v>
      </c>
      <c r="F21" s="2016" t="s">
        <v>1649</v>
      </c>
      <c r="G21" s="298"/>
    </row>
    <row r="22" spans="2:7" ht="15.75" customHeight="1">
      <c r="B22" s="2017" t="s">
        <v>1650</v>
      </c>
      <c r="C22" s="2018"/>
      <c r="D22" s="2019" t="s">
        <v>1651</v>
      </c>
      <c r="E22" s="2020"/>
      <c r="F22" s="2021"/>
      <c r="G22" s="2022"/>
    </row>
    <row r="23" spans="2:7" ht="15.75" customHeight="1">
      <c r="B23" s="2023"/>
      <c r="C23" s="2024"/>
      <c r="D23" s="2024"/>
      <c r="E23" s="2025"/>
      <c r="F23" s="2026"/>
      <c r="G23" s="2027"/>
    </row>
    <row r="24" spans="2:7" ht="15.75" customHeight="1">
      <c r="B24" s="2028" t="s">
        <v>1652</v>
      </c>
      <c r="C24" s="2029">
        <v>1222</v>
      </c>
      <c r="D24" s="2004">
        <v>5.8037235656204409</v>
      </c>
      <c r="E24" s="2030">
        <f t="shared" ref="E24:E27" si="0">C24*D24</f>
        <v>7092.1501971881789</v>
      </c>
      <c r="F24" s="2031">
        <f t="shared" ref="F24:F27" si="1">E24*$L$9/1000000</f>
        <v>0.19858020552126901</v>
      </c>
      <c r="G24" s="2032"/>
    </row>
    <row r="25" spans="2:7" ht="15.75" customHeight="1">
      <c r="B25" s="2028" t="s">
        <v>1653</v>
      </c>
      <c r="C25" s="2029">
        <v>208.5</v>
      </c>
      <c r="D25" s="2004">
        <v>2.1221753994811778</v>
      </c>
      <c r="E25" s="2029">
        <f t="shared" si="0"/>
        <v>442.47357079182558</v>
      </c>
      <c r="F25" s="2031">
        <f t="shared" si="1"/>
        <v>1.2389259982171115E-2</v>
      </c>
      <c r="G25" s="2032"/>
    </row>
    <row r="26" spans="2:7" ht="15.75" customHeight="1">
      <c r="B26" s="2028" t="s">
        <v>1654</v>
      </c>
      <c r="C26" s="2029">
        <v>5310.3</v>
      </c>
      <c r="D26" s="2004">
        <v>6.0046884276387047E-2</v>
      </c>
      <c r="E26" s="2029">
        <f t="shared" si="0"/>
        <v>318.86696957289814</v>
      </c>
      <c r="F26" s="2031">
        <f t="shared" si="1"/>
        <v>8.9282751480411482E-3</v>
      </c>
      <c r="G26" s="2032"/>
    </row>
    <row r="27" spans="2:7" ht="15.75" customHeight="1">
      <c r="B27" s="2028" t="s">
        <v>1655</v>
      </c>
      <c r="C27" s="2029">
        <v>8243.1</v>
      </c>
      <c r="D27" s="2004">
        <v>0.37164760100393374</v>
      </c>
      <c r="E27" s="2029">
        <f t="shared" si="0"/>
        <v>3063.5283398355264</v>
      </c>
      <c r="F27" s="2031">
        <f t="shared" si="1"/>
        <v>8.5778793515394733E-2</v>
      </c>
      <c r="G27" s="2032"/>
    </row>
    <row r="28" spans="2:7" ht="15.75" customHeight="1">
      <c r="B28" s="1217"/>
      <c r="C28" s="2029"/>
      <c r="D28" s="2004"/>
      <c r="E28" s="2029"/>
      <c r="F28" s="2031"/>
      <c r="G28" s="2032"/>
    </row>
    <row r="29" spans="2:7" ht="15.75" customHeight="1">
      <c r="B29" s="2023" t="s">
        <v>1656</v>
      </c>
      <c r="C29" s="2029"/>
      <c r="D29" s="2004"/>
      <c r="E29" s="2029"/>
      <c r="F29" s="2031"/>
      <c r="G29" s="2032"/>
    </row>
    <row r="30" spans="2:7" ht="15.75" customHeight="1">
      <c r="B30" s="2028" t="s">
        <v>1657</v>
      </c>
      <c r="C30" s="2029">
        <v>1043726</v>
      </c>
      <c r="D30" s="2004">
        <v>1.5267140136098032E-2</v>
      </c>
      <c r="E30" s="2029">
        <f t="shared" ref="E30:E32" si="2">C30*D30</f>
        <v>15934.711105689055</v>
      </c>
      <c r="F30" s="2033">
        <f t="shared" ref="F30:F32" si="3">E30*$L$9/1000000</f>
        <v>0.44617191095929354</v>
      </c>
      <c r="G30" s="2032"/>
    </row>
    <row r="31" spans="2:7" ht="15.75" customHeight="1">
      <c r="B31" s="2028" t="s">
        <v>1658</v>
      </c>
      <c r="C31" s="2029">
        <v>75380</v>
      </c>
      <c r="D31" s="2004">
        <v>3.2750300015441415E-2</v>
      </c>
      <c r="E31" s="2029">
        <f t="shared" si="2"/>
        <v>2468.7176151639737</v>
      </c>
      <c r="F31" s="2031">
        <f t="shared" si="3"/>
        <v>6.9124093224591274E-2</v>
      </c>
      <c r="G31" s="2032"/>
    </row>
    <row r="32" spans="2:7" ht="15.75" customHeight="1">
      <c r="B32" s="2028" t="s">
        <v>1659</v>
      </c>
      <c r="C32" s="2029">
        <v>126342</v>
      </c>
      <c r="D32" s="2004">
        <v>3.4007868318860182E-3</v>
      </c>
      <c r="E32" s="2029">
        <f t="shared" si="2"/>
        <v>429.66220991414332</v>
      </c>
      <c r="F32" s="2031">
        <f t="shared" si="3"/>
        <v>1.2030541877596014E-2</v>
      </c>
      <c r="G32" s="2032"/>
    </row>
    <row r="33" spans="2:10" ht="15.75" customHeight="1">
      <c r="B33" s="2034" t="s">
        <v>1643</v>
      </c>
      <c r="C33" s="2035"/>
      <c r="D33" s="2035"/>
      <c r="E33" s="2036">
        <f t="shared" ref="E33:F33" si="4">SUM(E24:E32)</f>
        <v>29750.110008155596</v>
      </c>
      <c r="F33" s="2037">
        <f t="shared" si="4"/>
        <v>0.83300308022835678</v>
      </c>
      <c r="G33" s="2038"/>
    </row>
    <row r="34" spans="2:10" ht="15.75" customHeight="1"/>
    <row r="35" spans="2:10" ht="15.75" customHeight="1">
      <c r="B35" s="2884" t="s">
        <v>1660</v>
      </c>
      <c r="C35" s="2863"/>
      <c r="D35" s="2863"/>
      <c r="E35" s="2863"/>
      <c r="F35" s="2863"/>
      <c r="G35" s="2863"/>
      <c r="H35" s="2863"/>
      <c r="I35" s="2863"/>
    </row>
    <row r="36" spans="2:10" ht="15.75" customHeight="1">
      <c r="B36" s="1452" t="s">
        <v>1661</v>
      </c>
      <c r="C36" s="1691"/>
      <c r="D36" s="1691"/>
      <c r="E36" s="1691"/>
      <c r="F36" s="1691"/>
      <c r="G36" s="1691"/>
      <c r="H36" s="1691"/>
      <c r="I36" s="1691"/>
    </row>
    <row r="37" spans="2:10" ht="15.75" customHeight="1">
      <c r="B37" s="2884" t="s">
        <v>1662</v>
      </c>
      <c r="C37" s="2863"/>
      <c r="D37" s="2863"/>
      <c r="E37" s="2863"/>
      <c r="F37" s="2863"/>
      <c r="G37" s="2863"/>
      <c r="H37" s="2863"/>
      <c r="I37" s="2863"/>
    </row>
    <row r="38" spans="2:10" ht="15.75" customHeight="1"/>
    <row r="39" spans="2:10" ht="15.75" customHeight="1"/>
    <row r="40" spans="2:10" ht="15.75" customHeight="1"/>
    <row r="41" spans="2:10" ht="15.75" customHeight="1"/>
    <row r="42" spans="2:10" ht="15.75" customHeight="1">
      <c r="B42" s="2039" t="s">
        <v>1663</v>
      </c>
      <c r="C42" s="2039"/>
      <c r="D42" s="2039"/>
      <c r="E42" s="2040"/>
      <c r="F42" s="2041"/>
      <c r="G42" s="1984"/>
      <c r="H42" s="286"/>
      <c r="I42" s="286"/>
      <c r="J42" s="286"/>
    </row>
    <row r="43" spans="2:10" ht="15.75" customHeight="1">
      <c r="B43" s="286"/>
      <c r="C43" s="286"/>
      <c r="D43" s="286"/>
      <c r="E43" s="1984"/>
      <c r="F43" s="286"/>
      <c r="G43" s="1984"/>
      <c r="H43" s="286"/>
      <c r="I43" s="286"/>
      <c r="J43" s="286"/>
    </row>
    <row r="44" spans="2:10" ht="15.75" customHeight="1">
      <c r="B44" s="1397"/>
      <c r="C44" s="1991" t="s">
        <v>1637</v>
      </c>
      <c r="D44" s="1991" t="s">
        <v>1124</v>
      </c>
      <c r="E44" s="1991" t="s">
        <v>1664</v>
      </c>
      <c r="F44" s="1992" t="s">
        <v>1665</v>
      </c>
      <c r="G44" s="1984"/>
      <c r="I44" s="1984"/>
    </row>
    <row r="45" spans="2:10" ht="15.75" customHeight="1">
      <c r="B45" s="2042"/>
      <c r="C45" s="2043"/>
      <c r="D45" s="2887" t="s">
        <v>1666</v>
      </c>
      <c r="E45" s="2043"/>
      <c r="F45" s="2044"/>
      <c r="G45" s="1984"/>
      <c r="I45" s="1984"/>
    </row>
    <row r="46" spans="2:10" ht="15.75" customHeight="1">
      <c r="B46" s="1993"/>
      <c r="C46" s="2045"/>
      <c r="D46" s="2888"/>
      <c r="E46" s="2045"/>
      <c r="F46" s="2046"/>
      <c r="G46" s="1984"/>
      <c r="I46" s="1986"/>
    </row>
    <row r="47" spans="2:10" ht="15.75" customHeight="1">
      <c r="B47" s="1997" t="s">
        <v>1667</v>
      </c>
      <c r="C47" s="1998">
        <v>995.46299999999997</v>
      </c>
      <c r="D47" s="2047">
        <v>0.61847932799999994</v>
      </c>
      <c r="E47" s="1998">
        <f t="shared" ref="E47:E49" si="5">C47*D47</f>
        <v>615.67328728886389</v>
      </c>
      <c r="F47" s="2001">
        <f t="shared" ref="F47:F49" si="6">E47*$L$9/1000000</f>
        <v>1.7238852044088187E-2</v>
      </c>
      <c r="G47" s="1984"/>
      <c r="I47" s="1986"/>
    </row>
    <row r="48" spans="2:10" ht="15.75" customHeight="1">
      <c r="B48" s="2002" t="s">
        <v>1668</v>
      </c>
      <c r="C48" s="2003">
        <f>C47*0.006</f>
        <v>5.9727779999999999</v>
      </c>
      <c r="D48" s="2048">
        <v>983.65967615375553</v>
      </c>
      <c r="E48" s="2003">
        <f t="shared" si="5"/>
        <v>5875.1808732182753</v>
      </c>
      <c r="F48" s="2006">
        <f t="shared" si="6"/>
        <v>0.1645050644501117</v>
      </c>
      <c r="G48" s="1984"/>
      <c r="I48" s="1986"/>
    </row>
    <row r="49" spans="2:9" ht="15.75" customHeight="1">
      <c r="B49" s="2002" t="s">
        <v>1669</v>
      </c>
      <c r="C49" s="2003">
        <f>C47*0.0015</f>
        <v>1.4931945</v>
      </c>
      <c r="D49" s="2048">
        <v>964.14925058889139</v>
      </c>
      <c r="E49" s="2003">
        <f t="shared" si="5"/>
        <v>1439.6623581584543</v>
      </c>
      <c r="F49" s="2006">
        <f t="shared" si="6"/>
        <v>4.0310546028436721E-2</v>
      </c>
      <c r="G49" s="1984"/>
      <c r="I49" s="1986"/>
    </row>
    <row r="50" spans="2:9" ht="15.75" customHeight="1">
      <c r="B50" s="2049" t="s">
        <v>1643</v>
      </c>
      <c r="C50" s="2050"/>
      <c r="D50" s="2050"/>
      <c r="E50" s="2051">
        <f>SUM(E46:E49)</f>
        <v>7930.516518665594</v>
      </c>
      <c r="F50" s="2052">
        <f>SUM(F47:F49)</f>
        <v>0.22205446252263661</v>
      </c>
      <c r="G50" s="1984"/>
      <c r="I50" s="2053"/>
    </row>
    <row r="51" spans="2:9" ht="15.75" customHeight="1">
      <c r="B51" s="425"/>
      <c r="C51" s="1227"/>
      <c r="D51" s="1227"/>
      <c r="E51" s="1227"/>
      <c r="F51" s="1689"/>
    </row>
    <row r="52" spans="2:9" ht="15.75" customHeight="1">
      <c r="B52" s="1"/>
      <c r="C52" s="1"/>
      <c r="D52" s="1"/>
      <c r="E52" s="1"/>
      <c r="F52" s="1"/>
    </row>
    <row r="53" spans="2:9" ht="15.75" customHeight="1">
      <c r="B53" s="2884" t="s">
        <v>1670</v>
      </c>
      <c r="C53" s="2863"/>
      <c r="D53" s="2863"/>
      <c r="E53" s="2863"/>
      <c r="F53" s="2863"/>
      <c r="G53" s="2863"/>
      <c r="H53" s="2863"/>
      <c r="I53" s="2863"/>
    </row>
    <row r="54" spans="2:9" ht="15.75" customHeight="1">
      <c r="B54" s="2884" t="s">
        <v>1671</v>
      </c>
      <c r="C54" s="2863"/>
      <c r="D54" s="2863"/>
      <c r="E54" s="2863"/>
      <c r="F54" s="2863"/>
      <c r="G54" s="2863"/>
      <c r="H54" s="2863"/>
      <c r="I54" s="2863"/>
    </row>
    <row r="55" spans="2:9" ht="15.75" customHeight="1">
      <c r="B55" s="2884" t="s">
        <v>1672</v>
      </c>
      <c r="C55" s="2863"/>
      <c r="D55" s="2863"/>
      <c r="E55" s="2863"/>
      <c r="F55" s="2863"/>
      <c r="G55" s="2863"/>
      <c r="H55" s="2863"/>
      <c r="I55" s="2863"/>
    </row>
    <row r="56" spans="2:9" ht="15.75" customHeight="1">
      <c r="B56" s="2884" t="s">
        <v>1673</v>
      </c>
      <c r="C56" s="2863"/>
      <c r="D56" s="2863"/>
      <c r="E56" s="2863"/>
      <c r="F56" s="2863"/>
      <c r="G56" s="2863"/>
      <c r="H56" s="2863"/>
      <c r="I56" s="2863"/>
    </row>
    <row r="57" spans="2:9" ht="15.75" customHeight="1">
      <c r="B57" s="2884" t="s">
        <v>1674</v>
      </c>
      <c r="C57" s="2863"/>
      <c r="D57" s="2863"/>
      <c r="E57" s="2863"/>
      <c r="F57" s="2863"/>
      <c r="G57" s="2863"/>
      <c r="H57" s="2863"/>
      <c r="I57" s="2863"/>
    </row>
    <row r="58" spans="2:9" ht="15.75" customHeight="1">
      <c r="B58" s="1"/>
      <c r="C58" s="1"/>
      <c r="D58" s="1"/>
      <c r="E58" s="1"/>
      <c r="F58" s="1"/>
    </row>
    <row r="59" spans="2:9" ht="15.75" customHeight="1">
      <c r="B59" s="1"/>
      <c r="C59" s="1"/>
      <c r="D59" s="1"/>
      <c r="E59" s="1"/>
      <c r="F59" s="1"/>
    </row>
    <row r="60" spans="2:9" ht="15.75" customHeight="1">
      <c r="B60" s="1"/>
      <c r="C60" s="1"/>
      <c r="D60" s="1"/>
      <c r="E60" s="1"/>
      <c r="F60" s="1"/>
    </row>
    <row r="61" spans="2:9" ht="15.75" customHeight="1">
      <c r="B61" s="1"/>
      <c r="C61" s="1"/>
      <c r="D61" s="1"/>
      <c r="E61" s="1"/>
      <c r="F61" s="1"/>
    </row>
    <row r="62" spans="2:9" ht="15.75" customHeight="1">
      <c r="B62" s="1"/>
      <c r="C62" s="1"/>
      <c r="D62" s="1"/>
      <c r="E62" s="1"/>
      <c r="F62" s="1"/>
    </row>
    <row r="63" spans="2:9" ht="15.75" customHeight="1"/>
    <row r="64" spans="2:9" ht="15.75" customHeight="1">
      <c r="B64" s="2012" t="s">
        <v>1675</v>
      </c>
      <c r="C64" s="2012"/>
      <c r="D64" s="2013"/>
      <c r="E64" s="2013"/>
      <c r="F64" s="2013"/>
    </row>
    <row r="65" spans="2:11" ht="15.75" customHeight="1"/>
    <row r="66" spans="2:11" ht="15.75" customHeight="1">
      <c r="B66" s="2054"/>
      <c r="C66" s="2055">
        <v>2017</v>
      </c>
      <c r="D66" s="2889" t="s">
        <v>1676</v>
      </c>
      <c r="E66" s="2868"/>
      <c r="F66" s="2869"/>
      <c r="G66" s="2056" t="s">
        <v>1677</v>
      </c>
      <c r="H66" s="2057" t="s">
        <v>1678</v>
      </c>
      <c r="I66" s="2058" t="s">
        <v>1679</v>
      </c>
      <c r="J66" s="2059" t="s">
        <v>1680</v>
      </c>
      <c r="K66" s="2057" t="s">
        <v>1681</v>
      </c>
    </row>
    <row r="67" spans="2:11" ht="15.75" customHeight="1">
      <c r="B67" s="2060" t="s">
        <v>1682</v>
      </c>
      <c r="C67" s="2061" t="s">
        <v>1683</v>
      </c>
      <c r="D67" s="2057" t="s">
        <v>1684</v>
      </c>
      <c r="E67" s="2057" t="s">
        <v>1685</v>
      </c>
      <c r="F67" s="2057" t="s">
        <v>1686</v>
      </c>
      <c r="G67" s="2062" t="s">
        <v>1127</v>
      </c>
      <c r="H67" s="2063" t="s">
        <v>1687</v>
      </c>
      <c r="I67" s="2064" t="s">
        <v>1688</v>
      </c>
      <c r="J67" s="2065" t="s">
        <v>1689</v>
      </c>
      <c r="K67" s="2061"/>
    </row>
    <row r="68" spans="2:11" ht="15.75" customHeight="1">
      <c r="B68" s="2066"/>
      <c r="C68" s="2067"/>
      <c r="D68" s="2067" t="s">
        <v>1690</v>
      </c>
      <c r="E68" s="2067" t="s">
        <v>1691</v>
      </c>
      <c r="F68" s="2067" t="s">
        <v>1691</v>
      </c>
      <c r="G68" s="2068"/>
      <c r="H68" s="2067"/>
      <c r="I68" s="2069"/>
      <c r="J68" s="2066"/>
      <c r="K68" s="2067"/>
    </row>
    <row r="69" spans="2:11" ht="15.75" customHeight="1">
      <c r="B69" s="2070" t="s">
        <v>1692</v>
      </c>
      <c r="C69" s="2071">
        <f>7968*1.047</f>
        <v>8342.4959999999992</v>
      </c>
      <c r="D69" s="2072">
        <v>31.87</v>
      </c>
      <c r="E69" s="2073">
        <v>9.4955026735800017E-5</v>
      </c>
      <c r="F69" s="2073">
        <v>9.4955026735800007E-4</v>
      </c>
      <c r="G69" s="2074">
        <v>1</v>
      </c>
      <c r="H69" s="2075">
        <f>C69*1000*D69*(44/12)*0.00045359237*0.90718/1000000</f>
        <v>0.40115176615733139</v>
      </c>
      <c r="I69" s="2076">
        <f>C69*E69*$L$10*0.000001</f>
        <v>2.0992291164167572E-4</v>
      </c>
      <c r="J69" s="2077">
        <f>C69*F69*$L$9*0.000001</f>
        <v>2.2180534060252526E-4</v>
      </c>
      <c r="K69" s="2078">
        <f>H69+I69+J69</f>
        <v>0.40158349440957558</v>
      </c>
    </row>
    <row r="70" spans="2:11" ht="15.75" customHeight="1"/>
    <row r="71" spans="2:11" ht="15.75" customHeight="1">
      <c r="B71" s="144" t="s">
        <v>1693</v>
      </c>
      <c r="C71" s="372">
        <f>C69*1000</f>
        <v>8342495.9999999991</v>
      </c>
    </row>
    <row r="72" spans="2:11" ht="15.75" customHeight="1"/>
    <row r="73" spans="2:11" ht="15.75" customHeight="1"/>
    <row r="74" spans="2:11" ht="15.75" customHeight="1">
      <c r="B74" s="1" t="s">
        <v>1694</v>
      </c>
      <c r="G74" s="1" t="s">
        <v>1695</v>
      </c>
      <c r="H74" s="1452"/>
    </row>
    <row r="75" spans="2:11" ht="15.75" customHeight="1"/>
    <row r="76" spans="2:11" ht="15.75" customHeight="1">
      <c r="B76" s="2884" t="s">
        <v>1696</v>
      </c>
      <c r="C76" s="2863"/>
      <c r="D76" s="2863"/>
      <c r="E76" s="2863"/>
      <c r="F76" s="2863"/>
      <c r="G76" s="2863"/>
      <c r="H76" s="2863"/>
      <c r="I76" s="2863"/>
    </row>
    <row r="77" spans="2:11" ht="15.75" customHeight="1">
      <c r="B77" s="1691"/>
      <c r="C77" s="1691"/>
      <c r="D77" s="1691"/>
      <c r="E77" s="1691"/>
      <c r="F77" s="1691"/>
      <c r="G77" s="1691"/>
      <c r="H77" s="1691"/>
      <c r="I77" s="1691"/>
    </row>
    <row r="78" spans="2:11" ht="15.75" customHeight="1">
      <c r="B78" s="1691"/>
      <c r="C78" s="1691"/>
      <c r="D78" s="1691"/>
      <c r="E78" s="1691"/>
      <c r="F78" s="1691"/>
      <c r="G78" s="1691"/>
      <c r="H78" s="1691"/>
      <c r="I78" s="1691"/>
    </row>
    <row r="79" spans="2:11" ht="15.75" customHeight="1"/>
    <row r="80" spans="2:11" ht="15.75" customHeight="1">
      <c r="B80" s="2885" t="s">
        <v>1697</v>
      </c>
      <c r="C80" s="2886"/>
    </row>
    <row r="81" spans="2:3" ht="15.75" customHeight="1">
      <c r="B81" s="2079"/>
      <c r="C81" s="2080">
        <v>2017</v>
      </c>
    </row>
    <row r="82" spans="2:3" ht="15.75" customHeight="1">
      <c r="B82" s="1232" t="s">
        <v>456</v>
      </c>
      <c r="C82" s="2081">
        <f>C83+C84+C85+C86</f>
        <v>1.4572153412121025</v>
      </c>
    </row>
    <row r="83" spans="2:3" ht="15.75" customHeight="1">
      <c r="B83" s="1505" t="s">
        <v>1698</v>
      </c>
      <c r="C83" s="1381">
        <f>F10</f>
        <v>5.743040515336558E-4</v>
      </c>
    </row>
    <row r="84" spans="2:3" ht="15.75" customHeight="1">
      <c r="B84" s="1505" t="s">
        <v>1699</v>
      </c>
      <c r="C84" s="1381">
        <f>F50</f>
        <v>0.22205446252263661</v>
      </c>
    </row>
    <row r="85" spans="2:3" ht="15.75" customHeight="1">
      <c r="B85" s="1505" t="s">
        <v>1700</v>
      </c>
      <c r="C85" s="1381">
        <f>F33</f>
        <v>0.83300308022835678</v>
      </c>
    </row>
    <row r="86" spans="2:3" ht="15.75" customHeight="1">
      <c r="B86" s="2082" t="s">
        <v>1701</v>
      </c>
      <c r="C86" s="2083">
        <f>K69</f>
        <v>0.40158349440957558</v>
      </c>
    </row>
    <row r="87" spans="2:3" ht="15.75" customHeight="1"/>
    <row r="88" spans="2:3" ht="15.75" customHeight="1"/>
    <row r="89" spans="2:3" ht="15.75" customHeight="1"/>
    <row r="90" spans="2:3" ht="15.75" customHeight="1"/>
    <row r="91" spans="2:3" ht="15.75" customHeight="1"/>
    <row r="92" spans="2:3" ht="15.75" customHeight="1"/>
    <row r="93" spans="2:3" ht="15.75" customHeight="1"/>
    <row r="94" spans="2:3" ht="15.75" customHeight="1"/>
    <row r="95" spans="2:3" ht="15.75" customHeight="1"/>
    <row r="96" spans="2:3"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
    <mergeCell ref="B76:I76"/>
    <mergeCell ref="B80:C80"/>
    <mergeCell ref="K6:L6"/>
    <mergeCell ref="B14:I14"/>
    <mergeCell ref="C20:F20"/>
    <mergeCell ref="B35:I35"/>
    <mergeCell ref="B37:I37"/>
    <mergeCell ref="D45:D46"/>
    <mergeCell ref="B53:I53"/>
    <mergeCell ref="B54:I54"/>
    <mergeCell ref="B55:I55"/>
    <mergeCell ref="B56:I56"/>
    <mergeCell ref="B57:I57"/>
    <mergeCell ref="D66:F66"/>
  </mergeCells>
  <hyperlinks>
    <hyperlink ref="C13" r:id="rId1" xr:uid="{00000000-0004-0000-1500-000000000000}"/>
    <hyperlink ref="B36" r:id="rId2" xr:uid="{00000000-0004-0000-1500-000001000000}"/>
  </hyperlinks>
  <printOptions gridLines="1"/>
  <pageMargins left="0.16" right="0.26" top="0.51" bottom="0.45" header="0" footer="0"/>
  <pageSetup scale="75" orientation="landscape"/>
  <drawing r:id="rId3"/>
  <legacy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workbookViewId="0"/>
  </sheetViews>
  <sheetFormatPr defaultColWidth="16.85546875" defaultRowHeight="15" customHeight="1"/>
  <cols>
    <col min="1" max="1" width="4.7109375" customWidth="1"/>
    <col min="2" max="2" width="26.7109375" customWidth="1"/>
    <col min="3" max="3" width="28.42578125" customWidth="1"/>
    <col min="4" max="4" width="17" customWidth="1"/>
    <col min="5" max="5" width="3.85546875" customWidth="1"/>
    <col min="6" max="6" width="13.85546875" customWidth="1"/>
    <col min="7" max="7" width="3.85546875" customWidth="1"/>
    <col min="8" max="8" width="18.85546875" customWidth="1"/>
    <col min="9" max="9" width="3.85546875" customWidth="1"/>
    <col min="10" max="10" width="10.7109375" customWidth="1"/>
    <col min="11" max="11" width="3.85546875" customWidth="1"/>
    <col min="12" max="12" width="11.42578125" customWidth="1"/>
    <col min="13" max="13" width="3.85546875" customWidth="1"/>
    <col min="14" max="14" width="10.28515625" customWidth="1"/>
    <col min="15" max="16" width="8.85546875" customWidth="1"/>
    <col min="17" max="17" width="10.140625" customWidth="1"/>
    <col min="18" max="18" width="12.28515625" customWidth="1"/>
    <col min="19" max="26" width="8.85546875" customWidth="1"/>
  </cols>
  <sheetData>
    <row r="1" spans="1:26" ht="32.4">
      <c r="A1" s="134" t="s">
        <v>1702</v>
      </c>
      <c r="B1" s="135"/>
      <c r="D1" s="137"/>
      <c r="G1" s="1"/>
      <c r="H1" s="1"/>
    </row>
    <row r="2" spans="1:26" ht="201" customHeight="1">
      <c r="A2" s="1453"/>
      <c r="B2" s="2084"/>
      <c r="C2" s="2085"/>
    </row>
    <row r="3" spans="1:26" ht="20.399999999999999">
      <c r="A3" s="6"/>
      <c r="B3" s="771" t="s">
        <v>1703</v>
      </c>
      <c r="C3" s="6"/>
      <c r="D3" s="6"/>
      <c r="E3" s="6"/>
      <c r="F3" s="6"/>
      <c r="G3" s="6"/>
      <c r="H3" s="6"/>
      <c r="I3" s="6"/>
      <c r="J3" s="6"/>
      <c r="K3" s="6"/>
      <c r="L3" s="6"/>
      <c r="M3" s="6"/>
      <c r="N3" s="6"/>
      <c r="O3" s="6"/>
      <c r="P3" s="6"/>
      <c r="Q3" s="6"/>
      <c r="R3" s="6"/>
      <c r="S3" s="6"/>
      <c r="T3" s="6"/>
      <c r="U3" s="6"/>
      <c r="V3" s="6"/>
      <c r="W3" s="6"/>
      <c r="X3" s="6"/>
      <c r="Y3" s="6"/>
      <c r="Z3" s="6"/>
    </row>
    <row r="4" spans="1:26" ht="49.2">
      <c r="A4" s="2086"/>
      <c r="B4" s="2087" t="s">
        <v>1704</v>
      </c>
      <c r="C4" s="2088" t="s">
        <v>1705</v>
      </c>
      <c r="D4" s="2089" t="s">
        <v>1706</v>
      </c>
      <c r="E4" s="2088"/>
      <c r="F4" s="2089" t="s">
        <v>1707</v>
      </c>
      <c r="G4" s="2088"/>
      <c r="H4" s="2089" t="s">
        <v>1708</v>
      </c>
      <c r="I4" s="2090"/>
      <c r="J4" s="2089" t="s">
        <v>1709</v>
      </c>
      <c r="K4" s="2090"/>
      <c r="L4" s="2089" t="s">
        <v>1710</v>
      </c>
      <c r="M4" s="2091"/>
      <c r="N4" s="2092" t="s">
        <v>1711</v>
      </c>
      <c r="O4" s="6"/>
      <c r="P4" s="6"/>
      <c r="Q4" s="6"/>
      <c r="R4" s="6"/>
      <c r="S4" s="6"/>
      <c r="T4" s="6"/>
      <c r="U4" s="6"/>
      <c r="V4" s="6"/>
      <c r="W4" s="6"/>
      <c r="X4" s="6"/>
      <c r="Y4" s="6"/>
      <c r="Z4" s="6"/>
    </row>
    <row r="5" spans="1:26" ht="13.8">
      <c r="A5" s="2086"/>
      <c r="B5" s="2093" t="s">
        <v>1712</v>
      </c>
      <c r="C5" s="2094"/>
      <c r="D5" s="2095"/>
      <c r="E5" s="2096"/>
      <c r="F5" s="2097"/>
      <c r="G5" s="2097"/>
      <c r="H5" s="2097"/>
      <c r="I5" s="2097"/>
      <c r="J5" s="2098"/>
      <c r="K5" s="2097"/>
      <c r="L5" s="2097"/>
      <c r="M5" s="2097"/>
      <c r="N5" s="2099"/>
      <c r="O5" s="6"/>
      <c r="P5" s="6"/>
      <c r="Q5" s="6"/>
      <c r="R5" s="6"/>
      <c r="S5" s="6"/>
      <c r="T5" s="6"/>
      <c r="U5" s="6"/>
      <c r="V5" s="6"/>
      <c r="W5" s="6"/>
      <c r="X5" s="6"/>
      <c r="Y5" s="6"/>
      <c r="Z5" s="6"/>
    </row>
    <row r="6" spans="1:26" ht="13.8">
      <c r="A6" s="2086"/>
      <c r="B6" s="2100" t="s">
        <v>1713</v>
      </c>
      <c r="C6" s="2101"/>
      <c r="D6" s="2102">
        <v>0</v>
      </c>
      <c r="E6" s="62" t="s">
        <v>1714</v>
      </c>
      <c r="F6" s="2102">
        <v>0</v>
      </c>
      <c r="G6" s="2103" t="s">
        <v>1715</v>
      </c>
      <c r="H6" s="2102">
        <v>0</v>
      </c>
      <c r="I6" s="62" t="s">
        <v>1105</v>
      </c>
      <c r="J6" s="2104">
        <f>D6+F6-H6</f>
        <v>0</v>
      </c>
      <c r="K6" s="62" t="s">
        <v>1105</v>
      </c>
      <c r="L6" s="2105">
        <f>J6*1000000*0.0000192</f>
        <v>0</v>
      </c>
      <c r="M6" s="62" t="s">
        <v>1105</v>
      </c>
      <c r="N6" s="2106">
        <f>(L6*$S$9)</f>
        <v>0</v>
      </c>
      <c r="O6" s="6"/>
      <c r="P6" s="6"/>
      <c r="Q6" s="6"/>
      <c r="R6" s="2858" t="s">
        <v>0</v>
      </c>
      <c r="S6" s="2859"/>
      <c r="T6" s="6"/>
      <c r="U6" s="6"/>
      <c r="V6" s="6"/>
      <c r="W6" s="6"/>
      <c r="X6" s="6"/>
      <c r="Y6" s="6"/>
      <c r="Z6" s="6"/>
    </row>
    <row r="7" spans="1:26" ht="13.8">
      <c r="A7" s="2086"/>
      <c r="B7" s="2107"/>
      <c r="C7" s="2108"/>
      <c r="D7" s="2109"/>
      <c r="E7" s="2110"/>
      <c r="F7" s="2111"/>
      <c r="G7" s="2110"/>
      <c r="H7" s="2112"/>
      <c r="I7" s="2110"/>
      <c r="J7" s="2113"/>
      <c r="K7" s="2110"/>
      <c r="L7" s="2114"/>
      <c r="M7" s="2110"/>
      <c r="N7" s="2115"/>
      <c r="O7" s="6"/>
      <c r="P7" s="6"/>
      <c r="Q7" s="6"/>
      <c r="R7" s="240"/>
      <c r="S7" s="241"/>
      <c r="T7" s="6"/>
      <c r="U7" s="6"/>
      <c r="V7" s="6"/>
      <c r="W7" s="6"/>
      <c r="X7" s="6"/>
      <c r="Y7" s="6"/>
      <c r="Z7" s="6"/>
    </row>
    <row r="8" spans="1:26" ht="30">
      <c r="A8" s="2086"/>
      <c r="B8" s="2116"/>
      <c r="C8" s="2117"/>
      <c r="D8" s="2118" t="s">
        <v>1716</v>
      </c>
      <c r="E8" s="2119"/>
      <c r="F8" s="2120" t="s">
        <v>1717</v>
      </c>
      <c r="G8" s="2119"/>
      <c r="H8" s="2120" t="s">
        <v>1718</v>
      </c>
      <c r="I8" s="2119"/>
      <c r="J8" s="2120" t="s">
        <v>1719</v>
      </c>
      <c r="K8" s="2121"/>
      <c r="L8" s="2120" t="s">
        <v>1720</v>
      </c>
      <c r="M8" s="2119"/>
      <c r="N8" s="2122"/>
      <c r="O8" s="6"/>
      <c r="P8" s="6"/>
      <c r="Q8" s="6"/>
      <c r="R8" s="240" t="s">
        <v>528</v>
      </c>
      <c r="S8" s="247">
        <f>Summary!$E4</f>
        <v>1</v>
      </c>
      <c r="T8" s="6"/>
      <c r="U8" s="6"/>
      <c r="V8" s="6"/>
      <c r="W8" s="6"/>
      <c r="X8" s="6"/>
      <c r="Y8" s="6"/>
      <c r="Z8" s="6"/>
    </row>
    <row r="9" spans="1:26" ht="13.8">
      <c r="A9" s="2086"/>
      <c r="B9" s="2100" t="s">
        <v>1721</v>
      </c>
      <c r="C9" s="2123" t="s">
        <v>1722</v>
      </c>
      <c r="D9" s="2102">
        <f>1070.09</f>
        <v>1070.0899999999999</v>
      </c>
      <c r="E9" s="62" t="s">
        <v>1141</v>
      </c>
      <c r="F9" s="2124">
        <v>119</v>
      </c>
      <c r="G9" s="62" t="s">
        <v>1105</v>
      </c>
      <c r="H9" s="2105">
        <f>D9*F9</f>
        <v>127340.70999999999</v>
      </c>
      <c r="I9" s="62" t="s">
        <v>1105</v>
      </c>
      <c r="J9" s="2105">
        <f>H9*0.0000192*1000</f>
        <v>2444.941632</v>
      </c>
      <c r="K9" s="62" t="s">
        <v>1105</v>
      </c>
      <c r="L9" s="2105">
        <f>(J9*$S$9)</f>
        <v>68458.365695999993</v>
      </c>
      <c r="M9" s="62"/>
      <c r="N9" s="2125"/>
      <c r="O9" s="6"/>
      <c r="P9" s="2105"/>
      <c r="Q9" s="6"/>
      <c r="R9" s="240" t="s">
        <v>530</v>
      </c>
      <c r="S9" s="247">
        <f>Summary!$E5</f>
        <v>28</v>
      </c>
      <c r="T9" s="6"/>
      <c r="U9" s="6"/>
      <c r="V9" s="6"/>
      <c r="W9" s="6"/>
      <c r="X9" s="6"/>
      <c r="Y9" s="6"/>
      <c r="Z9" s="6"/>
    </row>
    <row r="10" spans="1:26" ht="13.8">
      <c r="A10" s="2086"/>
      <c r="B10" s="2126"/>
      <c r="C10" s="2127" t="s">
        <v>1723</v>
      </c>
      <c r="D10" s="2128">
        <v>0</v>
      </c>
      <c r="E10" s="2129" t="s">
        <v>1141</v>
      </c>
      <c r="F10" s="2130">
        <v>0</v>
      </c>
      <c r="G10" s="2129" t="s">
        <v>1105</v>
      </c>
      <c r="H10" s="2131" t="s">
        <v>1715</v>
      </c>
      <c r="I10" s="2129" t="s">
        <v>1105</v>
      </c>
      <c r="J10" s="2131" t="s">
        <v>1715</v>
      </c>
      <c r="K10" s="2132" t="s">
        <v>1105</v>
      </c>
      <c r="L10" s="2131" t="s">
        <v>1715</v>
      </c>
      <c r="M10" s="2129"/>
      <c r="N10" s="2133"/>
      <c r="O10" s="6"/>
      <c r="P10" s="6"/>
      <c r="Q10" s="1816"/>
      <c r="R10" s="240" t="s">
        <v>532</v>
      </c>
      <c r="S10" s="247">
        <f>Summary!$E6</f>
        <v>265</v>
      </c>
      <c r="T10" s="6"/>
      <c r="U10" s="6"/>
      <c r="V10" s="6"/>
      <c r="W10" s="6"/>
      <c r="X10" s="6"/>
      <c r="Y10" s="6"/>
      <c r="Z10" s="6"/>
    </row>
    <row r="11" spans="1:26" ht="13.8">
      <c r="A11" s="2086"/>
      <c r="B11" s="2134"/>
      <c r="C11" s="2097"/>
      <c r="D11" s="2095"/>
      <c r="E11" s="2097"/>
      <c r="F11" s="2135"/>
      <c r="G11" s="2097"/>
      <c r="H11" s="2097"/>
      <c r="I11" s="2097"/>
      <c r="J11" s="2097"/>
      <c r="K11" s="2097"/>
      <c r="L11" s="2097"/>
      <c r="M11" s="2097"/>
      <c r="N11" s="2099"/>
      <c r="O11" s="6"/>
      <c r="P11" s="6"/>
      <c r="Q11" s="6"/>
      <c r="R11" s="240" t="s">
        <v>533</v>
      </c>
      <c r="S11" s="247">
        <f>Summary!$E7</f>
        <v>23500</v>
      </c>
      <c r="T11" s="6"/>
      <c r="U11" s="6"/>
      <c r="V11" s="6"/>
      <c r="W11" s="6"/>
      <c r="X11" s="6"/>
      <c r="Y11" s="6"/>
      <c r="Z11" s="6"/>
    </row>
    <row r="12" spans="1:26" ht="31.8">
      <c r="A12" s="2086"/>
      <c r="B12" s="2136" t="s">
        <v>1724</v>
      </c>
      <c r="C12" s="2137"/>
      <c r="D12" s="2138" t="s">
        <v>1725</v>
      </c>
      <c r="E12" s="2139"/>
      <c r="F12" s="2140" t="s">
        <v>1726</v>
      </c>
      <c r="G12" s="2139"/>
      <c r="H12" s="2141" t="s">
        <v>1727</v>
      </c>
      <c r="I12" s="2142"/>
      <c r="J12" s="2141" t="s">
        <v>1728</v>
      </c>
      <c r="K12" s="2142"/>
      <c r="L12" s="2141" t="s">
        <v>1729</v>
      </c>
      <c r="M12" s="2142"/>
      <c r="N12" s="2143"/>
      <c r="O12" s="6"/>
      <c r="P12" s="6"/>
      <c r="Q12" s="6"/>
      <c r="R12" s="259"/>
      <c r="S12" s="247"/>
      <c r="T12" s="6"/>
      <c r="U12" s="6"/>
      <c r="V12" s="6"/>
      <c r="W12" s="6"/>
      <c r="X12" s="6"/>
      <c r="Y12" s="6"/>
      <c r="Z12" s="6"/>
    </row>
    <row r="13" spans="1:26" ht="13.8">
      <c r="A13" s="2086"/>
      <c r="B13" s="2100" t="s">
        <v>1713</v>
      </c>
      <c r="C13" s="2123" t="s">
        <v>1722</v>
      </c>
      <c r="D13" s="2102">
        <f>1382.4</f>
        <v>1382.4</v>
      </c>
      <c r="E13" s="62" t="s">
        <v>1141</v>
      </c>
      <c r="F13" s="2124">
        <v>44.98</v>
      </c>
      <c r="G13" s="62" t="s">
        <v>1105</v>
      </c>
      <c r="H13" s="2105">
        <f>D13*F13</f>
        <v>62180.351999999999</v>
      </c>
      <c r="I13" s="62" t="s">
        <v>1105</v>
      </c>
      <c r="J13" s="2105">
        <f>H13*0.0000192*1000</f>
        <v>1193.8627583999998</v>
      </c>
      <c r="K13" s="2144" t="s">
        <v>1105</v>
      </c>
      <c r="L13" s="2105">
        <f>(J13*$S$9)</f>
        <v>33428.157235199993</v>
      </c>
      <c r="M13" s="62"/>
      <c r="N13" s="2125"/>
      <c r="O13" s="6"/>
      <c r="P13" s="2105"/>
      <c r="Q13" s="6"/>
      <c r="R13" s="6"/>
      <c r="S13" s="6"/>
      <c r="T13" s="6"/>
      <c r="U13" s="6"/>
      <c r="V13" s="6"/>
      <c r="W13" s="6"/>
      <c r="X13" s="6"/>
      <c r="Y13" s="6"/>
      <c r="Z13" s="6"/>
    </row>
    <row r="14" spans="1:26" ht="13.8">
      <c r="A14" s="2086"/>
      <c r="B14" s="2145"/>
      <c r="C14" s="2123" t="s">
        <v>1723</v>
      </c>
      <c r="D14" s="2102">
        <v>0</v>
      </c>
      <c r="E14" s="62" t="s">
        <v>1141</v>
      </c>
      <c r="F14" s="2124">
        <v>0</v>
      </c>
      <c r="G14" s="62" t="s">
        <v>1105</v>
      </c>
      <c r="H14" s="2146" t="s">
        <v>1715</v>
      </c>
      <c r="I14" s="62" t="s">
        <v>1105</v>
      </c>
      <c r="J14" s="2146" t="s">
        <v>1715</v>
      </c>
      <c r="K14" s="2144" t="s">
        <v>1105</v>
      </c>
      <c r="L14" s="2146" t="s">
        <v>1715</v>
      </c>
      <c r="M14" s="62"/>
      <c r="N14" s="2125"/>
      <c r="O14" s="6"/>
      <c r="P14" s="6"/>
      <c r="Q14" s="6"/>
      <c r="R14" s="6"/>
      <c r="S14" s="6"/>
      <c r="T14" s="6"/>
      <c r="U14" s="6"/>
      <c r="V14" s="6"/>
      <c r="W14" s="6"/>
      <c r="X14" s="6"/>
      <c r="Y14" s="6"/>
      <c r="Z14" s="6"/>
    </row>
    <row r="15" spans="1:26" ht="13.8">
      <c r="A15" s="2086"/>
      <c r="B15" s="2100" t="s">
        <v>1721</v>
      </c>
      <c r="C15" s="2123" t="s">
        <v>1722</v>
      </c>
      <c r="D15" s="2102">
        <f>1070.09</f>
        <v>1070.0899999999999</v>
      </c>
      <c r="E15" s="62" t="s">
        <v>1141</v>
      </c>
      <c r="F15" s="2124">
        <v>19.337499999999999</v>
      </c>
      <c r="G15" s="62" t="s">
        <v>1105</v>
      </c>
      <c r="H15" s="2105">
        <f>D15*F15</f>
        <v>20692.865374999998</v>
      </c>
      <c r="I15" s="62" t="s">
        <v>1105</v>
      </c>
      <c r="J15" s="2105">
        <f>H15*0.0000192*1000</f>
        <v>397.30301519999995</v>
      </c>
      <c r="K15" s="2144" t="s">
        <v>1105</v>
      </c>
      <c r="L15" s="2105">
        <f>(J15*$S$9)</f>
        <v>11124.484425599998</v>
      </c>
      <c r="M15" s="62"/>
      <c r="N15" s="2125"/>
      <c r="O15" s="6"/>
      <c r="P15" s="6"/>
      <c r="Q15" s="6"/>
      <c r="R15" s="6"/>
      <c r="S15" s="6"/>
      <c r="T15" s="6"/>
      <c r="U15" s="6"/>
      <c r="V15" s="6"/>
      <c r="W15" s="6"/>
      <c r="X15" s="6"/>
      <c r="Y15" s="6"/>
      <c r="Z15" s="6"/>
    </row>
    <row r="16" spans="1:26" ht="13.8">
      <c r="A16" s="2086"/>
      <c r="B16" s="2145"/>
      <c r="C16" s="2123" t="s">
        <v>1723</v>
      </c>
      <c r="D16" s="2102">
        <v>0</v>
      </c>
      <c r="E16" s="62" t="s">
        <v>1141</v>
      </c>
      <c r="F16" s="2124">
        <v>0</v>
      </c>
      <c r="G16" s="62" t="s">
        <v>1105</v>
      </c>
      <c r="H16" s="2147" t="s">
        <v>1723</v>
      </c>
      <c r="I16" s="62" t="s">
        <v>1105</v>
      </c>
      <c r="J16" s="2147" t="s">
        <v>1723</v>
      </c>
      <c r="K16" s="2144" t="s">
        <v>1105</v>
      </c>
      <c r="L16" s="2147" t="s">
        <v>1723</v>
      </c>
      <c r="M16" s="62"/>
      <c r="N16" s="2125"/>
      <c r="O16" s="6"/>
      <c r="P16" s="6"/>
      <c r="Q16" s="6"/>
      <c r="R16" s="6"/>
      <c r="S16" s="6"/>
      <c r="T16" s="6"/>
      <c r="U16" s="6"/>
      <c r="V16" s="6"/>
      <c r="W16" s="6"/>
      <c r="X16" s="6"/>
      <c r="Y16" s="6"/>
      <c r="Z16" s="6"/>
    </row>
    <row r="17" spans="1:26" ht="13.8">
      <c r="A17" s="2086"/>
      <c r="B17" s="2100" t="s">
        <v>1730</v>
      </c>
      <c r="C17" s="2123"/>
      <c r="D17" s="2101"/>
      <c r="E17" s="62"/>
      <c r="F17" s="2148"/>
      <c r="G17" s="62"/>
      <c r="H17" s="2149">
        <f>SUM(H13:H16)</f>
        <v>82873.217374999993</v>
      </c>
      <c r="I17" s="2139" t="s">
        <v>1105</v>
      </c>
      <c r="J17" s="2149">
        <f>SUM(J13:J16)</f>
        <v>1591.1657735999997</v>
      </c>
      <c r="K17" s="2150" t="s">
        <v>1105</v>
      </c>
      <c r="L17" s="2149">
        <f>SUM(L13:L16)</f>
        <v>44552.641660799993</v>
      </c>
      <c r="M17" s="2142"/>
      <c r="N17" s="2151"/>
      <c r="O17" s="6"/>
      <c r="P17" s="6"/>
      <c r="Q17" s="6"/>
      <c r="R17" s="6"/>
      <c r="S17" s="6"/>
      <c r="T17" s="6"/>
      <c r="U17" s="6"/>
      <c r="V17" s="6"/>
      <c r="W17" s="6"/>
      <c r="X17" s="6"/>
      <c r="Y17" s="6"/>
      <c r="Z17" s="6"/>
    </row>
    <row r="18" spans="1:26" ht="13.8">
      <c r="A18" s="2086"/>
      <c r="B18" s="2152"/>
      <c r="C18" s="2153"/>
      <c r="D18" s="2148"/>
      <c r="E18" s="2153"/>
      <c r="F18" s="2153"/>
      <c r="G18" s="2153"/>
      <c r="H18" s="2153"/>
      <c r="I18" s="2153"/>
      <c r="J18" s="2153"/>
      <c r="K18" s="2153"/>
      <c r="L18" s="2153"/>
      <c r="M18" s="2153"/>
      <c r="N18" s="2154"/>
      <c r="O18" s="6"/>
      <c r="P18" s="6"/>
      <c r="Q18" s="6"/>
      <c r="R18" s="6"/>
      <c r="S18" s="6"/>
      <c r="T18" s="6"/>
      <c r="U18" s="6"/>
      <c r="V18" s="6"/>
      <c r="W18" s="6"/>
      <c r="X18" s="6"/>
      <c r="Y18" s="6"/>
      <c r="Z18" s="6"/>
    </row>
    <row r="19" spans="1:26" ht="13.8">
      <c r="A19" s="2086"/>
      <c r="B19" s="2155" t="s">
        <v>1731</v>
      </c>
      <c r="C19" s="2156" t="s">
        <v>1732</v>
      </c>
      <c r="D19" s="2157">
        <f>SUM(D20:D22)</f>
        <v>113011.00735679999</v>
      </c>
      <c r="E19" s="2153"/>
      <c r="F19" s="2158"/>
      <c r="G19" s="2153"/>
      <c r="H19" s="2153"/>
      <c r="I19" s="2153"/>
      <c r="J19" s="2153"/>
      <c r="K19" s="2153"/>
      <c r="L19" s="2153"/>
      <c r="M19" s="2153"/>
      <c r="N19" s="2154"/>
      <c r="O19" s="6"/>
      <c r="P19" s="6"/>
      <c r="Q19" s="6"/>
      <c r="R19" s="6"/>
      <c r="S19" s="6"/>
      <c r="T19" s="6"/>
      <c r="U19" s="6"/>
      <c r="V19" s="6"/>
      <c r="W19" s="6"/>
      <c r="X19" s="6"/>
      <c r="Y19" s="6"/>
      <c r="Z19" s="6"/>
    </row>
    <row r="20" spans="1:26" ht="13.8">
      <c r="A20" s="2086"/>
      <c r="B20" s="2152"/>
      <c r="C20" s="2159" t="s">
        <v>1713</v>
      </c>
      <c r="D20" s="2160">
        <f>N6</f>
        <v>0</v>
      </c>
      <c r="E20" s="2153"/>
      <c r="F20" s="2153"/>
      <c r="G20" s="2153"/>
      <c r="H20" s="2153"/>
      <c r="I20" s="2153"/>
      <c r="J20" s="2153"/>
      <c r="K20" s="2153"/>
      <c r="L20" s="2153"/>
      <c r="M20" s="2153"/>
      <c r="N20" s="2154"/>
      <c r="O20" s="6"/>
      <c r="P20" s="6"/>
      <c r="Q20" s="6"/>
      <c r="R20" s="6"/>
      <c r="S20" s="6"/>
      <c r="T20" s="6"/>
      <c r="U20" s="6"/>
      <c r="V20" s="6"/>
      <c r="W20" s="6"/>
      <c r="X20" s="6"/>
      <c r="Y20" s="6"/>
      <c r="Z20" s="6"/>
    </row>
    <row r="21" spans="1:26" ht="15.75" customHeight="1">
      <c r="A21" s="2086"/>
      <c r="B21" s="2152"/>
      <c r="C21" s="2159" t="s">
        <v>1721</v>
      </c>
      <c r="D21" s="2160">
        <f>SUM(L9:L10)</f>
        <v>68458.365695999993</v>
      </c>
      <c r="E21" s="2153"/>
      <c r="F21" s="2161"/>
      <c r="G21" s="2153"/>
      <c r="H21" s="2153"/>
      <c r="I21" s="2153"/>
      <c r="J21" s="2153"/>
      <c r="K21" s="2153"/>
      <c r="L21" s="2153"/>
      <c r="M21" s="2153"/>
      <c r="N21" s="2154"/>
      <c r="O21" s="6"/>
      <c r="P21" s="6"/>
      <c r="Q21" s="6"/>
      <c r="R21" s="6"/>
      <c r="S21" s="6"/>
      <c r="T21" s="6"/>
      <c r="U21" s="6"/>
      <c r="V21" s="6"/>
      <c r="W21" s="6"/>
      <c r="X21" s="6"/>
      <c r="Y21" s="6"/>
      <c r="Z21" s="6"/>
    </row>
    <row r="22" spans="1:26" ht="15.75" customHeight="1">
      <c r="A22" s="2086"/>
      <c r="B22" s="2152"/>
      <c r="C22" s="2159" t="s">
        <v>1724</v>
      </c>
      <c r="D22" s="2160">
        <f>L17</f>
        <v>44552.641660799993</v>
      </c>
      <c r="E22" s="2153"/>
      <c r="F22" s="2161"/>
      <c r="G22" s="2153"/>
      <c r="H22" s="2161"/>
      <c r="I22" s="2153"/>
      <c r="J22" s="2153"/>
      <c r="K22" s="2153"/>
      <c r="L22" s="2153"/>
      <c r="M22" s="2153"/>
      <c r="N22" s="2154"/>
      <c r="O22" s="6"/>
      <c r="P22" s="6"/>
      <c r="Q22" s="6"/>
      <c r="R22" s="6"/>
      <c r="S22" s="6"/>
      <c r="T22" s="6"/>
      <c r="U22" s="6"/>
      <c r="V22" s="6"/>
      <c r="W22" s="6"/>
      <c r="X22" s="6"/>
      <c r="Y22" s="6"/>
      <c r="Z22" s="6"/>
    </row>
    <row r="23" spans="1:26" ht="15.75" customHeight="1">
      <c r="A23" s="2086"/>
      <c r="B23" s="2152"/>
      <c r="C23" s="2153"/>
      <c r="D23" s="2148"/>
      <c r="E23" s="2153"/>
      <c r="F23" s="2153"/>
      <c r="G23" s="2153"/>
      <c r="H23" s="2153"/>
      <c r="I23" s="2153"/>
      <c r="J23" s="2153"/>
      <c r="K23" s="2153"/>
      <c r="L23" s="2153"/>
      <c r="M23" s="2153"/>
      <c r="N23" s="2154"/>
      <c r="O23" s="6"/>
      <c r="P23" s="6"/>
      <c r="Q23" s="6"/>
      <c r="R23" s="6"/>
      <c r="S23" s="6"/>
      <c r="T23" s="6"/>
      <c r="U23" s="6"/>
      <c r="V23" s="6"/>
      <c r="W23" s="6"/>
      <c r="X23" s="6"/>
      <c r="Y23" s="6"/>
      <c r="Z23" s="6"/>
    </row>
    <row r="24" spans="1:26" ht="15.75" customHeight="1">
      <c r="A24" s="2"/>
      <c r="B24" s="2162"/>
      <c r="C24" s="2163"/>
      <c r="D24" s="2164"/>
      <c r="E24" s="2164"/>
      <c r="F24" s="2164"/>
      <c r="G24" s="2164"/>
      <c r="H24" s="2164"/>
      <c r="I24" s="2164"/>
      <c r="J24" s="2164"/>
      <c r="K24" s="2164"/>
      <c r="L24" s="2164"/>
      <c r="M24" s="2164"/>
      <c r="N24" s="2165"/>
      <c r="O24" s="6"/>
      <c r="P24" s="6"/>
      <c r="Q24" s="6"/>
      <c r="R24" s="6"/>
      <c r="S24" s="6"/>
      <c r="T24" s="6"/>
      <c r="U24" s="6"/>
      <c r="V24" s="6"/>
      <c r="W24" s="6"/>
      <c r="X24" s="6"/>
      <c r="Y24" s="6"/>
      <c r="Z24" s="6"/>
    </row>
    <row r="25" spans="1:26" ht="15.75" customHeight="1">
      <c r="A25" s="2"/>
      <c r="B25" s="2166" t="s">
        <v>1733</v>
      </c>
      <c r="C25" s="6"/>
      <c r="D25" s="6"/>
      <c r="E25" s="6"/>
      <c r="F25" s="6"/>
      <c r="G25" s="6"/>
      <c r="H25" s="6"/>
      <c r="I25" s="6"/>
      <c r="J25" s="6"/>
      <c r="K25" s="6"/>
      <c r="L25" s="6"/>
      <c r="M25" s="6"/>
      <c r="N25" s="6"/>
      <c r="O25" s="6"/>
      <c r="P25" s="6"/>
      <c r="Q25" s="6"/>
      <c r="R25" s="6"/>
      <c r="S25" s="6"/>
      <c r="T25" s="6"/>
      <c r="U25" s="6"/>
      <c r="V25" s="6"/>
      <c r="W25" s="6"/>
      <c r="X25" s="6"/>
      <c r="Y25" s="6"/>
      <c r="Z25" s="6"/>
    </row>
    <row r="26" spans="1:26" ht="15.75" customHeight="1">
      <c r="A26" s="2"/>
      <c r="B26" s="2167"/>
      <c r="C26" s="2168"/>
      <c r="D26" s="2169" t="s">
        <v>1734</v>
      </c>
      <c r="E26" s="2170"/>
      <c r="F26" s="2171" t="s">
        <v>1735</v>
      </c>
      <c r="G26" s="2168"/>
      <c r="H26" s="2169" t="s">
        <v>1255</v>
      </c>
      <c r="I26" s="2172"/>
      <c r="J26" s="2169" t="s">
        <v>1736</v>
      </c>
      <c r="K26" s="2168"/>
      <c r="L26" s="2169" t="s">
        <v>1737</v>
      </c>
      <c r="M26" s="2168"/>
      <c r="N26" s="2173"/>
      <c r="O26" s="6"/>
      <c r="P26" s="6"/>
      <c r="Q26" s="6"/>
      <c r="R26" s="6"/>
      <c r="S26" s="6"/>
      <c r="T26" s="6"/>
      <c r="U26" s="6"/>
      <c r="V26" s="6"/>
      <c r="W26" s="6"/>
      <c r="X26" s="6"/>
      <c r="Y26" s="6"/>
      <c r="Z26" s="6"/>
    </row>
    <row r="27" spans="1:26" ht="15.75" customHeight="1">
      <c r="A27" s="2"/>
      <c r="B27" s="2174"/>
      <c r="C27" s="2175" t="s">
        <v>1738</v>
      </c>
      <c r="D27" s="2176">
        <v>0.2893143272</v>
      </c>
      <c r="E27" s="62" t="s">
        <v>1141</v>
      </c>
      <c r="F27" s="2177">
        <v>0.125</v>
      </c>
      <c r="G27" s="62" t="s">
        <v>1105</v>
      </c>
      <c r="H27" s="2178">
        <f t="shared" ref="H27:H29" si="0">D27*F27*1000*12/44*$S$9</f>
        <v>276.16367596363636</v>
      </c>
      <c r="I27" s="62" t="s">
        <v>1105</v>
      </c>
      <c r="J27" s="2178">
        <f t="shared" ref="J27:J29" si="1">D27*F27*1000</f>
        <v>36.164290899999997</v>
      </c>
      <c r="K27" s="62" t="s">
        <v>1105</v>
      </c>
      <c r="L27" s="2178">
        <f t="shared" ref="L27:L29" si="2">D27*F27*1000*$S$9</f>
        <v>1012.6001451999999</v>
      </c>
      <c r="M27" s="2153"/>
      <c r="N27" s="2179"/>
      <c r="O27" s="6"/>
      <c r="P27" s="6"/>
      <c r="Q27" s="6"/>
      <c r="R27" s="6"/>
      <c r="S27" s="6"/>
      <c r="T27" s="6"/>
      <c r="U27" s="6"/>
      <c r="V27" s="6"/>
      <c r="W27" s="6"/>
      <c r="X27" s="6"/>
      <c r="Y27" s="6"/>
      <c r="Z27" s="6"/>
    </row>
    <row r="28" spans="1:26" ht="15.75" customHeight="1">
      <c r="A28" s="2"/>
      <c r="B28" s="2174"/>
      <c r="C28" s="2175" t="s">
        <v>1739</v>
      </c>
      <c r="D28" s="2176">
        <v>0.2893143272</v>
      </c>
      <c r="E28" s="62" t="s">
        <v>1141</v>
      </c>
      <c r="F28" s="2177">
        <v>0.25</v>
      </c>
      <c r="G28" s="62" t="s">
        <v>1105</v>
      </c>
      <c r="H28" s="2178">
        <f t="shared" si="0"/>
        <v>552.32735192727273</v>
      </c>
      <c r="I28" s="62" t="s">
        <v>1105</v>
      </c>
      <c r="J28" s="2178">
        <f t="shared" si="1"/>
        <v>72.328581799999995</v>
      </c>
      <c r="K28" s="62" t="s">
        <v>1105</v>
      </c>
      <c r="L28" s="2178">
        <f t="shared" si="2"/>
        <v>2025.2002903999999</v>
      </c>
      <c r="M28" s="2153"/>
      <c r="N28" s="2179"/>
      <c r="O28" s="6"/>
      <c r="P28" s="6"/>
      <c r="Q28" s="6"/>
      <c r="R28" s="6"/>
      <c r="S28" s="6"/>
      <c r="T28" s="6"/>
      <c r="U28" s="6"/>
      <c r="V28" s="6"/>
      <c r="W28" s="6"/>
      <c r="X28" s="6"/>
      <c r="Y28" s="6"/>
      <c r="Z28" s="6"/>
    </row>
    <row r="29" spans="1:26" ht="15.75" customHeight="1">
      <c r="A29" s="2"/>
      <c r="B29" s="2180"/>
      <c r="C29" s="2181" t="s">
        <v>1740</v>
      </c>
      <c r="D29" s="2182">
        <v>0.2893143272</v>
      </c>
      <c r="E29" s="2183" t="s">
        <v>1141</v>
      </c>
      <c r="F29" s="2184">
        <v>0.625</v>
      </c>
      <c r="G29" s="2183" t="s">
        <v>1105</v>
      </c>
      <c r="H29" s="2185">
        <f t="shared" si="0"/>
        <v>1380.8183798181817</v>
      </c>
      <c r="I29" s="2183" t="s">
        <v>1105</v>
      </c>
      <c r="J29" s="2185">
        <f t="shared" si="1"/>
        <v>180.82145450000002</v>
      </c>
      <c r="K29" s="2183" t="s">
        <v>1105</v>
      </c>
      <c r="L29" s="2185">
        <f t="shared" si="2"/>
        <v>5063.0007260000002</v>
      </c>
      <c r="M29" s="2186"/>
      <c r="N29" s="2187"/>
      <c r="O29" s="6"/>
      <c r="P29" s="6"/>
      <c r="Q29" s="6"/>
      <c r="R29" s="6"/>
      <c r="S29" s="6"/>
      <c r="T29" s="6"/>
      <c r="U29" s="6"/>
      <c r="V29" s="6"/>
      <c r="W29" s="6"/>
      <c r="X29" s="6"/>
      <c r="Y29" s="6"/>
      <c r="Z29" s="6"/>
    </row>
    <row r="30" spans="1:26" ht="15.75" customHeight="1">
      <c r="A30" s="2"/>
      <c r="B30" s="2188"/>
      <c r="C30" s="2189"/>
      <c r="D30" s="6"/>
      <c r="E30" s="6"/>
      <c r="F30" s="6"/>
      <c r="G30" s="6"/>
      <c r="H30" s="6"/>
      <c r="I30" s="6"/>
      <c r="J30" s="6"/>
      <c r="K30" s="6"/>
      <c r="L30" s="6"/>
      <c r="M30" s="6"/>
      <c r="N30" s="6"/>
      <c r="O30" s="6"/>
      <c r="P30" s="6"/>
      <c r="Q30" s="6"/>
      <c r="R30" s="6"/>
      <c r="S30" s="6"/>
      <c r="T30" s="6"/>
      <c r="U30" s="6"/>
      <c r="V30" s="6"/>
      <c r="W30" s="6"/>
      <c r="X30" s="6"/>
      <c r="Y30" s="6"/>
      <c r="Z30" s="6"/>
    </row>
    <row r="31" spans="1:26" ht="15.75" customHeight="1">
      <c r="A31" s="2"/>
      <c r="B31" s="2188"/>
      <c r="C31" s="2189"/>
      <c r="D31" s="6"/>
      <c r="E31" s="6"/>
      <c r="F31" s="6"/>
      <c r="G31" s="6"/>
      <c r="H31" s="6"/>
      <c r="I31" s="6"/>
      <c r="J31" s="6"/>
      <c r="K31" s="6"/>
      <c r="L31" s="6"/>
      <c r="M31" s="6"/>
      <c r="N31" s="6"/>
      <c r="O31" s="6"/>
      <c r="P31" s="6"/>
      <c r="Q31" s="6"/>
      <c r="R31" s="6"/>
      <c r="S31" s="6"/>
      <c r="T31" s="6"/>
      <c r="U31" s="6"/>
      <c r="V31" s="6"/>
      <c r="W31" s="6"/>
      <c r="X31" s="6"/>
      <c r="Y31" s="6"/>
      <c r="Z31" s="6"/>
    </row>
    <row r="32" spans="1:26" ht="15.75" customHeight="1">
      <c r="A32" s="2"/>
      <c r="B32" s="2166" t="s">
        <v>1741</v>
      </c>
      <c r="C32" s="6"/>
      <c r="D32" s="6"/>
      <c r="E32" s="6"/>
      <c r="F32" s="6"/>
      <c r="G32" s="6"/>
      <c r="H32" s="6"/>
      <c r="I32" s="6"/>
      <c r="J32" s="6"/>
      <c r="K32" s="6"/>
      <c r="L32" s="6"/>
      <c r="M32" s="6"/>
      <c r="N32" s="6"/>
      <c r="O32" s="6"/>
      <c r="P32" s="6"/>
      <c r="Q32" s="6"/>
      <c r="R32" s="6"/>
      <c r="S32" s="6"/>
      <c r="T32" s="6"/>
      <c r="U32" s="6"/>
      <c r="V32" s="6"/>
      <c r="W32" s="6"/>
      <c r="X32" s="6"/>
      <c r="Y32" s="6"/>
      <c r="Z32" s="6"/>
    </row>
    <row r="33" spans="1:26" ht="15.75" customHeight="1">
      <c r="A33" s="2"/>
      <c r="B33" s="2190" t="s">
        <v>1742</v>
      </c>
      <c r="C33" s="2191"/>
      <c r="D33" s="6"/>
      <c r="E33" s="6"/>
      <c r="F33" s="6"/>
      <c r="G33" s="6"/>
      <c r="H33" s="6"/>
      <c r="I33" s="6"/>
      <c r="J33" s="6"/>
      <c r="K33" s="6"/>
      <c r="L33" s="6"/>
      <c r="M33" s="6"/>
      <c r="N33" s="6"/>
      <c r="O33" s="6"/>
      <c r="P33" s="6"/>
      <c r="Q33" s="6"/>
      <c r="R33" s="6"/>
      <c r="S33" s="6"/>
      <c r="T33" s="6"/>
      <c r="U33" s="6"/>
      <c r="V33" s="6"/>
      <c r="W33" s="6"/>
      <c r="X33" s="6"/>
      <c r="Y33" s="6"/>
      <c r="Z33" s="6"/>
    </row>
    <row r="34" spans="1:26" ht="15.75" customHeight="1">
      <c r="A34" s="2"/>
      <c r="B34" s="2192"/>
      <c r="C34" s="2193">
        <v>2017</v>
      </c>
      <c r="D34" s="6"/>
      <c r="E34" s="6"/>
      <c r="F34" s="6"/>
      <c r="G34" s="6"/>
      <c r="H34" s="6"/>
      <c r="I34" s="6"/>
      <c r="J34" s="6"/>
      <c r="K34" s="6"/>
      <c r="L34" s="6"/>
      <c r="M34" s="6"/>
      <c r="N34" s="6"/>
      <c r="O34" s="6"/>
      <c r="P34" s="6"/>
      <c r="Q34" s="6"/>
      <c r="R34" s="6"/>
      <c r="S34" s="6"/>
      <c r="T34" s="6"/>
      <c r="U34" s="6"/>
      <c r="V34" s="6"/>
      <c r="W34" s="6"/>
      <c r="X34" s="6"/>
      <c r="Y34" s="6"/>
      <c r="Z34" s="6"/>
    </row>
    <row r="35" spans="1:26" ht="15.75" customHeight="1">
      <c r="A35" s="2"/>
      <c r="B35" s="1865" t="s">
        <v>1743</v>
      </c>
      <c r="C35" s="2194">
        <f>D19/1000000</f>
        <v>0.11301100735679999</v>
      </c>
      <c r="D35" s="2195"/>
      <c r="E35" s="6"/>
      <c r="F35" s="6"/>
      <c r="G35" s="6"/>
      <c r="H35" s="6"/>
      <c r="I35" s="6"/>
      <c r="J35" s="6"/>
      <c r="K35" s="6"/>
      <c r="L35" s="6"/>
      <c r="M35" s="6"/>
      <c r="N35" s="6"/>
      <c r="O35" s="6"/>
      <c r="P35" s="6"/>
      <c r="Q35" s="6"/>
      <c r="R35" s="6"/>
      <c r="S35" s="6"/>
      <c r="T35" s="6"/>
      <c r="U35" s="6"/>
      <c r="V35" s="6"/>
      <c r="W35" s="6"/>
      <c r="X35" s="6"/>
      <c r="Y35" s="6"/>
      <c r="Z35" s="6"/>
    </row>
    <row r="36" spans="1:26" ht="15.75" customHeight="1">
      <c r="A36" s="2"/>
      <c r="B36" s="1865" t="s">
        <v>1744</v>
      </c>
      <c r="C36" s="2194">
        <f>SUM(C37:C39)</f>
        <v>8.1008011616000002E-3</v>
      </c>
      <c r="D36" s="2196"/>
      <c r="E36" s="6"/>
      <c r="F36" s="6"/>
      <c r="G36" s="6"/>
      <c r="H36" s="6"/>
      <c r="I36" s="6"/>
      <c r="J36" s="6"/>
      <c r="K36" s="6"/>
      <c r="L36" s="6"/>
      <c r="M36" s="6"/>
      <c r="N36" s="6"/>
      <c r="O36" s="6"/>
      <c r="P36" s="6"/>
      <c r="Q36" s="6"/>
      <c r="R36" s="6"/>
      <c r="S36" s="6"/>
      <c r="T36" s="6"/>
      <c r="U36" s="6"/>
      <c r="V36" s="6"/>
      <c r="W36" s="6"/>
      <c r="X36" s="6"/>
      <c r="Y36" s="6"/>
      <c r="Z36" s="6"/>
    </row>
    <row r="37" spans="1:26" ht="15.75" customHeight="1">
      <c r="A37" s="2"/>
      <c r="B37" s="2197" t="s">
        <v>1738</v>
      </c>
      <c r="C37" s="2194">
        <f t="shared" ref="C37:C39" si="3">L27/1000000</f>
        <v>1.0126001452E-3</v>
      </c>
      <c r="D37" s="2196"/>
      <c r="E37" s="6"/>
      <c r="F37" s="6"/>
      <c r="G37" s="6"/>
      <c r="H37" s="6"/>
      <c r="I37" s="6"/>
      <c r="J37" s="6"/>
      <c r="K37" s="6"/>
      <c r="L37" s="6"/>
      <c r="M37" s="6"/>
      <c r="N37" s="6"/>
      <c r="O37" s="6"/>
      <c r="P37" s="6"/>
      <c r="Q37" s="6"/>
      <c r="R37" s="6"/>
      <c r="S37" s="6"/>
      <c r="T37" s="6"/>
      <c r="U37" s="6"/>
      <c r="V37" s="6"/>
      <c r="W37" s="6"/>
      <c r="X37" s="6"/>
      <c r="Y37" s="6"/>
      <c r="Z37" s="6"/>
    </row>
    <row r="38" spans="1:26" ht="15.75" customHeight="1">
      <c r="A38" s="2"/>
      <c r="B38" s="2197" t="s">
        <v>1739</v>
      </c>
      <c r="C38" s="2194">
        <f t="shared" si="3"/>
        <v>2.0252002904000001E-3</v>
      </c>
      <c r="D38" s="2196"/>
      <c r="E38" s="6"/>
      <c r="F38" s="6"/>
      <c r="G38" s="6"/>
      <c r="H38" s="6"/>
      <c r="I38" s="6"/>
      <c r="J38" s="6"/>
      <c r="K38" s="6"/>
      <c r="L38" s="6"/>
      <c r="M38" s="6"/>
      <c r="N38" s="6"/>
      <c r="O38" s="6"/>
      <c r="P38" s="6"/>
      <c r="Q38" s="6"/>
      <c r="R38" s="6"/>
      <c r="S38" s="6"/>
      <c r="T38" s="6"/>
      <c r="U38" s="6"/>
      <c r="V38" s="6"/>
      <c r="W38" s="6"/>
      <c r="X38" s="6"/>
      <c r="Y38" s="6"/>
      <c r="Z38" s="6"/>
    </row>
    <row r="39" spans="1:26" ht="15.75" customHeight="1">
      <c r="A39" s="2"/>
      <c r="B39" s="2197" t="s">
        <v>1740</v>
      </c>
      <c r="C39" s="2194">
        <f t="shared" si="3"/>
        <v>5.0630007260000004E-3</v>
      </c>
      <c r="D39" s="2196"/>
      <c r="E39" s="6"/>
      <c r="F39" s="6"/>
      <c r="G39" s="6"/>
      <c r="H39" s="6"/>
      <c r="I39" s="6"/>
      <c r="J39" s="6"/>
      <c r="K39" s="6"/>
      <c r="L39" s="6"/>
      <c r="M39" s="6"/>
      <c r="N39" s="6"/>
      <c r="O39" s="6"/>
      <c r="P39" s="6"/>
      <c r="Q39" s="6"/>
      <c r="R39" s="6"/>
      <c r="S39" s="6"/>
      <c r="T39" s="6"/>
      <c r="U39" s="6"/>
      <c r="V39" s="6"/>
      <c r="W39" s="6"/>
      <c r="X39" s="6"/>
      <c r="Y39" s="6"/>
      <c r="Z39" s="6"/>
    </row>
    <row r="40" spans="1:26" ht="15.75" customHeight="1">
      <c r="A40" s="2"/>
      <c r="B40" s="2198"/>
      <c r="C40" s="2199"/>
      <c r="D40" s="6"/>
      <c r="E40" s="6"/>
      <c r="F40" s="6"/>
      <c r="G40" s="6"/>
      <c r="H40" s="6"/>
      <c r="I40" s="6"/>
      <c r="J40" s="6"/>
      <c r="K40" s="6"/>
      <c r="L40" s="6"/>
      <c r="M40" s="6"/>
      <c r="N40" s="6"/>
      <c r="O40" s="6"/>
      <c r="P40" s="6"/>
      <c r="Q40" s="6"/>
      <c r="R40" s="6"/>
      <c r="S40" s="6"/>
      <c r="T40" s="6"/>
      <c r="U40" s="6"/>
      <c r="V40" s="6"/>
      <c r="W40" s="6"/>
      <c r="X40" s="6"/>
      <c r="Y40" s="6"/>
      <c r="Z40" s="6"/>
    </row>
    <row r="41" spans="1:26" ht="15.75" customHeight="1">
      <c r="A41" s="2"/>
      <c r="B41" s="2188"/>
      <c r="C41" s="2189"/>
      <c r="D41" s="6"/>
      <c r="E41" s="6"/>
      <c r="F41" s="6"/>
      <c r="G41" s="6"/>
      <c r="H41" s="6"/>
      <c r="I41" s="6"/>
      <c r="J41" s="6"/>
      <c r="K41" s="6"/>
      <c r="L41" s="6"/>
      <c r="M41" s="6"/>
      <c r="N41" s="6"/>
      <c r="O41" s="6"/>
      <c r="P41" s="6"/>
      <c r="Q41" s="6"/>
      <c r="R41" s="6"/>
      <c r="S41" s="6"/>
      <c r="T41" s="6"/>
      <c r="U41" s="6"/>
      <c r="V41" s="6"/>
      <c r="W41" s="6"/>
      <c r="X41" s="6"/>
      <c r="Y41" s="6"/>
      <c r="Z41" s="6"/>
    </row>
    <row r="42" spans="1:26" ht="15.75" customHeight="1">
      <c r="A42" s="2"/>
      <c r="B42" s="2188"/>
      <c r="C42" s="2189"/>
      <c r="D42" s="6"/>
      <c r="E42" s="6"/>
      <c r="F42" s="6"/>
      <c r="G42" s="6"/>
      <c r="H42" s="6"/>
      <c r="I42" s="6"/>
      <c r="J42" s="6"/>
      <c r="K42" s="6"/>
      <c r="L42" s="6"/>
      <c r="M42" s="6"/>
      <c r="N42" s="6"/>
      <c r="O42" s="6"/>
      <c r="P42" s="6"/>
      <c r="Q42" s="6"/>
      <c r="R42" s="6"/>
      <c r="S42" s="6"/>
      <c r="T42" s="6"/>
      <c r="U42" s="6"/>
      <c r="V42" s="6"/>
      <c r="W42" s="6"/>
      <c r="X42" s="6"/>
      <c r="Y42" s="6"/>
      <c r="Z42" s="6"/>
    </row>
    <row r="43" spans="1:26" ht="15.75" customHeight="1">
      <c r="A43" s="6"/>
      <c r="B43" s="2190" t="s">
        <v>1745</v>
      </c>
      <c r="C43" s="2191"/>
      <c r="D43" s="6"/>
      <c r="E43" s="6"/>
      <c r="F43" s="6"/>
      <c r="G43" s="6"/>
      <c r="H43" s="6"/>
      <c r="I43" s="6"/>
      <c r="J43" s="6"/>
      <c r="K43" s="6"/>
      <c r="L43" s="6"/>
      <c r="M43" s="6"/>
      <c r="N43" s="6"/>
      <c r="O43" s="6"/>
      <c r="P43" s="6"/>
      <c r="Q43" s="6"/>
      <c r="R43" s="6"/>
      <c r="S43" s="6"/>
      <c r="T43" s="6"/>
      <c r="U43" s="6"/>
      <c r="V43" s="6"/>
      <c r="W43" s="6"/>
      <c r="X43" s="6"/>
      <c r="Y43" s="6"/>
      <c r="Z43" s="6"/>
    </row>
    <row r="44" spans="1:26" ht="15.75" customHeight="1">
      <c r="A44" s="6"/>
      <c r="B44" s="2192"/>
      <c r="C44" s="2193">
        <v>2017</v>
      </c>
      <c r="D44" s="6"/>
      <c r="E44" s="6"/>
      <c r="F44" s="6"/>
      <c r="G44" s="6"/>
      <c r="H44" s="6"/>
      <c r="I44" s="6"/>
      <c r="J44" s="6"/>
      <c r="K44" s="6"/>
      <c r="L44" s="6"/>
      <c r="M44" s="6"/>
      <c r="N44" s="6"/>
      <c r="O44" s="6"/>
      <c r="P44" s="6"/>
      <c r="Q44" s="6"/>
      <c r="R44" s="6"/>
      <c r="S44" s="6"/>
      <c r="T44" s="6"/>
      <c r="U44" s="6"/>
      <c r="V44" s="6"/>
      <c r="W44" s="6"/>
      <c r="X44" s="6"/>
      <c r="Y44" s="6"/>
      <c r="Z44" s="6"/>
    </row>
    <row r="45" spans="1:26" ht="15.75" customHeight="1">
      <c r="A45" s="6"/>
      <c r="B45" s="1865" t="s">
        <v>1743</v>
      </c>
      <c r="C45" s="2200">
        <f>D19</f>
        <v>113011.00735679999</v>
      </c>
      <c r="D45" s="6"/>
      <c r="E45" s="6"/>
      <c r="F45" s="6"/>
      <c r="G45" s="6"/>
      <c r="H45" s="6"/>
      <c r="I45" s="6"/>
      <c r="J45" s="6"/>
      <c r="K45" s="6"/>
      <c r="L45" s="6"/>
      <c r="M45" s="6"/>
      <c r="N45" s="6"/>
      <c r="O45" s="6"/>
      <c r="P45" s="6"/>
      <c r="Q45" s="6"/>
      <c r="R45" s="6"/>
      <c r="S45" s="6"/>
      <c r="T45" s="6"/>
      <c r="U45" s="6"/>
      <c r="V45" s="6"/>
      <c r="W45" s="6"/>
      <c r="X45" s="6"/>
      <c r="Y45" s="6"/>
      <c r="Z45" s="6"/>
    </row>
    <row r="46" spans="1:26" ht="15.75" customHeight="1">
      <c r="A46" s="6"/>
      <c r="B46" s="1865" t="s">
        <v>1744</v>
      </c>
      <c r="C46" s="2200">
        <f>SUM(C47:C49)</f>
        <v>8100.8011616000003</v>
      </c>
      <c r="D46" s="6"/>
      <c r="E46" s="6"/>
      <c r="F46" s="6"/>
      <c r="G46" s="6"/>
      <c r="H46" s="6"/>
      <c r="I46" s="6"/>
      <c r="J46" s="6"/>
      <c r="K46" s="6"/>
      <c r="L46" s="6"/>
      <c r="M46" s="6"/>
      <c r="N46" s="6"/>
      <c r="O46" s="6"/>
      <c r="P46" s="6"/>
      <c r="Q46" s="6"/>
      <c r="R46" s="6"/>
      <c r="S46" s="6"/>
      <c r="T46" s="6"/>
      <c r="U46" s="6"/>
      <c r="V46" s="6"/>
      <c r="W46" s="6"/>
      <c r="X46" s="6"/>
      <c r="Y46" s="6"/>
      <c r="Z46" s="6"/>
    </row>
    <row r="47" spans="1:26" ht="15.75" customHeight="1">
      <c r="A47" s="6"/>
      <c r="B47" s="2197" t="s">
        <v>1738</v>
      </c>
      <c r="C47" s="2200">
        <f t="shared" ref="C47:C49" si="4">L27</f>
        <v>1012.6001451999999</v>
      </c>
      <c r="D47" s="6"/>
      <c r="E47" s="6"/>
      <c r="F47" s="6"/>
      <c r="G47" s="6"/>
      <c r="H47" s="6"/>
      <c r="I47" s="6"/>
      <c r="J47" s="6"/>
      <c r="K47" s="6"/>
      <c r="L47" s="6"/>
      <c r="M47" s="6"/>
      <c r="N47" s="6"/>
      <c r="O47" s="6"/>
      <c r="P47" s="6"/>
      <c r="Q47" s="6"/>
      <c r="R47" s="6"/>
      <c r="S47" s="6"/>
      <c r="T47" s="6"/>
      <c r="U47" s="6"/>
      <c r="V47" s="6"/>
      <c r="W47" s="6"/>
      <c r="X47" s="6"/>
      <c r="Y47" s="6"/>
      <c r="Z47" s="6"/>
    </row>
    <row r="48" spans="1:26" ht="15.75" customHeight="1">
      <c r="A48" s="6"/>
      <c r="B48" s="2197" t="s">
        <v>1739</v>
      </c>
      <c r="C48" s="2200">
        <f t="shared" si="4"/>
        <v>2025.2002903999999</v>
      </c>
      <c r="D48" s="6"/>
      <c r="E48" s="6"/>
      <c r="F48" s="6"/>
      <c r="G48" s="6"/>
      <c r="H48" s="6"/>
      <c r="I48" s="6"/>
      <c r="J48" s="6"/>
      <c r="K48" s="6"/>
      <c r="L48" s="6"/>
      <c r="M48" s="6"/>
      <c r="N48" s="6"/>
      <c r="O48" s="6"/>
      <c r="P48" s="6"/>
      <c r="Q48" s="6"/>
      <c r="R48" s="6"/>
      <c r="S48" s="6"/>
      <c r="T48" s="6"/>
      <c r="U48" s="6"/>
      <c r="V48" s="6"/>
      <c r="W48" s="6"/>
      <c r="X48" s="6"/>
      <c r="Y48" s="6"/>
      <c r="Z48" s="6"/>
    </row>
    <row r="49" spans="1:26" ht="15.75" customHeight="1">
      <c r="A49" s="6"/>
      <c r="B49" s="2197" t="s">
        <v>1740</v>
      </c>
      <c r="C49" s="2200">
        <f t="shared" si="4"/>
        <v>5063.0007260000002</v>
      </c>
      <c r="D49" s="6"/>
      <c r="E49" s="6"/>
      <c r="F49" s="6"/>
      <c r="G49" s="6"/>
      <c r="H49" s="6"/>
      <c r="I49" s="6"/>
      <c r="J49" s="6"/>
      <c r="K49" s="6"/>
      <c r="L49" s="6"/>
      <c r="M49" s="6"/>
      <c r="N49" s="6"/>
      <c r="O49" s="6"/>
      <c r="P49" s="6"/>
      <c r="Q49" s="6"/>
      <c r="R49" s="6"/>
      <c r="S49" s="6"/>
      <c r="T49" s="6"/>
      <c r="U49" s="6"/>
      <c r="V49" s="6"/>
      <c r="W49" s="6"/>
      <c r="X49" s="6"/>
      <c r="Y49" s="6"/>
      <c r="Z49" s="6"/>
    </row>
    <row r="50" spans="1:26" ht="15.75" customHeight="1">
      <c r="A50" s="6"/>
      <c r="B50" s="2201"/>
      <c r="C50" s="2202"/>
      <c r="D50" s="6"/>
      <c r="E50" s="6"/>
      <c r="F50" s="6"/>
      <c r="G50" s="6"/>
      <c r="H50" s="6"/>
      <c r="I50" s="6"/>
      <c r="J50" s="6"/>
      <c r="K50" s="6"/>
      <c r="L50" s="6"/>
      <c r="M50" s="6"/>
      <c r="N50" s="6"/>
      <c r="O50" s="6"/>
      <c r="P50" s="6"/>
      <c r="Q50" s="6"/>
      <c r="R50" s="6"/>
      <c r="S50" s="6"/>
      <c r="T50" s="6"/>
      <c r="U50" s="6"/>
      <c r="V50" s="6"/>
      <c r="W50" s="6"/>
      <c r="X50" s="6"/>
      <c r="Y50" s="6"/>
      <c r="Z50" s="6"/>
    </row>
    <row r="51" spans="1:26" ht="15.75" customHeight="1">
      <c r="A51" s="6"/>
      <c r="B51" s="2190" t="s">
        <v>1289</v>
      </c>
      <c r="C51" s="2203">
        <v>2017</v>
      </c>
      <c r="D51" s="6"/>
      <c r="E51" s="6"/>
      <c r="F51" s="6"/>
      <c r="G51" s="6"/>
      <c r="H51" s="6"/>
      <c r="I51" s="6"/>
      <c r="J51" s="6"/>
      <c r="K51" s="6"/>
      <c r="L51" s="6"/>
      <c r="M51" s="6"/>
      <c r="N51" s="6"/>
      <c r="O51" s="6"/>
      <c r="P51" s="6"/>
      <c r="Q51" s="6"/>
      <c r="R51" s="6"/>
      <c r="S51" s="6"/>
      <c r="T51" s="6"/>
      <c r="U51" s="6"/>
      <c r="V51" s="6"/>
      <c r="W51" s="6"/>
      <c r="X51" s="6"/>
      <c r="Y51" s="6"/>
      <c r="Z51" s="6"/>
    </row>
    <row r="52" spans="1:26" ht="15.75" customHeight="1">
      <c r="A52" s="6"/>
      <c r="B52" s="1865" t="s">
        <v>1743</v>
      </c>
      <c r="C52" s="2200">
        <f>C45*12/44</f>
        <v>30821.183824581814</v>
      </c>
      <c r="D52" s="1816"/>
      <c r="E52" s="6"/>
      <c r="F52" s="6"/>
      <c r="G52" s="6"/>
      <c r="H52" s="6"/>
      <c r="I52" s="6"/>
      <c r="J52" s="6"/>
      <c r="K52" s="6"/>
      <c r="L52" s="6"/>
      <c r="M52" s="6"/>
      <c r="N52" s="6"/>
      <c r="O52" s="6"/>
      <c r="P52" s="6"/>
      <c r="Q52" s="6"/>
      <c r="R52" s="6"/>
      <c r="S52" s="6"/>
      <c r="T52" s="6"/>
      <c r="U52" s="6"/>
      <c r="V52" s="6"/>
      <c r="W52" s="6"/>
      <c r="X52" s="6"/>
      <c r="Y52" s="6"/>
      <c r="Z52" s="6"/>
    </row>
    <row r="53" spans="1:26" ht="15.75" customHeight="1">
      <c r="A53" s="6"/>
      <c r="B53" s="1865" t="s">
        <v>1744</v>
      </c>
      <c r="C53" s="2200">
        <f>SUM(C54:C56)</f>
        <v>2209.3094077090909</v>
      </c>
      <c r="D53" s="6"/>
      <c r="E53" s="6"/>
      <c r="F53" s="6"/>
      <c r="G53" s="6"/>
      <c r="H53" s="6"/>
      <c r="I53" s="6"/>
      <c r="J53" s="6"/>
      <c r="K53" s="6"/>
      <c r="L53" s="6"/>
      <c r="M53" s="6"/>
      <c r="N53" s="6"/>
      <c r="O53" s="6"/>
      <c r="P53" s="6"/>
      <c r="Q53" s="6"/>
      <c r="R53" s="6"/>
      <c r="S53" s="6"/>
      <c r="T53" s="6"/>
      <c r="U53" s="6"/>
      <c r="V53" s="6"/>
      <c r="W53" s="6"/>
      <c r="X53" s="6"/>
      <c r="Y53" s="6"/>
      <c r="Z53" s="6"/>
    </row>
    <row r="54" spans="1:26" ht="15.75" customHeight="1">
      <c r="A54" s="6"/>
      <c r="B54" s="2197" t="s">
        <v>1738</v>
      </c>
      <c r="C54" s="2200">
        <f t="shared" ref="C54:C56" si="5">H27</f>
        <v>276.16367596363636</v>
      </c>
      <c r="D54" s="1816"/>
      <c r="E54" s="6"/>
      <c r="F54" s="6"/>
      <c r="G54" s="6"/>
      <c r="H54" s="6"/>
      <c r="I54" s="6"/>
      <c r="J54" s="6"/>
      <c r="K54" s="6"/>
      <c r="L54" s="6"/>
      <c r="M54" s="6"/>
      <c r="N54" s="6"/>
      <c r="O54" s="6"/>
      <c r="P54" s="6"/>
      <c r="Q54" s="6"/>
      <c r="R54" s="6"/>
      <c r="S54" s="6"/>
      <c r="T54" s="6"/>
      <c r="U54" s="6"/>
      <c r="V54" s="6"/>
      <c r="W54" s="6"/>
      <c r="X54" s="6"/>
      <c r="Y54" s="6"/>
      <c r="Z54" s="6"/>
    </row>
    <row r="55" spans="1:26" ht="15.75" customHeight="1">
      <c r="A55" s="6"/>
      <c r="B55" s="2197" t="s">
        <v>1739</v>
      </c>
      <c r="C55" s="2200">
        <f t="shared" si="5"/>
        <v>552.32735192727273</v>
      </c>
      <c r="D55" s="1816"/>
      <c r="E55" s="6"/>
      <c r="F55" s="6"/>
      <c r="G55" s="6"/>
      <c r="H55" s="6"/>
      <c r="I55" s="6"/>
      <c r="J55" s="6"/>
      <c r="K55" s="6"/>
      <c r="L55" s="6"/>
      <c r="M55" s="6"/>
      <c r="N55" s="6"/>
      <c r="O55" s="6"/>
      <c r="P55" s="6"/>
      <c r="Q55" s="6"/>
      <c r="R55" s="6"/>
      <c r="S55" s="6"/>
      <c r="T55" s="6"/>
      <c r="U55" s="6"/>
      <c r="V55" s="6"/>
      <c r="W55" s="6"/>
      <c r="X55" s="6"/>
      <c r="Y55" s="6"/>
      <c r="Z55" s="6"/>
    </row>
    <row r="56" spans="1:26" ht="15.75" customHeight="1">
      <c r="A56" s="6"/>
      <c r="B56" s="2197" t="s">
        <v>1740</v>
      </c>
      <c r="C56" s="2200">
        <f t="shared" si="5"/>
        <v>1380.8183798181817</v>
      </c>
      <c r="D56" s="1816"/>
      <c r="E56" s="6"/>
      <c r="F56" s="6"/>
      <c r="G56" s="6"/>
      <c r="H56" s="6"/>
      <c r="I56" s="6"/>
      <c r="J56" s="6"/>
      <c r="K56" s="6"/>
      <c r="L56" s="6"/>
      <c r="M56" s="6"/>
      <c r="N56" s="6"/>
      <c r="O56" s="6"/>
      <c r="P56" s="6"/>
      <c r="Q56" s="6"/>
      <c r="R56" s="6"/>
      <c r="S56" s="6"/>
      <c r="T56" s="6"/>
      <c r="U56" s="6"/>
      <c r="V56" s="6"/>
      <c r="W56" s="6"/>
      <c r="X56" s="6"/>
      <c r="Y56" s="6"/>
      <c r="Z56" s="6"/>
    </row>
    <row r="57" spans="1:26" ht="15.75" customHeight="1">
      <c r="A57" s="6"/>
      <c r="B57" s="2201"/>
      <c r="C57" s="2202"/>
      <c r="D57" s="6"/>
      <c r="E57" s="6"/>
      <c r="F57" s="6"/>
      <c r="G57" s="6"/>
      <c r="H57" s="6"/>
      <c r="I57" s="6"/>
      <c r="J57" s="6"/>
      <c r="K57" s="6"/>
      <c r="L57" s="6"/>
      <c r="M57" s="6"/>
      <c r="N57" s="6"/>
      <c r="O57" s="6"/>
      <c r="P57" s="6"/>
      <c r="Q57" s="6"/>
      <c r="R57" s="6"/>
      <c r="S57" s="6"/>
      <c r="T57" s="6"/>
      <c r="U57" s="6"/>
      <c r="V57" s="6"/>
      <c r="W57" s="6"/>
      <c r="X57" s="6"/>
      <c r="Y57" s="6"/>
      <c r="Z57" s="6"/>
    </row>
    <row r="58" spans="1:26" ht="15.75" customHeight="1">
      <c r="A58" s="6"/>
      <c r="B58" s="2190" t="s">
        <v>1746</v>
      </c>
      <c r="C58" s="2203">
        <v>2017</v>
      </c>
      <c r="D58" s="6"/>
      <c r="E58" s="6"/>
      <c r="F58" s="6"/>
      <c r="G58" s="6"/>
      <c r="H58" s="6"/>
      <c r="I58" s="6"/>
      <c r="J58" s="6"/>
      <c r="K58" s="6"/>
      <c r="L58" s="6"/>
      <c r="M58" s="6"/>
      <c r="N58" s="6"/>
      <c r="O58" s="6"/>
      <c r="P58" s="6"/>
      <c r="Q58" s="6"/>
      <c r="R58" s="6"/>
      <c r="S58" s="6"/>
      <c r="T58" s="6"/>
      <c r="U58" s="6"/>
      <c r="V58" s="6"/>
      <c r="W58" s="6"/>
      <c r="X58" s="6"/>
      <c r="Y58" s="6"/>
      <c r="Z58" s="6"/>
    </row>
    <row r="59" spans="1:26" ht="15.75" customHeight="1">
      <c r="A59" s="6"/>
      <c r="B59" s="1865" t="s">
        <v>1743</v>
      </c>
      <c r="C59" s="2200">
        <f>C45/21</f>
        <v>5381.4765407999994</v>
      </c>
      <c r="D59" s="6"/>
      <c r="E59" s="6"/>
      <c r="F59" s="6"/>
      <c r="G59" s="6"/>
      <c r="H59" s="6"/>
      <c r="I59" s="6"/>
      <c r="J59" s="6"/>
      <c r="K59" s="6"/>
      <c r="L59" s="6"/>
      <c r="M59" s="6"/>
      <c r="N59" s="6"/>
      <c r="O59" s="6"/>
      <c r="P59" s="6"/>
      <c r="Q59" s="6"/>
      <c r="R59" s="6"/>
      <c r="S59" s="6"/>
      <c r="T59" s="6"/>
      <c r="U59" s="6"/>
      <c r="V59" s="6"/>
      <c r="W59" s="6"/>
      <c r="X59" s="6"/>
      <c r="Y59" s="6"/>
      <c r="Z59" s="6"/>
    </row>
    <row r="60" spans="1:26" ht="15.75" customHeight="1">
      <c r="A60" s="6"/>
      <c r="B60" s="1865" t="s">
        <v>1744</v>
      </c>
      <c r="C60" s="2200">
        <f>SUM(C61:C63)</f>
        <v>289.31432719999998</v>
      </c>
      <c r="D60" s="6"/>
      <c r="E60" s="6"/>
      <c r="F60" s="6"/>
      <c r="G60" s="6"/>
      <c r="H60" s="6"/>
      <c r="I60" s="6"/>
      <c r="J60" s="6"/>
      <c r="K60" s="6"/>
      <c r="L60" s="6"/>
      <c r="M60" s="6"/>
      <c r="N60" s="6"/>
      <c r="O60" s="6"/>
      <c r="P60" s="6"/>
      <c r="Q60" s="6"/>
      <c r="R60" s="6"/>
      <c r="S60" s="6"/>
      <c r="T60" s="6"/>
      <c r="U60" s="6"/>
      <c r="V60" s="6"/>
      <c r="W60" s="6"/>
      <c r="X60" s="6"/>
      <c r="Y60" s="6"/>
      <c r="Z60" s="6"/>
    </row>
    <row r="61" spans="1:26" ht="15.75" customHeight="1">
      <c r="A61" s="6"/>
      <c r="B61" s="2197" t="s">
        <v>1738</v>
      </c>
      <c r="C61" s="2200">
        <f t="shared" ref="C61:C63" si="6">J27</f>
        <v>36.164290899999997</v>
      </c>
      <c r="D61" s="1816"/>
      <c r="E61" s="6"/>
      <c r="F61" s="6"/>
      <c r="G61" s="6"/>
      <c r="H61" s="6"/>
      <c r="I61" s="6"/>
      <c r="J61" s="6"/>
      <c r="K61" s="6"/>
      <c r="L61" s="6"/>
      <c r="M61" s="6"/>
      <c r="N61" s="6"/>
      <c r="O61" s="6"/>
      <c r="P61" s="6"/>
      <c r="Q61" s="6"/>
      <c r="R61" s="6"/>
      <c r="S61" s="6"/>
      <c r="T61" s="6"/>
      <c r="U61" s="6"/>
      <c r="V61" s="6"/>
      <c r="W61" s="6"/>
      <c r="X61" s="6"/>
      <c r="Y61" s="6"/>
      <c r="Z61" s="6"/>
    </row>
    <row r="62" spans="1:26" ht="15.75" customHeight="1">
      <c r="A62" s="6"/>
      <c r="B62" s="2197" t="s">
        <v>1739</v>
      </c>
      <c r="C62" s="2200">
        <f t="shared" si="6"/>
        <v>72.328581799999995</v>
      </c>
      <c r="D62" s="6"/>
      <c r="E62" s="6"/>
      <c r="F62" s="6"/>
      <c r="G62" s="6"/>
      <c r="H62" s="6"/>
      <c r="I62" s="6"/>
      <c r="J62" s="6"/>
      <c r="K62" s="6"/>
      <c r="L62" s="6"/>
      <c r="M62" s="6"/>
      <c r="N62" s="6"/>
      <c r="O62" s="6"/>
      <c r="P62" s="6"/>
      <c r="Q62" s="6"/>
      <c r="R62" s="6"/>
      <c r="S62" s="6"/>
      <c r="T62" s="6"/>
      <c r="U62" s="6"/>
      <c r="V62" s="6"/>
      <c r="W62" s="6"/>
      <c r="X62" s="6"/>
      <c r="Y62" s="6"/>
      <c r="Z62" s="6"/>
    </row>
    <row r="63" spans="1:26" ht="15.75" customHeight="1">
      <c r="A63" s="6"/>
      <c r="B63" s="2204" t="s">
        <v>1740</v>
      </c>
      <c r="C63" s="2202">
        <f t="shared" si="6"/>
        <v>180.82145450000002</v>
      </c>
      <c r="D63" s="6"/>
      <c r="E63" s="6"/>
      <c r="F63" s="6"/>
      <c r="G63" s="6"/>
      <c r="H63" s="6"/>
      <c r="I63" s="6"/>
      <c r="J63" s="6"/>
      <c r="K63" s="6"/>
      <c r="L63" s="6"/>
      <c r="M63" s="6"/>
      <c r="N63" s="6"/>
      <c r="O63" s="6"/>
      <c r="P63" s="6"/>
      <c r="Q63" s="6"/>
      <c r="R63" s="6"/>
      <c r="S63" s="6"/>
      <c r="T63" s="6"/>
      <c r="U63" s="6"/>
      <c r="V63" s="6"/>
      <c r="W63" s="6"/>
      <c r="X63" s="6"/>
      <c r="Y63" s="6"/>
      <c r="Z63" s="6"/>
    </row>
    <row r="64" spans="1:26" ht="15.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4:4" ht="15.75" customHeight="1">
      <c r="D65" s="1" t="s">
        <v>1747</v>
      </c>
    </row>
    <row r="66" spans="4:4" ht="15.75" customHeight="1">
      <c r="D66" s="1452" t="s">
        <v>1748</v>
      </c>
    </row>
    <row r="67" spans="4:4" ht="15.75" customHeight="1"/>
    <row r="68" spans="4:4" ht="15.75" customHeight="1"/>
    <row r="69" spans="4:4" ht="15.75" customHeight="1"/>
    <row r="70" spans="4:4" ht="15.75" customHeight="1"/>
    <row r="71" spans="4:4" ht="15.75" customHeight="1"/>
    <row r="72" spans="4:4" ht="15.75" customHeight="1"/>
    <row r="73" spans="4:4" ht="15.75" customHeight="1"/>
    <row r="74" spans="4:4" ht="15.75" customHeight="1"/>
    <row r="75" spans="4:4" ht="15.75" customHeight="1"/>
    <row r="76" spans="4:4" ht="15.75" customHeight="1"/>
    <row r="77" spans="4:4" ht="15.75" customHeight="1"/>
    <row r="78" spans="4:4" ht="15.75" customHeight="1"/>
    <row r="79" spans="4:4" ht="15.75" customHeight="1"/>
    <row r="80" spans="4: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R6:S6"/>
  </mergeCells>
  <hyperlinks>
    <hyperlink ref="D66" r:id="rId1" xr:uid="{00000000-0004-0000-1600-000000000000}"/>
  </hyperlinks>
  <printOptions gridLines="1"/>
  <pageMargins left="0.33" right="0.23" top="0.28999999999999998" bottom="0.48" header="0" footer="0"/>
  <pageSetup scale="95" orientation="landscape"/>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1000"/>
  <sheetViews>
    <sheetView workbookViewId="0"/>
  </sheetViews>
  <sheetFormatPr defaultColWidth="16.85546875" defaultRowHeight="15" customHeight="1"/>
  <cols>
    <col min="1" max="1" width="3" customWidth="1"/>
    <col min="2" max="2" width="5.7109375" customWidth="1"/>
    <col min="3" max="3" width="59.140625" customWidth="1"/>
    <col min="4" max="4" width="18.7109375" customWidth="1"/>
    <col min="5" max="5" width="12.28515625" customWidth="1"/>
    <col min="6" max="6" width="17.85546875" customWidth="1"/>
    <col min="7" max="7" width="14.140625" customWidth="1"/>
    <col min="8" max="8" width="16.42578125" customWidth="1"/>
    <col min="9" max="9" width="19" customWidth="1"/>
    <col min="10" max="10" width="8.85546875" customWidth="1"/>
    <col min="11" max="11" width="13" customWidth="1"/>
  </cols>
  <sheetData>
    <row r="1" spans="1:11" ht="31.5" customHeight="1">
      <c r="A1" s="134" t="s">
        <v>1312</v>
      </c>
      <c r="B1" s="135"/>
      <c r="D1" s="137"/>
      <c r="G1" s="1"/>
      <c r="H1" s="1"/>
    </row>
    <row r="2" spans="1:11" ht="87" customHeight="1"/>
    <row r="3" spans="1:11" ht="10.199999999999999">
      <c r="D3" s="6" t="s">
        <v>1313</v>
      </c>
    </row>
    <row r="6" spans="1:11" ht="10.199999999999999">
      <c r="C6" s="1262"/>
      <c r="D6" s="1515"/>
      <c r="E6" s="1515"/>
      <c r="F6" s="1515" t="s">
        <v>1314</v>
      </c>
      <c r="G6" s="1515"/>
      <c r="H6" s="1515"/>
      <c r="I6" s="1516"/>
    </row>
    <row r="7" spans="1:11" ht="22.8">
      <c r="C7" s="1517"/>
      <c r="D7" s="1518" t="s">
        <v>519</v>
      </c>
      <c r="E7" s="1518" t="s">
        <v>185</v>
      </c>
      <c r="F7" s="1518"/>
      <c r="G7" s="1518" t="s">
        <v>1315</v>
      </c>
      <c r="H7" s="1518" t="s">
        <v>1316</v>
      </c>
      <c r="I7" s="1519" t="s">
        <v>1317</v>
      </c>
    </row>
    <row r="8" spans="1:11" ht="15.6">
      <c r="B8" s="1520" t="s">
        <v>1318</v>
      </c>
      <c r="C8" s="1521" t="s">
        <v>1319</v>
      </c>
      <c r="D8" s="1522"/>
      <c r="E8" s="1522"/>
      <c r="F8" s="1522"/>
      <c r="G8" s="1522"/>
      <c r="H8" s="1522"/>
      <c r="I8" s="1523"/>
    </row>
    <row r="9" spans="1:11" ht="15.6">
      <c r="B9" s="1524"/>
      <c r="C9" s="1525"/>
      <c r="D9" s="1526"/>
      <c r="E9" s="1526"/>
      <c r="F9" s="1526"/>
      <c r="G9" s="1526"/>
      <c r="H9" s="1526"/>
      <c r="I9" s="1527"/>
    </row>
    <row r="10" spans="1:11" ht="10.199999999999999">
      <c r="C10" s="1528" t="s">
        <v>1320</v>
      </c>
      <c r="D10" s="1529">
        <v>270533</v>
      </c>
      <c r="E10" s="1530" t="s">
        <v>1321</v>
      </c>
      <c r="F10" s="1531"/>
      <c r="G10" s="1529">
        <v>587726.29</v>
      </c>
      <c r="H10" s="1532">
        <f t="shared" ref="H10:I10" si="0">H20-H12-H14-H16</f>
        <v>66.710000000000008</v>
      </c>
      <c r="I10" s="1533">
        <f t="shared" si="0"/>
        <v>9.740000000000002</v>
      </c>
    </row>
    <row r="11" spans="1:11" ht="10.199999999999999">
      <c r="C11" s="1528"/>
      <c r="D11" s="1529"/>
      <c r="E11" s="1529"/>
      <c r="F11" s="1532"/>
      <c r="G11" s="1529"/>
      <c r="H11" s="1531"/>
      <c r="I11" s="1534"/>
    </row>
    <row r="12" spans="1:11" ht="10.199999999999999">
      <c r="C12" s="1535" t="s">
        <v>1322</v>
      </c>
      <c r="D12" s="1529">
        <v>6850</v>
      </c>
      <c r="E12" s="1530" t="s">
        <v>1321</v>
      </c>
      <c r="F12" s="1536">
        <v>0.01</v>
      </c>
      <c r="G12" s="1537">
        <f>G20*F12</f>
        <v>19292.39</v>
      </c>
      <c r="H12" s="1538">
        <v>2.67</v>
      </c>
      <c r="I12" s="1539">
        <v>0.35</v>
      </c>
      <c r="K12" s="488"/>
    </row>
    <row r="13" spans="1:11" ht="10.199999999999999">
      <c r="C13" s="1528"/>
      <c r="D13" s="1529"/>
      <c r="E13" s="1529"/>
      <c r="F13" s="1532"/>
      <c r="G13" s="1529"/>
      <c r="H13" s="1531"/>
      <c r="I13" s="1534"/>
    </row>
    <row r="14" spans="1:11" ht="10.199999999999999">
      <c r="C14" s="1528" t="s">
        <v>1323</v>
      </c>
      <c r="D14" s="1529">
        <v>315658.3884</v>
      </c>
      <c r="E14" s="1529" t="s">
        <v>1088</v>
      </c>
      <c r="F14" s="1531"/>
      <c r="G14" s="1529">
        <v>4778.3350808639998</v>
      </c>
      <c r="H14" s="1540">
        <v>0.13</v>
      </c>
      <c r="I14" s="1533">
        <v>0.03</v>
      </c>
      <c r="K14" s="340"/>
    </row>
    <row r="15" spans="1:11" ht="10.199999999999999">
      <c r="C15" s="1528"/>
      <c r="D15" s="1529"/>
      <c r="E15" s="1529"/>
      <c r="F15" s="1531"/>
      <c r="G15" s="1541"/>
      <c r="H15" s="1541"/>
      <c r="I15" s="1542"/>
    </row>
    <row r="16" spans="1:11" ht="13.2">
      <c r="C16" s="1528" t="s">
        <v>1324</v>
      </c>
      <c r="D16" s="1529">
        <v>4335</v>
      </c>
      <c r="E16" s="1529" t="s">
        <v>1325</v>
      </c>
      <c r="F16" s="1531"/>
      <c r="G16" s="1543">
        <v>33967.650235176814</v>
      </c>
      <c r="H16" s="1532">
        <v>7.0000000000000007E-2</v>
      </c>
      <c r="I16" s="1544">
        <v>0.01</v>
      </c>
    </row>
    <row r="17" spans="3:11" ht="13.2">
      <c r="C17" s="1545"/>
      <c r="D17" s="1546"/>
      <c r="E17" s="1546"/>
      <c r="F17" s="1547"/>
      <c r="G17" s="1548"/>
      <c r="H17" s="1549"/>
      <c r="I17" s="1550"/>
    </row>
    <row r="18" spans="3:11" ht="13.2">
      <c r="C18" s="1551" t="s">
        <v>1326</v>
      </c>
      <c r="D18" s="1552"/>
      <c r="E18" s="1552"/>
      <c r="F18" s="1553"/>
      <c r="G18" s="1554">
        <f t="shared" ref="G18:I18" si="1">G10+G12+G14+G16</f>
        <v>645764.66531604086</v>
      </c>
      <c r="H18" s="1555">
        <f t="shared" si="1"/>
        <v>69.58</v>
      </c>
      <c r="I18" s="1556">
        <f t="shared" si="1"/>
        <v>10.130000000000001</v>
      </c>
    </row>
    <row r="19" spans="3:11" ht="13.2">
      <c r="C19" s="1557"/>
      <c r="D19" s="1558"/>
      <c r="E19" s="1558"/>
      <c r="F19" s="1559"/>
      <c r="G19" s="1560"/>
      <c r="H19" s="1561"/>
      <c r="I19" s="1562"/>
    </row>
    <row r="20" spans="3:11" ht="11.4">
      <c r="C20" s="1563" t="s">
        <v>1327</v>
      </c>
      <c r="D20" s="1564"/>
      <c r="E20" s="1564"/>
      <c r="F20" s="1565"/>
      <c r="G20" s="1566">
        <v>1929239</v>
      </c>
      <c r="H20" s="1567">
        <v>69.58</v>
      </c>
      <c r="I20" s="1568">
        <v>10.130000000000001</v>
      </c>
      <c r="K20" s="340"/>
    </row>
    <row r="21" spans="3:11" ht="15.75" customHeight="1">
      <c r="C21" s="1557"/>
      <c r="D21" s="1558"/>
      <c r="E21" s="1558"/>
      <c r="F21" s="1559"/>
      <c r="G21" s="1569"/>
      <c r="H21" s="1569"/>
      <c r="I21" s="1570"/>
    </row>
    <row r="22" spans="3:11" ht="15.75" customHeight="1">
      <c r="C22" s="1571" t="s">
        <v>1328</v>
      </c>
      <c r="D22" s="1572"/>
      <c r="E22" s="1572"/>
      <c r="F22" s="1573"/>
      <c r="G22" s="1572">
        <f>G20-G18</f>
        <v>1283474.3346839591</v>
      </c>
      <c r="H22" s="1574"/>
      <c r="I22" s="1575"/>
    </row>
    <row r="23" spans="3:11" ht="15.75" customHeight="1">
      <c r="C23" s="1576"/>
      <c r="D23" s="1577"/>
      <c r="E23" s="1577"/>
      <c r="F23" s="1578"/>
      <c r="G23" s="1577"/>
      <c r="H23" s="1579"/>
      <c r="I23" s="1580"/>
    </row>
    <row r="24" spans="3:11" ht="15.75" customHeight="1">
      <c r="C24" s="1581" t="s">
        <v>1329</v>
      </c>
      <c r="D24" s="1582"/>
      <c r="E24" s="1582"/>
      <c r="F24" s="1583"/>
      <c r="G24" s="1582"/>
      <c r="H24" s="1584"/>
      <c r="I24" s="1585"/>
    </row>
    <row r="25" spans="3:11" ht="15.75" customHeight="1">
      <c r="C25" s="1586"/>
      <c r="D25" s="1587"/>
      <c r="E25" s="1587"/>
      <c r="F25" s="1588"/>
      <c r="G25" s="1587"/>
      <c r="H25" s="1569"/>
      <c r="I25" s="1570"/>
    </row>
    <row r="26" spans="3:11" ht="15.75" customHeight="1">
      <c r="C26" s="1589" t="s">
        <v>1330</v>
      </c>
      <c r="D26" s="1590">
        <v>6886.65</v>
      </c>
      <c r="E26" s="1590" t="s">
        <v>245</v>
      </c>
      <c r="F26" s="1591"/>
      <c r="G26" s="1592">
        <v>738.44</v>
      </c>
      <c r="H26" s="1593">
        <v>0.03</v>
      </c>
      <c r="I26" s="1594">
        <v>6.0000000000000001E-3</v>
      </c>
    </row>
    <row r="27" spans="3:11" ht="15.75" customHeight="1">
      <c r="C27" s="1595"/>
      <c r="D27" s="1558"/>
      <c r="E27" s="1558"/>
      <c r="F27" s="1588"/>
      <c r="G27" s="1569"/>
      <c r="H27" s="1569"/>
      <c r="I27" s="1570"/>
    </row>
    <row r="28" spans="3:11" ht="15.75" customHeight="1">
      <c r="C28" s="1596" t="s">
        <v>1331</v>
      </c>
      <c r="D28" s="1597"/>
      <c r="E28" s="1597"/>
      <c r="F28" s="1598"/>
      <c r="G28" s="1599">
        <f>G20+G26</f>
        <v>1929977.44</v>
      </c>
      <c r="H28" s="1599">
        <f t="shared" ref="H28:I28" si="2">H26+H20</f>
        <v>69.61</v>
      </c>
      <c r="I28" s="1600">
        <f t="shared" si="2"/>
        <v>10.136000000000001</v>
      </c>
    </row>
    <row r="29" spans="3:11" ht="15.75" customHeight="1">
      <c r="C29" s="1586"/>
      <c r="D29" s="1558"/>
      <c r="E29" s="1558"/>
      <c r="F29" s="1588"/>
      <c r="G29" s="1569"/>
      <c r="H29" s="1569"/>
      <c r="I29" s="1570"/>
    </row>
    <row r="30" spans="3:11" ht="15.75" customHeight="1">
      <c r="C30" s="1601"/>
      <c r="D30" s="1602"/>
      <c r="E30" s="1603" t="s">
        <v>1332</v>
      </c>
      <c r="F30" s="1604"/>
      <c r="G30" s="1605"/>
      <c r="H30" s="1605"/>
      <c r="I30" s="1606"/>
    </row>
    <row r="31" spans="3:11" ht="15.75" customHeight="1">
      <c r="C31" s="1586"/>
      <c r="D31" s="1558"/>
      <c r="E31" s="1558"/>
      <c r="F31" s="1588"/>
      <c r="G31" s="1569"/>
      <c r="H31" s="1569"/>
      <c r="I31" s="1570"/>
    </row>
    <row r="32" spans="3:11" ht="15.75" customHeight="1">
      <c r="C32" s="1595"/>
      <c r="D32" s="1558"/>
      <c r="E32" s="1558"/>
      <c r="F32" s="1588"/>
      <c r="G32" s="1569"/>
      <c r="H32" s="1569"/>
      <c r="I32" s="1570"/>
    </row>
    <row r="33" spans="2:9" ht="15.75" customHeight="1">
      <c r="C33" s="1551" t="s">
        <v>1333</v>
      </c>
      <c r="D33" s="1552"/>
      <c r="E33" s="1552"/>
      <c r="F33" s="1553"/>
      <c r="G33" s="1554">
        <f t="shared" ref="G33:I33" si="3">G18*1.10249937</f>
        <v>711955.13667919592</v>
      </c>
      <c r="H33" s="1555">
        <f t="shared" si="3"/>
        <v>76.711906164600009</v>
      </c>
      <c r="I33" s="1556">
        <f t="shared" si="3"/>
        <v>11.168318618100002</v>
      </c>
    </row>
    <row r="34" spans="2:9" ht="15.75" customHeight="1">
      <c r="C34" s="1607"/>
      <c r="D34" s="1558"/>
      <c r="E34" s="1558"/>
      <c r="F34" s="1559"/>
      <c r="G34" s="1560"/>
      <c r="H34" s="1561"/>
      <c r="I34" s="1562"/>
    </row>
    <row r="35" spans="2:9" ht="15.75" customHeight="1">
      <c r="C35" s="1608" t="s">
        <v>1334</v>
      </c>
      <c r="D35" s="1564"/>
      <c r="E35" s="1564"/>
      <c r="F35" s="1565"/>
      <c r="G35" s="1609">
        <f t="shared" ref="G35:I35" si="4">G20*1.10249937</f>
        <v>2126984.7820794303</v>
      </c>
      <c r="H35" s="1610">
        <f t="shared" si="4"/>
        <v>76.711906164600009</v>
      </c>
      <c r="I35" s="1611">
        <f t="shared" si="4"/>
        <v>11.168318618100002</v>
      </c>
    </row>
    <row r="36" spans="2:9" ht="15.75" customHeight="1">
      <c r="C36" s="1545"/>
      <c r="D36" s="1558"/>
      <c r="E36" s="1558"/>
      <c r="F36" s="1559"/>
      <c r="G36" s="1569"/>
      <c r="H36" s="1569"/>
      <c r="I36" s="1570"/>
    </row>
    <row r="37" spans="2:9" ht="15.75" customHeight="1">
      <c r="C37" s="1612" t="s">
        <v>1335</v>
      </c>
      <c r="D37" s="1572"/>
      <c r="E37" s="1572"/>
      <c r="F37" s="1573"/>
      <c r="G37" s="1572">
        <f>G22*1.10249937</f>
        <v>1415029.6454002343</v>
      </c>
      <c r="H37" s="1574"/>
      <c r="I37" s="1575"/>
    </row>
    <row r="38" spans="2:9" ht="15.75" customHeight="1">
      <c r="C38" s="1613"/>
      <c r="D38" s="1587"/>
      <c r="E38" s="1587"/>
      <c r="F38" s="1588"/>
      <c r="G38" s="1587"/>
      <c r="H38" s="1569"/>
      <c r="I38" s="1570"/>
    </row>
    <row r="39" spans="2:9" ht="15.75" customHeight="1">
      <c r="C39" s="1596" t="s">
        <v>1336</v>
      </c>
      <c r="D39" s="1597"/>
      <c r="E39" s="1597"/>
      <c r="F39" s="1598"/>
      <c r="G39" s="1599">
        <f>G28*1.10249937</f>
        <v>2127798.911714213</v>
      </c>
      <c r="H39" s="1599">
        <f t="shared" ref="H39:I39" si="5">H28*1.1023</f>
        <v>76.731103000000004</v>
      </c>
      <c r="I39" s="1600">
        <f t="shared" si="5"/>
        <v>11.172912800000002</v>
      </c>
    </row>
    <row r="40" spans="2:9" ht="15.75" customHeight="1">
      <c r="C40" s="1614"/>
      <c r="D40" s="1058"/>
      <c r="E40" s="1058"/>
      <c r="F40" s="1058"/>
      <c r="G40" s="1058"/>
      <c r="H40" s="1058"/>
      <c r="I40" s="1615"/>
    </row>
    <row r="41" spans="2:9" ht="15.75" customHeight="1">
      <c r="C41" s="414"/>
      <c r="D41" s="1"/>
      <c r="E41" s="1"/>
      <c r="F41" s="1"/>
      <c r="G41" s="1"/>
      <c r="H41" s="1"/>
      <c r="I41" s="1282"/>
    </row>
    <row r="42" spans="2:9" ht="15.75" customHeight="1">
      <c r="C42" s="414"/>
      <c r="D42" s="1"/>
      <c r="E42" s="1"/>
      <c r="F42" s="1"/>
      <c r="G42" s="1"/>
      <c r="H42" s="1"/>
      <c r="I42" s="1282"/>
    </row>
    <row r="43" spans="2:9" ht="15.75" customHeight="1">
      <c r="B43" s="1520" t="s">
        <v>1337</v>
      </c>
      <c r="C43" s="1616" t="s">
        <v>1338</v>
      </c>
      <c r="D43" s="1617"/>
      <c r="E43" s="1617"/>
      <c r="F43" s="1618"/>
      <c r="G43" s="1617"/>
      <c r="H43" s="1617"/>
      <c r="I43" s="1619"/>
    </row>
    <row r="44" spans="2:9" ht="15.75" customHeight="1">
      <c r="C44" s="1620"/>
      <c r="D44" s="1621" t="s">
        <v>519</v>
      </c>
      <c r="E44" s="1621" t="s">
        <v>185</v>
      </c>
      <c r="F44" s="381"/>
      <c r="G44" s="1621" t="s">
        <v>1339</v>
      </c>
      <c r="H44" s="1621" t="s">
        <v>1340</v>
      </c>
      <c r="I44" s="1622" t="s">
        <v>1341</v>
      </c>
    </row>
    <row r="45" spans="2:9" ht="15.75" customHeight="1">
      <c r="C45" s="1623" t="s">
        <v>1342</v>
      </c>
      <c r="D45" s="1624"/>
      <c r="E45" s="1624"/>
      <c r="F45" s="1625"/>
      <c r="G45" s="1624"/>
      <c r="H45" s="1624"/>
      <c r="I45" s="1626"/>
    </row>
    <row r="46" spans="2:9" ht="15.75" customHeight="1">
      <c r="C46" s="1627"/>
      <c r="D46" s="1628"/>
      <c r="E46" s="1628"/>
      <c r="F46" s="381"/>
      <c r="G46" s="1628"/>
      <c r="H46" s="1628"/>
      <c r="I46" s="1629"/>
    </row>
    <row r="47" spans="2:9" ht="15.75" customHeight="1">
      <c r="C47" s="1528" t="s">
        <v>1320</v>
      </c>
      <c r="D47" s="1630">
        <f>60900*1.1023</f>
        <v>67130.070000000007</v>
      </c>
      <c r="E47" s="1530" t="s">
        <v>1343</v>
      </c>
      <c r="F47" s="381"/>
      <c r="G47" s="1531">
        <v>147680</v>
      </c>
      <c r="H47" s="1532">
        <v>1.56</v>
      </c>
      <c r="I47" s="1544">
        <v>2.33</v>
      </c>
    </row>
    <row r="48" spans="2:9" ht="15.75" customHeight="1">
      <c r="C48" s="1528"/>
      <c r="D48" s="1529"/>
      <c r="E48" s="1530"/>
      <c r="F48" s="381"/>
      <c r="G48" s="1531"/>
      <c r="H48" s="1532"/>
      <c r="I48" s="1544"/>
    </row>
    <row r="49" spans="3:9" ht="15.75" customHeight="1">
      <c r="C49" s="1528" t="s">
        <v>1323</v>
      </c>
      <c r="D49" s="1630">
        <f>(677*2204.6)/7.55</f>
        <v>197684</v>
      </c>
      <c r="E49" s="1529" t="s">
        <v>1088</v>
      </c>
      <c r="F49" s="381"/>
      <c r="G49" s="1531">
        <v>1804</v>
      </c>
      <c r="H49" s="1541">
        <v>0.02</v>
      </c>
      <c r="I49" s="1544">
        <v>0.04</v>
      </c>
    </row>
    <row r="50" spans="3:9" ht="15.75" customHeight="1">
      <c r="C50" s="1528"/>
      <c r="D50" s="1529"/>
      <c r="E50" s="1529"/>
      <c r="F50" s="381"/>
      <c r="G50" s="1532"/>
      <c r="H50" s="1529"/>
      <c r="I50" s="1542"/>
    </row>
    <row r="51" spans="3:9" ht="15.75" customHeight="1">
      <c r="C51" s="1528" t="s">
        <v>1344</v>
      </c>
      <c r="D51" s="1630">
        <f>1743*1.1023</f>
        <v>1921.3089</v>
      </c>
      <c r="E51" s="1530" t="s">
        <v>1343</v>
      </c>
      <c r="F51" s="381"/>
      <c r="G51" s="1531">
        <v>5368</v>
      </c>
      <c r="H51" s="1532">
        <v>0.05</v>
      </c>
      <c r="I51" s="1544">
        <v>7.0000000000000007E-2</v>
      </c>
    </row>
    <row r="52" spans="3:9" ht="15.75" customHeight="1">
      <c r="C52" s="1528"/>
      <c r="D52" s="1546"/>
      <c r="E52" s="1546"/>
      <c r="F52" s="384"/>
      <c r="G52" s="1549"/>
      <c r="H52" s="1546"/>
      <c r="I52" s="1631"/>
    </row>
    <row r="53" spans="3:9" ht="15.75" customHeight="1">
      <c r="C53" s="1632" t="s">
        <v>1345</v>
      </c>
      <c r="D53" s="1633"/>
      <c r="E53" s="1633"/>
      <c r="F53" s="1634"/>
      <c r="G53" s="1635">
        <f t="shared" ref="G53:I53" si="6">G47+G49+G51</f>
        <v>154852</v>
      </c>
      <c r="H53" s="1636">
        <f t="shared" si="6"/>
        <v>1.6300000000000001</v>
      </c>
      <c r="I53" s="1637">
        <f t="shared" si="6"/>
        <v>2.44</v>
      </c>
    </row>
    <row r="54" spans="3:9" ht="15.75" customHeight="1">
      <c r="C54" s="1528"/>
      <c r="D54" s="1638"/>
      <c r="E54" s="1638"/>
      <c r="F54" s="1639"/>
      <c r="G54" s="1577"/>
      <c r="H54" s="1577"/>
      <c r="I54" s="1640"/>
    </row>
    <row r="55" spans="3:9" ht="15.75" customHeight="1">
      <c r="C55" s="1641" t="s">
        <v>1346</v>
      </c>
      <c r="D55" s="1642"/>
      <c r="E55" s="1642"/>
      <c r="F55" s="1643"/>
      <c r="G55" s="1644"/>
      <c r="H55" s="1645"/>
      <c r="I55" s="1646"/>
    </row>
    <row r="56" spans="3:9" ht="15.75" customHeight="1">
      <c r="C56" s="1595"/>
      <c r="D56" s="1558"/>
      <c r="E56" s="1558"/>
      <c r="F56" s="1"/>
      <c r="G56" s="1647"/>
      <c r="H56" s="1587"/>
      <c r="I56" s="1648"/>
    </row>
    <row r="57" spans="3:9" ht="15.75" customHeight="1">
      <c r="C57" s="1649" t="s">
        <v>1347</v>
      </c>
      <c r="D57" s="1650">
        <v>0</v>
      </c>
      <c r="E57" s="1590" t="s">
        <v>1088</v>
      </c>
      <c r="F57" s="1651"/>
      <c r="G57" s="1652">
        <v>0</v>
      </c>
      <c r="H57" s="1652">
        <v>0</v>
      </c>
      <c r="I57" s="1653">
        <v>0</v>
      </c>
    </row>
    <row r="58" spans="3:9" ht="15.75" customHeight="1">
      <c r="C58" s="1595"/>
      <c r="D58" s="1558"/>
      <c r="E58" s="1558"/>
      <c r="F58" s="1"/>
      <c r="G58" s="1647"/>
      <c r="H58" s="1587"/>
      <c r="I58" s="1648"/>
    </row>
    <row r="59" spans="3:9" ht="15.75" customHeight="1">
      <c r="C59" s="1654" t="s">
        <v>1348</v>
      </c>
      <c r="D59" s="1564"/>
      <c r="E59" s="1564"/>
      <c r="F59" s="1655"/>
      <c r="G59" s="1566">
        <v>383002</v>
      </c>
      <c r="H59" s="1567">
        <v>16.883559999999999</v>
      </c>
      <c r="I59" s="1656">
        <v>0</v>
      </c>
    </row>
    <row r="60" spans="3:9" ht="15.75" customHeight="1">
      <c r="C60" s="1657"/>
      <c r="D60" s="1558"/>
      <c r="E60" s="1558"/>
      <c r="F60" s="1"/>
      <c r="G60" s="1588"/>
      <c r="H60" s="1587"/>
      <c r="I60" s="1648"/>
    </row>
    <row r="61" spans="3:9" ht="15.75" customHeight="1">
      <c r="C61" s="1658" t="s">
        <v>1349</v>
      </c>
      <c r="D61" s="1633"/>
      <c r="E61" s="1633"/>
      <c r="F61" s="1634"/>
      <c r="G61" s="1659">
        <f t="shared" ref="G61:I61" si="7">G53</f>
        <v>154852</v>
      </c>
      <c r="H61" s="1660">
        <f t="shared" si="7"/>
        <v>1.6300000000000001</v>
      </c>
      <c r="I61" s="1637">
        <f t="shared" si="7"/>
        <v>2.44</v>
      </c>
    </row>
    <row r="62" spans="3:9" ht="15.75" customHeight="1">
      <c r="C62" s="1595"/>
      <c r="D62" s="1558"/>
      <c r="E62" s="1558"/>
      <c r="F62" s="1"/>
      <c r="G62" s="1647"/>
      <c r="H62" s="1587"/>
      <c r="I62" s="1648"/>
    </row>
    <row r="63" spans="3:9" ht="15.75" customHeight="1">
      <c r="C63" s="1661" t="s">
        <v>1350</v>
      </c>
      <c r="D63" s="1662"/>
      <c r="E63" s="1662"/>
      <c r="F63" s="1663"/>
      <c r="G63" s="1572">
        <f>G59-G61</f>
        <v>228150</v>
      </c>
      <c r="H63" s="1572">
        <v>51.633558473950004</v>
      </c>
      <c r="I63" s="1664">
        <v>7.4036724867899988</v>
      </c>
    </row>
    <row r="64" spans="3:9" ht="15.75" customHeight="1">
      <c r="C64" s="1595"/>
      <c r="D64" s="1558"/>
      <c r="E64" s="1558"/>
      <c r="F64" s="1"/>
      <c r="G64" s="1647"/>
      <c r="H64" s="1587"/>
      <c r="I64" s="1648"/>
    </row>
    <row r="65" spans="2:9" ht="15.75" customHeight="1">
      <c r="C65" s="1665" t="s">
        <v>1351</v>
      </c>
      <c r="D65" s="1597"/>
      <c r="E65" s="1597"/>
      <c r="F65" s="1666"/>
      <c r="G65" s="1667">
        <f t="shared" ref="G65:H65" si="8">G59+G57</f>
        <v>383002</v>
      </c>
      <c r="H65" s="1667">
        <f t="shared" si="8"/>
        <v>16.883559999999999</v>
      </c>
      <c r="I65" s="1668">
        <f>I61+I57</f>
        <v>2.44</v>
      </c>
    </row>
    <row r="66" spans="2:9" ht="15.75" customHeight="1">
      <c r="C66" s="1669"/>
      <c r="D66" s="1558"/>
      <c r="E66" s="1558"/>
      <c r="F66" s="1"/>
      <c r="G66" s="1647"/>
      <c r="H66" s="1647"/>
      <c r="I66" s="1670"/>
    </row>
    <row r="67" spans="2:9" ht="15.75" customHeight="1">
      <c r="C67" s="1671"/>
      <c r="D67" s="1602"/>
      <c r="E67" s="1603" t="s">
        <v>1332</v>
      </c>
      <c r="F67" s="139"/>
      <c r="G67" s="1672"/>
      <c r="H67" s="1672"/>
      <c r="I67" s="1673"/>
    </row>
    <row r="68" spans="2:9" ht="15.75" customHeight="1">
      <c r="C68" s="1669"/>
      <c r="D68" s="1558"/>
      <c r="E68" s="1558"/>
      <c r="F68" s="1"/>
      <c r="G68" s="1647"/>
      <c r="H68" s="1647"/>
      <c r="I68" s="1670"/>
    </row>
    <row r="69" spans="2:9" ht="15.75" customHeight="1">
      <c r="C69" s="1669"/>
      <c r="D69" s="1558"/>
      <c r="E69" s="1558"/>
      <c r="F69" s="1"/>
      <c r="G69" s="1647"/>
      <c r="H69" s="1587"/>
      <c r="I69" s="1648"/>
    </row>
    <row r="70" spans="2:9" ht="15.75" customHeight="1">
      <c r="C70" s="1654" t="s">
        <v>1352</v>
      </c>
      <c r="D70" s="1674"/>
      <c r="E70" s="1674"/>
      <c r="F70" s="1655"/>
      <c r="G70" s="1675">
        <f t="shared" ref="G70:I70" si="9">G59*1.102312065</f>
        <v>422187.72551913001</v>
      </c>
      <c r="H70" s="1676">
        <f t="shared" si="9"/>
        <v>18.610951888151398</v>
      </c>
      <c r="I70" s="1677">
        <f t="shared" si="9"/>
        <v>0</v>
      </c>
    </row>
    <row r="71" spans="2:9" ht="15.75" customHeight="1">
      <c r="C71" s="1657"/>
      <c r="D71" s="1558"/>
      <c r="E71" s="1558"/>
      <c r="F71" s="1"/>
      <c r="G71" s="1647"/>
      <c r="H71" s="1587"/>
      <c r="I71" s="1648"/>
    </row>
    <row r="72" spans="2:9" ht="15.75" customHeight="1">
      <c r="C72" s="1658" t="s">
        <v>1353</v>
      </c>
      <c r="D72" s="1633"/>
      <c r="E72" s="1633"/>
      <c r="F72" s="1634"/>
      <c r="G72" s="1660">
        <f t="shared" ref="G72:I72" si="10">G53*1.102312065</f>
        <v>170695.22788938001</v>
      </c>
      <c r="H72" s="1635">
        <f t="shared" si="10"/>
        <v>1.7967686659500002</v>
      </c>
      <c r="I72" s="1678">
        <f t="shared" si="10"/>
        <v>2.6896414385999998</v>
      </c>
    </row>
    <row r="73" spans="2:9" ht="15.75" customHeight="1">
      <c r="C73" s="1595"/>
      <c r="D73" s="1558"/>
      <c r="E73" s="1558"/>
      <c r="F73" s="1"/>
      <c r="G73" s="1647"/>
      <c r="H73" s="1587"/>
      <c r="I73" s="1648"/>
    </row>
    <row r="74" spans="2:9" ht="15.75" customHeight="1">
      <c r="C74" s="1661" t="s">
        <v>1354</v>
      </c>
      <c r="D74" s="1662"/>
      <c r="E74" s="1662"/>
      <c r="F74" s="1663"/>
      <c r="G74" s="1679">
        <f t="shared" ref="G74:I74" si="11">G63*1.1023</f>
        <v>251489.74500000002</v>
      </c>
      <c r="H74" s="1572">
        <f t="shared" si="11"/>
        <v>56.915671505835093</v>
      </c>
      <c r="I74" s="1664">
        <f t="shared" si="11"/>
        <v>8.1610681821886164</v>
      </c>
    </row>
    <row r="75" spans="2:9" ht="15.75" customHeight="1">
      <c r="C75" s="1595"/>
      <c r="D75" s="1558"/>
      <c r="E75" s="1558"/>
      <c r="F75" s="1"/>
      <c r="G75" s="1647"/>
      <c r="H75" s="1587"/>
      <c r="I75" s="1648"/>
    </row>
    <row r="76" spans="2:9" ht="15.75" customHeight="1">
      <c r="C76" s="1665" t="s">
        <v>1355</v>
      </c>
      <c r="D76" s="1597"/>
      <c r="E76" s="1597"/>
      <c r="F76" s="1666"/>
      <c r="G76" s="1667">
        <f t="shared" ref="G76:I76" si="12">G65*1.1023</f>
        <v>422183.10460000002</v>
      </c>
      <c r="H76" s="1667">
        <f t="shared" si="12"/>
        <v>18.610748187999999</v>
      </c>
      <c r="I76" s="1668">
        <f t="shared" si="12"/>
        <v>2.6896119999999999</v>
      </c>
    </row>
    <row r="77" spans="2:9" ht="15.75" customHeight="1">
      <c r="C77" s="1680"/>
      <c r="D77" s="918"/>
      <c r="E77" s="918"/>
      <c r="F77" s="1681"/>
      <c r="G77" s="918"/>
      <c r="H77" s="918"/>
      <c r="I77" s="1682"/>
    </row>
    <row r="78" spans="2:9" ht="15.75" customHeight="1">
      <c r="C78" s="414"/>
      <c r="D78" s="1"/>
      <c r="E78" s="1"/>
      <c r="F78" s="1"/>
      <c r="G78" s="1"/>
      <c r="H78" s="1"/>
      <c r="I78" s="1282"/>
    </row>
    <row r="79" spans="2:9" ht="15.75" customHeight="1">
      <c r="C79" s="414"/>
      <c r="D79" s="1"/>
      <c r="E79" s="1"/>
      <c r="F79" s="1"/>
      <c r="G79" s="1"/>
      <c r="H79" s="1"/>
      <c r="I79" s="1282"/>
    </row>
    <row r="80" spans="2:9" ht="15.75" customHeight="1">
      <c r="B80" s="1520" t="s">
        <v>1356</v>
      </c>
      <c r="C80" s="1683" t="s">
        <v>1357</v>
      </c>
      <c r="D80" s="1684"/>
      <c r="E80" s="1684"/>
      <c r="F80" s="1684"/>
      <c r="G80" s="1685">
        <f>G74+G37</f>
        <v>1666519.3904002344</v>
      </c>
      <c r="H80" s="1"/>
      <c r="I80" s="1282"/>
    </row>
    <row r="81" spans="3:9" ht="15.75" customHeight="1">
      <c r="C81" s="1686"/>
      <c r="D81" s="1"/>
      <c r="E81" s="1"/>
      <c r="F81" s="1"/>
      <c r="G81" s="1687"/>
      <c r="H81" s="1"/>
      <c r="I81" s="1282"/>
    </row>
    <row r="82" spans="3:9" ht="15.75" customHeight="1">
      <c r="C82" s="1683" t="s">
        <v>1358</v>
      </c>
      <c r="D82" s="1"/>
      <c r="E82" s="1"/>
      <c r="F82" s="1"/>
      <c r="G82" s="1688">
        <f>G80*0.907184</f>
        <v>1511839.7266608463</v>
      </c>
      <c r="H82" s="1"/>
      <c r="I82" s="1282"/>
    </row>
    <row r="83" spans="3:9" ht="15.75" customHeight="1">
      <c r="C83" s="1686"/>
      <c r="D83" s="1"/>
      <c r="E83" s="1"/>
      <c r="F83" s="1"/>
      <c r="H83" s="1"/>
      <c r="I83" s="1282"/>
    </row>
    <row r="84" spans="3:9" ht="15.75" customHeight="1">
      <c r="C84" s="1683" t="s">
        <v>1359</v>
      </c>
      <c r="D84" s="1"/>
      <c r="E84" s="1"/>
      <c r="F84" s="1"/>
      <c r="G84" s="1687">
        <f>G82/1000000</f>
        <v>1.5118397266608463</v>
      </c>
      <c r="H84" s="1"/>
      <c r="I84" s="1282"/>
    </row>
    <row r="85" spans="3:9" ht="15.75" customHeight="1">
      <c r="C85" s="1686"/>
      <c r="D85" s="1"/>
      <c r="E85" s="1"/>
      <c r="F85" s="1"/>
      <c r="G85" s="1687"/>
      <c r="H85" s="1"/>
      <c r="I85" s="1282"/>
    </row>
    <row r="86" spans="3:9" ht="15.75" customHeight="1">
      <c r="C86" s="425"/>
      <c r="D86" s="1227"/>
      <c r="E86" s="1227"/>
      <c r="F86" s="1227"/>
      <c r="G86" s="1227"/>
      <c r="H86" s="1227"/>
      <c r="I86" s="1689"/>
    </row>
    <row r="87" spans="3:9" ht="15.75" customHeight="1"/>
    <row r="88" spans="3:9" ht="15.75" customHeight="1"/>
    <row r="89" spans="3:9" ht="15.75" customHeight="1"/>
    <row r="90" spans="3:9" ht="15.75" customHeight="1"/>
    <row r="91" spans="3:9" ht="15.75" customHeight="1"/>
    <row r="92" spans="3:9" ht="15.75" customHeight="1"/>
    <row r="93" spans="3:9" ht="15.75" customHeight="1"/>
    <row r="94" spans="3:9" ht="15.75" customHeight="1"/>
    <row r="95" spans="3:9" ht="15.75" customHeight="1"/>
    <row r="96" spans="3:9"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gridLines="1"/>
  <pageMargins left="0.34" right="0.16" top="0.21" bottom="0.25" header="0" footer="0"/>
  <pageSetup orientation="landscape"/>
  <rowBreaks count="1" manualBreakCount="1">
    <brk id="40" man="1"/>
  </rowBreaks>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1000"/>
  <sheetViews>
    <sheetView topLeftCell="H1" workbookViewId="0"/>
  </sheetViews>
  <sheetFormatPr defaultColWidth="16.85546875" defaultRowHeight="15" customHeight="1"/>
  <cols>
    <col min="1" max="2" width="8.85546875" customWidth="1"/>
    <col min="3" max="3" width="35.28515625" customWidth="1"/>
    <col min="4" max="4" width="19.7109375" customWidth="1"/>
    <col min="5" max="5" width="3.85546875" customWidth="1"/>
    <col min="6" max="6" width="15.85546875" customWidth="1"/>
    <col min="7" max="7" width="3.85546875" customWidth="1"/>
    <col min="8" max="8" width="16.7109375" customWidth="1"/>
    <col min="9" max="9" width="3.85546875" customWidth="1"/>
    <col min="10" max="10" width="15" customWidth="1"/>
    <col min="11" max="11" width="8.85546875" customWidth="1"/>
    <col min="12" max="12" width="13.140625" customWidth="1"/>
    <col min="13" max="19" width="8.85546875" customWidth="1"/>
    <col min="20" max="20" width="41" customWidth="1"/>
    <col min="21" max="26" width="8.85546875" customWidth="1"/>
  </cols>
  <sheetData>
    <row r="1" spans="1:35" ht="32.4">
      <c r="A1" s="1453" t="s">
        <v>1251</v>
      </c>
      <c r="N1" s="137"/>
    </row>
    <row r="2" spans="1:35" ht="213" customHeight="1">
      <c r="A2" s="1"/>
      <c r="B2" s="1454"/>
      <c r="C2" s="1"/>
      <c r="D2" s="1"/>
      <c r="E2" s="1"/>
      <c r="F2" s="1"/>
      <c r="G2" s="1"/>
      <c r="H2" s="1"/>
      <c r="I2" s="1"/>
      <c r="J2" s="1"/>
      <c r="K2" s="1"/>
      <c r="L2" s="1"/>
      <c r="M2" s="1"/>
      <c r="N2" s="1"/>
      <c r="O2" s="1"/>
      <c r="P2" s="1"/>
      <c r="Q2" s="1"/>
      <c r="R2" s="1"/>
      <c r="S2" s="1"/>
      <c r="T2" s="1"/>
      <c r="U2" s="1"/>
      <c r="V2" s="1"/>
      <c r="W2" s="1"/>
      <c r="X2" s="1"/>
      <c r="Y2" s="1"/>
      <c r="Z2" s="1"/>
    </row>
    <row r="3" spans="1:35" ht="13.2">
      <c r="A3" s="1"/>
      <c r="B3" s="1454"/>
      <c r="C3" s="935"/>
      <c r="D3" s="935"/>
      <c r="E3" s="935"/>
      <c r="F3" s="935"/>
      <c r="G3" s="935"/>
      <c r="H3" s="935"/>
      <c r="I3" s="935"/>
      <c r="J3" s="935"/>
      <c r="K3" s="935"/>
      <c r="L3" s="935"/>
      <c r="M3" s="1"/>
      <c r="N3" s="1"/>
      <c r="O3" s="1"/>
      <c r="P3" s="1"/>
      <c r="Q3" s="1"/>
      <c r="R3" s="1"/>
      <c r="S3" s="1"/>
      <c r="T3" s="1"/>
      <c r="U3" s="1"/>
      <c r="V3" s="1"/>
      <c r="W3" s="1"/>
      <c r="X3" s="1"/>
      <c r="Y3" s="1"/>
      <c r="Z3" s="1"/>
    </row>
    <row r="4" spans="1:35" ht="19.8">
      <c r="A4" s="1"/>
      <c r="B4" s="1"/>
      <c r="C4" s="1455" t="s">
        <v>1252</v>
      </c>
      <c r="D4" s="1456"/>
      <c r="E4" s="1456"/>
      <c r="F4" s="1456"/>
      <c r="G4" s="1456"/>
      <c r="H4" s="1456"/>
      <c r="I4" s="1456"/>
      <c r="J4" s="1456"/>
      <c r="K4" s="1456"/>
      <c r="L4" s="1457"/>
      <c r="M4" s="1"/>
      <c r="N4" s="1"/>
      <c r="O4" s="1"/>
      <c r="P4" s="1"/>
      <c r="Q4" s="1"/>
      <c r="R4" s="1"/>
      <c r="S4" s="1"/>
      <c r="T4" s="1"/>
      <c r="U4" s="1"/>
      <c r="V4" s="1"/>
      <c r="W4" s="1"/>
      <c r="X4" s="1"/>
      <c r="Y4" s="1"/>
      <c r="Z4" s="1"/>
    </row>
    <row r="5" spans="1:35" ht="39.6">
      <c r="A5" s="1458"/>
      <c r="B5" s="1458"/>
      <c r="C5" s="1459"/>
      <c r="D5" s="1460" t="s">
        <v>1253</v>
      </c>
      <c r="E5" s="1461"/>
      <c r="F5" s="1462" t="s">
        <v>1254</v>
      </c>
      <c r="G5" s="1458"/>
      <c r="H5" s="1462" t="s">
        <v>1255</v>
      </c>
      <c r="I5" s="1458"/>
      <c r="J5" s="1462" t="s">
        <v>1256</v>
      </c>
      <c r="K5" s="1458"/>
      <c r="L5" s="1463"/>
      <c r="M5" s="1458"/>
      <c r="N5" s="1458"/>
      <c r="O5" s="2858" t="s">
        <v>0</v>
      </c>
      <c r="P5" s="2859"/>
      <c r="Q5" s="1458"/>
      <c r="R5" s="1458"/>
      <c r="S5" s="1458"/>
      <c r="T5" s="1458"/>
      <c r="U5" s="1458"/>
      <c r="V5" s="1458"/>
      <c r="W5" s="1458"/>
      <c r="X5" s="1458"/>
      <c r="Y5" s="1458"/>
      <c r="Z5" s="1458"/>
    </row>
    <row r="6" spans="1:35" ht="12">
      <c r="A6" s="1458"/>
      <c r="B6" s="1458"/>
      <c r="C6" s="1459" t="s">
        <v>1257</v>
      </c>
      <c r="D6" s="1464">
        <f>331571</f>
        <v>331571</v>
      </c>
      <c r="E6" s="1465" t="s">
        <v>1141</v>
      </c>
      <c r="F6" s="1466">
        <v>0.44</v>
      </c>
      <c r="G6" s="1467" t="s">
        <v>1105</v>
      </c>
      <c r="H6" s="1464">
        <f t="shared" ref="H6:H8" si="0">J6*12/44</f>
        <v>39788.519999999997</v>
      </c>
      <c r="I6" s="1467" t="s">
        <v>1105</v>
      </c>
      <c r="J6" s="1464">
        <f t="shared" ref="J6:J8" si="1">IF(ISERROR(D6*F6),0,D6*F6)</f>
        <v>145891.24</v>
      </c>
      <c r="K6" s="1458"/>
      <c r="L6" s="1463"/>
      <c r="M6" s="1458"/>
      <c r="N6" s="1468"/>
      <c r="O6" s="240"/>
      <c r="P6" s="241"/>
      <c r="Q6" s="1458"/>
      <c r="R6" s="1458"/>
      <c r="S6" s="1458"/>
      <c r="T6" s="1458"/>
      <c r="U6" s="1458"/>
      <c r="V6" s="1458"/>
      <c r="W6" s="1458"/>
      <c r="X6" s="1458"/>
      <c r="Y6" s="1458"/>
      <c r="Z6" s="1458"/>
    </row>
    <row r="7" spans="1:35" ht="12">
      <c r="A7" s="1458"/>
      <c r="B7" s="1458"/>
      <c r="C7" s="1459" t="s">
        <v>1258</v>
      </c>
      <c r="D7" s="1464">
        <v>0</v>
      </c>
      <c r="E7" s="1465" t="s">
        <v>1141</v>
      </c>
      <c r="F7" s="1466">
        <v>0.48400000000000004</v>
      </c>
      <c r="G7" s="1467" t="s">
        <v>1105</v>
      </c>
      <c r="H7" s="1464">
        <f t="shared" si="0"/>
        <v>0</v>
      </c>
      <c r="I7" s="1467" t="s">
        <v>1105</v>
      </c>
      <c r="J7" s="1464">
        <f t="shared" si="1"/>
        <v>0</v>
      </c>
      <c r="K7" s="1458"/>
      <c r="L7" s="1463"/>
      <c r="M7" s="1458"/>
      <c r="N7" s="1458"/>
      <c r="O7" s="240" t="s">
        <v>528</v>
      </c>
      <c r="P7" s="247">
        <f>Summary!$E4</f>
        <v>1</v>
      </c>
      <c r="Q7" s="1458"/>
      <c r="R7" s="1458"/>
      <c r="S7" s="1458"/>
      <c r="T7" s="1458"/>
      <c r="U7" s="1458"/>
      <c r="V7" s="1458"/>
      <c r="W7" s="1458"/>
      <c r="X7" s="1458"/>
      <c r="Y7" s="1458"/>
      <c r="Z7" s="1458"/>
    </row>
    <row r="8" spans="1:35" ht="12">
      <c r="A8" s="1458"/>
      <c r="B8" s="1458"/>
      <c r="C8" s="1459" t="s">
        <v>1259</v>
      </c>
      <c r="D8" s="1469"/>
      <c r="E8" s="1465" t="s">
        <v>1141</v>
      </c>
      <c r="F8" s="1466">
        <v>1.7966666666666669</v>
      </c>
      <c r="G8" s="1467" t="s">
        <v>1105</v>
      </c>
      <c r="H8" s="1464">
        <f t="shared" si="0"/>
        <v>0</v>
      </c>
      <c r="I8" s="1467" t="s">
        <v>1105</v>
      </c>
      <c r="J8" s="1464">
        <f t="shared" si="1"/>
        <v>0</v>
      </c>
      <c r="K8" s="1458"/>
      <c r="L8" s="1463"/>
      <c r="M8" s="1458"/>
      <c r="N8" s="1458"/>
      <c r="O8" s="240" t="s">
        <v>530</v>
      </c>
      <c r="P8" s="247">
        <f>Summary!$E5</f>
        <v>28</v>
      </c>
      <c r="Q8" s="1458"/>
      <c r="R8" s="1458"/>
      <c r="S8" s="1458"/>
      <c r="T8" s="1458"/>
      <c r="U8" s="1458"/>
      <c r="V8" s="1458"/>
      <c r="W8" s="1458"/>
      <c r="X8" s="1458"/>
      <c r="Y8" s="1458"/>
      <c r="Z8" s="1458"/>
    </row>
    <row r="9" spans="1:35" ht="13.2">
      <c r="A9" s="1"/>
      <c r="B9" s="1454"/>
      <c r="C9" s="1142"/>
      <c r="D9" s="935"/>
      <c r="E9" s="935"/>
      <c r="F9" s="935"/>
      <c r="G9" s="935"/>
      <c r="H9" s="935"/>
      <c r="I9" s="935"/>
      <c r="J9" s="935"/>
      <c r="K9" s="935"/>
      <c r="L9" s="1143"/>
      <c r="M9" s="1"/>
      <c r="N9" s="1"/>
      <c r="O9" s="240" t="s">
        <v>532</v>
      </c>
      <c r="P9" s="247">
        <f>Summary!$E6</f>
        <v>265</v>
      </c>
      <c r="Q9" s="1"/>
      <c r="R9" s="1"/>
      <c r="S9" s="1"/>
      <c r="T9" s="1"/>
      <c r="U9" s="1"/>
      <c r="V9" s="1"/>
      <c r="W9" s="1"/>
      <c r="X9" s="1"/>
      <c r="Y9" s="1"/>
      <c r="Z9" s="1"/>
    </row>
    <row r="10" spans="1:35" ht="19.8">
      <c r="A10" s="1"/>
      <c r="B10" s="1454"/>
      <c r="C10" s="1455" t="s">
        <v>1260</v>
      </c>
      <c r="D10" s="1456"/>
      <c r="E10" s="1456"/>
      <c r="F10" s="1456"/>
      <c r="G10" s="1456"/>
      <c r="H10" s="1456"/>
      <c r="I10" s="1456"/>
      <c r="J10" s="1456"/>
      <c r="K10" s="1456"/>
      <c r="L10" s="1457"/>
      <c r="M10" s="1"/>
      <c r="N10" s="1"/>
      <c r="O10" s="240" t="s">
        <v>533</v>
      </c>
      <c r="P10" s="247">
        <f>Summary!$E7</f>
        <v>23500</v>
      </c>
      <c r="Q10" s="1"/>
      <c r="R10" s="1"/>
      <c r="S10" s="1"/>
      <c r="T10" s="1"/>
      <c r="U10" s="1"/>
      <c r="V10" s="1"/>
      <c r="W10" s="1"/>
      <c r="X10" s="1"/>
      <c r="Y10" s="1"/>
      <c r="Z10" s="1"/>
    </row>
    <row r="11" spans="1:35" ht="39.6">
      <c r="A11" s="1458"/>
      <c r="B11" s="1470"/>
      <c r="C11" s="1459"/>
      <c r="D11" s="1462" t="s">
        <v>1261</v>
      </c>
      <c r="E11" s="1461"/>
      <c r="F11" s="1462" t="s">
        <v>1262</v>
      </c>
      <c r="G11" s="1458"/>
      <c r="H11" s="1462" t="s">
        <v>1255</v>
      </c>
      <c r="I11" s="1458"/>
      <c r="J11" s="1462" t="s">
        <v>1263</v>
      </c>
      <c r="K11" s="1458"/>
      <c r="L11" s="1463"/>
      <c r="M11" s="1458"/>
      <c r="N11" s="1458"/>
      <c r="O11" s="259"/>
      <c r="P11" s="247"/>
      <c r="Q11" s="1458"/>
      <c r="R11" s="1458"/>
      <c r="S11" s="1458"/>
      <c r="T11" s="1458"/>
      <c r="U11" s="1458"/>
      <c r="V11" s="1458"/>
      <c r="W11" s="1458"/>
      <c r="X11" s="1458"/>
      <c r="Y11" s="1458"/>
      <c r="Z11" s="1458"/>
    </row>
    <row r="12" spans="1:35" ht="12">
      <c r="A12" s="1458"/>
      <c r="B12" s="1470"/>
      <c r="C12" s="1459" t="s">
        <v>1264</v>
      </c>
      <c r="D12" s="1464">
        <v>0</v>
      </c>
      <c r="E12" s="1465" t="s">
        <v>1141</v>
      </c>
      <c r="F12" s="1466">
        <v>9.74E-2</v>
      </c>
      <c r="G12" s="1467" t="s">
        <v>1105</v>
      </c>
      <c r="H12" s="1464">
        <f t="shared" ref="H12:H13" si="2">J12*12/44</f>
        <v>0</v>
      </c>
      <c r="I12" s="1467" t="s">
        <v>1105</v>
      </c>
      <c r="J12" s="1464">
        <f t="shared" ref="J12:J13" si="3">IF(ISERROR(D12*F12),0,D12*F12)</f>
        <v>0</v>
      </c>
      <c r="K12" s="1458"/>
      <c r="L12" s="1463"/>
      <c r="M12" s="1458"/>
      <c r="N12" s="1458"/>
      <c r="O12" s="1458"/>
      <c r="P12" s="1458"/>
      <c r="Q12" s="1458"/>
      <c r="R12" s="1458"/>
      <c r="S12" s="1458"/>
      <c r="T12" s="1458"/>
      <c r="U12" s="1458"/>
      <c r="V12" s="1458"/>
      <c r="W12" s="1458"/>
      <c r="X12" s="1458"/>
      <c r="Y12" s="1458"/>
      <c r="Z12" s="1458"/>
    </row>
    <row r="13" spans="1:35" ht="12">
      <c r="A13" s="1458"/>
      <c r="B13" s="1470"/>
      <c r="C13" s="1459" t="s">
        <v>519</v>
      </c>
      <c r="D13" s="1464">
        <f>95344</f>
        <v>95344</v>
      </c>
      <c r="E13" s="1465" t="s">
        <v>1141</v>
      </c>
      <c r="F13" s="1466">
        <v>0.41499999999999998</v>
      </c>
      <c r="G13" s="1467" t="s">
        <v>1105</v>
      </c>
      <c r="H13" s="1464">
        <f t="shared" si="2"/>
        <v>10791.207272727272</v>
      </c>
      <c r="I13" s="1467" t="s">
        <v>1105</v>
      </c>
      <c r="J13" s="1464">
        <f t="shared" si="3"/>
        <v>39567.759999999995</v>
      </c>
      <c r="K13" s="1458"/>
      <c r="L13" s="1463"/>
      <c r="M13" s="1458"/>
      <c r="N13" s="1458"/>
      <c r="O13" s="1458"/>
      <c r="P13" s="1458"/>
      <c r="Q13" s="1458"/>
      <c r="R13" s="1458"/>
      <c r="S13" s="1458"/>
      <c r="T13" s="35" t="s">
        <v>1265</v>
      </c>
      <c r="U13" s="20"/>
      <c r="V13" s="35"/>
      <c r="W13" s="35"/>
      <c r="X13" s="35"/>
      <c r="Y13" s="35"/>
      <c r="Z13" s="35"/>
      <c r="AA13" s="35"/>
      <c r="AB13" s="35"/>
      <c r="AC13" s="35"/>
      <c r="AD13" s="35"/>
      <c r="AE13" s="35"/>
      <c r="AF13" s="35"/>
      <c r="AG13" s="35"/>
      <c r="AH13" s="35"/>
      <c r="AI13" s="35"/>
    </row>
    <row r="14" spans="1:35" ht="13.2">
      <c r="A14" s="1"/>
      <c r="B14" s="1454"/>
      <c r="C14" s="1142"/>
      <c r="D14" s="935"/>
      <c r="E14" s="935"/>
      <c r="F14" s="935"/>
      <c r="G14" s="935"/>
      <c r="H14" s="935"/>
      <c r="I14" s="935"/>
      <c r="J14" s="935"/>
      <c r="K14" s="935"/>
      <c r="L14" s="1143"/>
      <c r="M14" s="1"/>
      <c r="N14" s="1"/>
      <c r="O14" s="1"/>
      <c r="P14" s="1"/>
      <c r="Q14" s="1"/>
      <c r="R14" s="1"/>
      <c r="S14" s="1"/>
      <c r="T14" s="1471" t="s">
        <v>52</v>
      </c>
      <c r="U14" s="1472">
        <v>2006</v>
      </c>
      <c r="V14" s="1472">
        <v>2007</v>
      </c>
      <c r="W14" s="1472">
        <v>2008</v>
      </c>
      <c r="X14" s="1472">
        <v>2009</v>
      </c>
      <c r="Y14" s="1472">
        <v>2010</v>
      </c>
      <c r="Z14" s="1472">
        <v>2011</v>
      </c>
      <c r="AA14" s="1472">
        <v>2012</v>
      </c>
      <c r="AB14" s="1472">
        <v>2013</v>
      </c>
      <c r="AC14" s="1472">
        <v>2014</v>
      </c>
      <c r="AD14" s="1472">
        <v>2015</v>
      </c>
      <c r="AE14" s="1472">
        <v>2016</v>
      </c>
      <c r="AF14" s="1472">
        <v>2017</v>
      </c>
      <c r="AG14" s="1472">
        <v>2018</v>
      </c>
      <c r="AH14" s="1472">
        <v>2019</v>
      </c>
      <c r="AI14" s="1472">
        <v>2020</v>
      </c>
    </row>
    <row r="15" spans="1:35" ht="19.8">
      <c r="A15" s="1"/>
      <c r="B15" s="1454"/>
      <c r="C15" s="1455" t="s">
        <v>1266</v>
      </c>
      <c r="D15" s="1456"/>
      <c r="E15" s="1456"/>
      <c r="F15" s="1456"/>
      <c r="G15" s="1456"/>
      <c r="H15" s="1456"/>
      <c r="I15" s="1456"/>
      <c r="J15" s="1456"/>
      <c r="K15" s="1456"/>
      <c r="L15" s="1457"/>
      <c r="M15" s="1"/>
      <c r="N15" s="1"/>
      <c r="O15" s="1"/>
      <c r="P15" s="1"/>
      <c r="Q15" s="1"/>
      <c r="R15" s="1"/>
      <c r="S15" s="1"/>
      <c r="T15" s="1473" t="s">
        <v>1267</v>
      </c>
      <c r="U15" s="38">
        <v>1.6982968490000001</v>
      </c>
      <c r="V15" s="38">
        <v>1.8171300619999999</v>
      </c>
      <c r="W15" s="38">
        <v>1.9474016679999999</v>
      </c>
      <c r="X15" s="38">
        <v>2.2363934209999998</v>
      </c>
      <c r="Y15" s="38">
        <v>2.2756309529999998</v>
      </c>
      <c r="Z15" s="38">
        <v>2.6494067449999998</v>
      </c>
      <c r="AA15" s="38">
        <v>2.2622070939999999</v>
      </c>
      <c r="AB15" s="38">
        <v>2.5985235260000001</v>
      </c>
      <c r="AC15" s="38">
        <v>2.196976512</v>
      </c>
      <c r="AD15" s="38">
        <v>2.262649004</v>
      </c>
      <c r="AE15" s="38">
        <v>2.2813941510000002</v>
      </c>
      <c r="AF15" s="38">
        <v>2.282050693</v>
      </c>
      <c r="AG15" s="38">
        <v>2.298196554</v>
      </c>
      <c r="AH15" s="38">
        <v>2.3493700849999999</v>
      </c>
      <c r="AI15" s="38">
        <v>2.3950297410000001</v>
      </c>
    </row>
    <row r="16" spans="1:35" ht="39.6">
      <c r="A16" s="1458"/>
      <c r="B16" s="1470"/>
      <c r="C16" s="1459"/>
      <c r="D16" s="1462" t="s">
        <v>1268</v>
      </c>
      <c r="E16" s="1461"/>
      <c r="F16" s="1462" t="s">
        <v>1269</v>
      </c>
      <c r="G16" s="1458"/>
      <c r="H16" s="1462" t="s">
        <v>1270</v>
      </c>
      <c r="I16" s="1458"/>
      <c r="J16" s="1462" t="s">
        <v>1255</v>
      </c>
      <c r="K16" s="1458"/>
      <c r="L16" s="1474" t="s">
        <v>1271</v>
      </c>
      <c r="M16" s="1458"/>
      <c r="N16" s="1458"/>
      <c r="O16" s="1458"/>
      <c r="P16" s="1458"/>
      <c r="Q16" s="1458"/>
      <c r="R16" s="1458"/>
      <c r="S16" s="1458"/>
      <c r="T16" s="1473" t="s">
        <v>1272</v>
      </c>
      <c r="U16" s="38">
        <v>4.0139666930000004</v>
      </c>
      <c r="V16" s="38">
        <v>4.2586197529999996</v>
      </c>
      <c r="W16" s="38">
        <v>4.5282625989999996</v>
      </c>
      <c r="X16" s="38">
        <v>5.2032449209999996</v>
      </c>
      <c r="Y16" s="38">
        <v>5.2639995830000004</v>
      </c>
      <c r="Z16" s="38">
        <v>6.0454015339999998</v>
      </c>
      <c r="AA16" s="38">
        <v>5.0219706620000002</v>
      </c>
      <c r="AB16" s="38">
        <v>5.7208557210000004</v>
      </c>
      <c r="AC16" s="38">
        <v>4.88036066</v>
      </c>
      <c r="AD16" s="38">
        <v>5.0238306860000002</v>
      </c>
      <c r="AE16" s="38">
        <v>5.0214606010000002</v>
      </c>
      <c r="AF16" s="38">
        <v>4.9836886749999998</v>
      </c>
      <c r="AG16" s="38">
        <v>4.982590321</v>
      </c>
      <c r="AH16" s="38">
        <v>5.0639371200000003</v>
      </c>
      <c r="AI16" s="38">
        <f>AI15*AH17</f>
        <v>5.1623539800686133</v>
      </c>
    </row>
    <row r="17" spans="1:35" ht="12">
      <c r="A17" s="1458"/>
      <c r="B17" s="1470"/>
      <c r="C17" s="1475" t="s">
        <v>1273</v>
      </c>
      <c r="D17" s="1464">
        <v>0</v>
      </c>
      <c r="E17" s="1465" t="s">
        <v>1141</v>
      </c>
      <c r="F17" s="1476">
        <v>1.2</v>
      </c>
      <c r="G17" s="1467" t="s">
        <v>1164</v>
      </c>
      <c r="H17" s="1464">
        <f>D18*F18</f>
        <v>1469.49</v>
      </c>
      <c r="I17" s="1465" t="s">
        <v>1165</v>
      </c>
      <c r="J17" s="1464">
        <f t="shared" ref="J17:J18" si="4">L17*12/44</f>
        <v>0</v>
      </c>
      <c r="K17" s="1467" t="s">
        <v>1105</v>
      </c>
      <c r="L17" s="1477">
        <f>IF(D17&gt;0,D17*F17-(H17),0)</f>
        <v>0</v>
      </c>
      <c r="M17" s="1458"/>
      <c r="N17" s="1458"/>
      <c r="O17" s="1458"/>
      <c r="P17" s="1458"/>
      <c r="Q17" s="1458"/>
      <c r="R17" s="1458"/>
      <c r="S17" s="1458"/>
      <c r="T17" s="1478" t="s">
        <v>1274</v>
      </c>
      <c r="U17" s="1479">
        <f t="shared" ref="U17:AH17" si="5">U16/U15</f>
        <v>2.3635247838818785</v>
      </c>
      <c r="V17" s="1479">
        <f t="shared" si="5"/>
        <v>2.3435965548403326</v>
      </c>
      <c r="W17" s="1479">
        <f t="shared" si="5"/>
        <v>2.3252843383104258</v>
      </c>
      <c r="X17" s="1479">
        <f t="shared" si="5"/>
        <v>2.3266232462235452</v>
      </c>
      <c r="Y17" s="1479">
        <f t="shared" si="5"/>
        <v>2.3132044218595231</v>
      </c>
      <c r="Z17" s="1479">
        <f t="shared" si="5"/>
        <v>2.2817944226227143</v>
      </c>
      <c r="AA17" s="1479">
        <f t="shared" si="5"/>
        <v>2.219942937726461</v>
      </c>
      <c r="AB17" s="1479">
        <f t="shared" si="5"/>
        <v>2.2015793444850265</v>
      </c>
      <c r="AC17" s="1479">
        <f t="shared" si="5"/>
        <v>2.2213986509838479</v>
      </c>
      <c r="AD17" s="1479">
        <f t="shared" si="5"/>
        <v>2.2203314244138945</v>
      </c>
      <c r="AE17" s="1479">
        <f t="shared" si="5"/>
        <v>2.2010491255090447</v>
      </c>
      <c r="AF17" s="1479">
        <f t="shared" si="5"/>
        <v>2.1838641403922572</v>
      </c>
      <c r="AG17" s="1479">
        <f t="shared" si="5"/>
        <v>2.168043595891668</v>
      </c>
      <c r="AH17" s="1479">
        <f t="shared" si="5"/>
        <v>2.1554446242129623</v>
      </c>
      <c r="AI17" s="49"/>
    </row>
    <row r="18" spans="1:35" ht="12">
      <c r="A18" s="1458"/>
      <c r="B18" s="1470"/>
      <c r="C18" s="1475" t="s">
        <v>1275</v>
      </c>
      <c r="D18" s="1464">
        <v>2013</v>
      </c>
      <c r="E18" s="1465"/>
      <c r="F18" s="1480">
        <v>0.73</v>
      </c>
      <c r="G18" s="1465"/>
      <c r="H18" s="1465"/>
      <c r="I18" s="1467" t="s">
        <v>1276</v>
      </c>
      <c r="J18" s="1464">
        <f t="shared" si="4"/>
        <v>400.77000000000004</v>
      </c>
      <c r="K18" s="1465" t="s">
        <v>1105</v>
      </c>
      <c r="L18" s="1477">
        <f>D18*F18</f>
        <v>1469.49</v>
      </c>
      <c r="M18" s="1458"/>
      <c r="N18" s="1458"/>
      <c r="O18" s="1458"/>
      <c r="P18" s="1458"/>
      <c r="Q18" s="1458"/>
      <c r="R18" s="1458"/>
      <c r="S18" s="1458"/>
      <c r="T18" s="1" t="s">
        <v>1277</v>
      </c>
      <c r="U18" s="1"/>
      <c r="V18" s="1"/>
      <c r="W18" s="1"/>
      <c r="X18" s="1"/>
      <c r="Y18" s="1"/>
      <c r="Z18" s="1"/>
      <c r="AA18" s="1"/>
      <c r="AB18" s="1"/>
      <c r="AC18" s="1"/>
      <c r="AD18" s="1"/>
      <c r="AE18" s="1"/>
      <c r="AF18" s="6"/>
      <c r="AG18" s="6"/>
      <c r="AH18" s="6"/>
      <c r="AI18" s="6"/>
    </row>
    <row r="19" spans="1:35" ht="13.2">
      <c r="A19" s="1"/>
      <c r="B19" s="1454"/>
      <c r="C19" s="1142"/>
      <c r="D19" s="935"/>
      <c r="E19" s="935"/>
      <c r="F19" s="935"/>
      <c r="G19" s="935"/>
      <c r="H19" s="935"/>
      <c r="I19" s="935"/>
      <c r="J19" s="935"/>
      <c r="K19" s="935"/>
      <c r="L19" s="1143"/>
      <c r="M19" s="1"/>
      <c r="N19" s="1"/>
      <c r="O19" s="1"/>
      <c r="P19" s="1"/>
      <c r="Q19" s="1"/>
      <c r="R19" s="1"/>
      <c r="S19" s="1"/>
      <c r="T19" s="1"/>
      <c r="U19" s="1"/>
      <c r="V19" s="1"/>
      <c r="W19" s="1"/>
      <c r="X19" s="1"/>
      <c r="Y19" s="1"/>
      <c r="Z19" s="1"/>
    </row>
    <row r="20" spans="1:35" ht="13.2">
      <c r="A20" s="1"/>
      <c r="B20" s="1454"/>
      <c r="C20" s="1142"/>
      <c r="D20" s="935"/>
      <c r="E20" s="935"/>
      <c r="F20" s="935"/>
      <c r="G20" s="935"/>
      <c r="H20" s="935"/>
      <c r="I20" s="935"/>
      <c r="J20" s="935"/>
      <c r="K20" s="935"/>
      <c r="L20" s="1143"/>
      <c r="M20" s="1"/>
      <c r="N20" s="1"/>
      <c r="O20" s="1"/>
      <c r="P20" s="1"/>
      <c r="Q20" s="1"/>
      <c r="R20" s="1"/>
      <c r="S20" s="1"/>
      <c r="T20" s="1"/>
      <c r="U20" s="1"/>
      <c r="V20" s="1"/>
      <c r="W20" s="1"/>
      <c r="X20" s="1"/>
      <c r="Y20" s="1"/>
      <c r="Z20" s="1"/>
    </row>
    <row r="21" spans="1:35" ht="15.75" customHeight="1">
      <c r="A21" s="1"/>
      <c r="B21" s="1454"/>
      <c r="C21" s="1455" t="s">
        <v>1278</v>
      </c>
      <c r="D21" s="1456"/>
      <c r="E21" s="1456"/>
      <c r="F21" s="1456"/>
      <c r="G21" s="1456"/>
      <c r="H21" s="1456"/>
      <c r="I21" s="1456"/>
      <c r="J21" s="1456"/>
      <c r="K21" s="1456"/>
      <c r="L21" s="1457"/>
      <c r="M21" s="1"/>
      <c r="N21" s="1"/>
      <c r="O21" s="1"/>
      <c r="P21" s="1"/>
      <c r="Q21" s="1"/>
      <c r="R21" s="1"/>
      <c r="S21" s="1"/>
      <c r="T21" s="1"/>
      <c r="U21" s="1"/>
      <c r="V21" s="1"/>
      <c r="W21" s="1"/>
      <c r="X21" s="1"/>
      <c r="Y21" s="1"/>
      <c r="Z21" s="1"/>
    </row>
    <row r="22" spans="1:35" ht="15.75" customHeight="1">
      <c r="A22" s="1458"/>
      <c r="B22" s="1470"/>
      <c r="C22" s="12"/>
      <c r="D22" s="1481" t="s">
        <v>1279</v>
      </c>
      <c r="E22" s="833"/>
      <c r="F22" s="1482" t="s">
        <v>1280</v>
      </c>
      <c r="G22" s="833"/>
      <c r="H22" s="1482" t="s">
        <v>1281</v>
      </c>
      <c r="I22" s="833"/>
      <c r="J22" s="1482" t="s">
        <v>1282</v>
      </c>
      <c r="K22" s="833"/>
      <c r="L22" s="1483" t="s">
        <v>1283</v>
      </c>
      <c r="M22" s="1458"/>
      <c r="N22" s="1458"/>
      <c r="O22" s="1458"/>
      <c r="P22" s="1458"/>
      <c r="Q22" s="1458"/>
      <c r="R22" s="1458"/>
      <c r="S22" s="1458"/>
      <c r="T22" s="1458"/>
      <c r="U22" s="1458"/>
      <c r="V22" s="1458"/>
      <c r="W22" s="1458"/>
      <c r="X22" s="1458"/>
      <c r="Y22" s="1458"/>
      <c r="Z22" s="1458"/>
    </row>
    <row r="23" spans="1:35" ht="15.75" customHeight="1">
      <c r="A23" s="1458"/>
      <c r="B23" s="1470"/>
      <c r="C23" s="1484">
        <v>2017</v>
      </c>
      <c r="D23" s="1469">
        <v>164535600</v>
      </c>
      <c r="E23" s="5" t="s">
        <v>1141</v>
      </c>
      <c r="F23" s="1469">
        <v>6023868</v>
      </c>
      <c r="G23" s="1485" t="s">
        <v>1284</v>
      </c>
      <c r="H23" s="1469">
        <v>74015428</v>
      </c>
      <c r="I23" s="5" t="s">
        <v>1141</v>
      </c>
      <c r="J23" s="1486">
        <v>0.16947511556938999</v>
      </c>
      <c r="K23" s="1485" t="s">
        <v>1105</v>
      </c>
      <c r="L23" s="1487">
        <f>D23*J23*(F23/H23)</f>
        <v>2269441.5916695544</v>
      </c>
      <c r="M23" s="1458"/>
      <c r="N23" s="1458"/>
      <c r="O23" s="1458"/>
      <c r="P23" s="1458"/>
      <c r="Q23" s="1458"/>
      <c r="R23" s="1458"/>
      <c r="S23" s="1458"/>
      <c r="T23" s="1458"/>
      <c r="U23" s="1458"/>
      <c r="V23" s="1458"/>
      <c r="W23" s="1458"/>
      <c r="X23" s="1458"/>
      <c r="Y23" s="1458"/>
      <c r="Z23" s="1458"/>
    </row>
    <row r="24" spans="1:35" ht="15.75" customHeight="1">
      <c r="A24" s="1"/>
      <c r="B24" s="1454"/>
      <c r="C24" s="1488"/>
      <c r="D24" s="833"/>
      <c r="E24" s="833"/>
      <c r="F24" s="833"/>
      <c r="G24" s="833"/>
      <c r="H24" s="833"/>
      <c r="I24" s="833"/>
      <c r="J24" s="833"/>
      <c r="K24" s="833"/>
      <c r="L24" s="1489"/>
      <c r="M24" s="1"/>
      <c r="N24" s="1"/>
      <c r="O24" s="1"/>
      <c r="P24" s="1"/>
      <c r="Q24" s="1"/>
      <c r="R24" s="1"/>
      <c r="S24" s="1"/>
      <c r="T24" s="1"/>
      <c r="U24" s="1"/>
      <c r="V24" s="1"/>
      <c r="W24" s="1"/>
      <c r="X24" s="1"/>
      <c r="Y24" s="1"/>
      <c r="Z24" s="1"/>
    </row>
    <row r="25" spans="1:35" ht="15.75" customHeight="1">
      <c r="A25" s="1"/>
      <c r="B25" s="1454"/>
      <c r="C25" s="1142"/>
      <c r="D25" s="935"/>
      <c r="E25" s="935"/>
      <c r="F25" s="935"/>
      <c r="G25" s="935"/>
      <c r="H25" s="935"/>
      <c r="I25" s="935"/>
      <c r="J25" s="935"/>
      <c r="K25" s="935"/>
      <c r="L25" s="1143"/>
      <c r="M25" s="1"/>
      <c r="N25" s="1"/>
      <c r="O25" s="1"/>
      <c r="P25" s="1"/>
      <c r="Q25" s="1"/>
      <c r="R25" s="1"/>
      <c r="S25" s="1"/>
      <c r="T25" s="1"/>
      <c r="U25" s="1"/>
      <c r="V25" s="1"/>
      <c r="W25" s="1"/>
      <c r="X25" s="1"/>
      <c r="Y25" s="1"/>
      <c r="Z25" s="1"/>
    </row>
    <row r="26" spans="1:35" ht="15.75" customHeight="1">
      <c r="A26" s="1"/>
      <c r="B26" s="1454"/>
      <c r="C26" s="1455" t="s">
        <v>1285</v>
      </c>
      <c r="D26" s="1456"/>
      <c r="E26" s="1456"/>
      <c r="F26" s="1456"/>
      <c r="G26" s="1456"/>
      <c r="H26" s="1456"/>
      <c r="I26" s="1456"/>
      <c r="J26" s="1456"/>
      <c r="K26" s="1456"/>
      <c r="L26" s="1457"/>
      <c r="M26" s="1"/>
      <c r="N26" s="1"/>
      <c r="O26" s="1"/>
      <c r="P26" s="1"/>
      <c r="Q26" s="1"/>
      <c r="R26" s="1"/>
      <c r="S26" s="1"/>
      <c r="T26" s="1"/>
      <c r="U26" s="1"/>
      <c r="V26" s="1"/>
      <c r="W26" s="1"/>
      <c r="X26" s="1"/>
      <c r="Y26" s="1"/>
      <c r="Z26" s="1"/>
    </row>
    <row r="27" spans="1:35" ht="15.75" customHeight="1">
      <c r="A27" s="1458"/>
      <c r="B27" s="1470"/>
      <c r="C27" s="1459"/>
      <c r="D27" s="1460" t="s">
        <v>1286</v>
      </c>
      <c r="E27" s="1490"/>
      <c r="F27" s="1460" t="s">
        <v>1287</v>
      </c>
      <c r="G27" s="1491"/>
      <c r="H27" s="1460" t="s">
        <v>1288</v>
      </c>
      <c r="I27" s="1491"/>
      <c r="J27" s="1490" t="s">
        <v>1289</v>
      </c>
      <c r="K27" s="1491"/>
      <c r="L27" s="1492" t="s">
        <v>1290</v>
      </c>
      <c r="M27" s="1458"/>
      <c r="N27" s="1458"/>
      <c r="O27" s="1458"/>
      <c r="P27" s="1458"/>
      <c r="Q27" s="1458"/>
      <c r="R27" s="1458"/>
      <c r="S27" s="1458"/>
      <c r="T27" s="1458"/>
      <c r="U27" s="1458"/>
      <c r="V27" s="1458"/>
      <c r="W27" s="1458"/>
      <c r="X27" s="1458"/>
      <c r="Y27" s="1458"/>
      <c r="Z27" s="1458"/>
    </row>
    <row r="28" spans="1:35" ht="15.75" customHeight="1">
      <c r="A28" s="1458"/>
      <c r="B28" s="1470"/>
      <c r="C28" s="1493">
        <v>2017</v>
      </c>
      <c r="D28" s="1469">
        <v>1.6890000000000001</v>
      </c>
      <c r="E28" s="1465" t="s">
        <v>1141</v>
      </c>
      <c r="F28" s="1476">
        <v>1</v>
      </c>
      <c r="G28" s="1467" t="s">
        <v>1105</v>
      </c>
      <c r="H28" s="1494">
        <f>IF(ISERROR(D28*F28),,D28*F28)</f>
        <v>1.6890000000000001</v>
      </c>
      <c r="I28" s="1467" t="s">
        <v>1105</v>
      </c>
      <c r="J28" s="1464">
        <f>H28*$P$10*12/44</f>
        <v>10824.954545454546</v>
      </c>
      <c r="K28" s="1467" t="s">
        <v>1105</v>
      </c>
      <c r="L28" s="1477">
        <f>J28/(12/44)</f>
        <v>39691.500000000007</v>
      </c>
      <c r="M28" s="1458"/>
      <c r="N28" s="1458"/>
      <c r="O28" s="1458"/>
      <c r="P28" s="1458"/>
      <c r="Q28" s="1458"/>
      <c r="R28" s="1458"/>
      <c r="S28" s="1458"/>
      <c r="T28" s="1458"/>
      <c r="U28" s="1458"/>
      <c r="V28" s="1458"/>
      <c r="W28" s="1458"/>
      <c r="X28" s="1458"/>
      <c r="Y28" s="1458"/>
      <c r="Z28" s="1458"/>
    </row>
    <row r="29" spans="1:35" ht="15.75" customHeight="1">
      <c r="A29" s="1"/>
      <c r="B29" s="1454"/>
      <c r="C29" s="1142"/>
      <c r="D29" s="935"/>
      <c r="E29" s="935"/>
      <c r="F29" s="935"/>
      <c r="G29" s="935"/>
      <c r="H29" s="935"/>
      <c r="I29" s="935"/>
      <c r="J29" s="935"/>
      <c r="K29" s="935"/>
      <c r="L29" s="1143"/>
      <c r="M29" s="1"/>
      <c r="N29" s="1"/>
      <c r="O29" s="1"/>
      <c r="P29" s="1"/>
      <c r="Q29" s="1"/>
      <c r="R29" s="1"/>
      <c r="S29" s="1"/>
      <c r="T29" s="1"/>
      <c r="U29" s="1"/>
      <c r="V29" s="1"/>
      <c r="W29" s="1"/>
      <c r="X29" s="1"/>
      <c r="Y29" s="1"/>
      <c r="Z29" s="1"/>
    </row>
    <row r="30" spans="1:35" ht="15.75" customHeight="1">
      <c r="A30" s="1"/>
      <c r="B30" s="1454"/>
      <c r="C30" s="1142"/>
      <c r="D30" s="935"/>
      <c r="E30" s="935"/>
      <c r="F30" s="935"/>
      <c r="G30" s="935"/>
      <c r="H30" s="935"/>
      <c r="I30" s="935"/>
      <c r="J30" s="935"/>
      <c r="K30" s="935"/>
      <c r="L30" s="1143"/>
      <c r="M30" s="1"/>
      <c r="N30" s="1"/>
      <c r="O30" s="1"/>
      <c r="P30" s="1"/>
      <c r="Q30" s="1"/>
      <c r="R30" s="1"/>
      <c r="S30" s="1"/>
      <c r="T30" s="1"/>
      <c r="U30" s="1"/>
      <c r="V30" s="1"/>
      <c r="W30" s="1"/>
      <c r="X30" s="1"/>
      <c r="Y30" s="1"/>
      <c r="Z30" s="1"/>
    </row>
    <row r="31" spans="1:35" ht="15.75" customHeight="1">
      <c r="A31" s="1"/>
      <c r="B31" s="1454"/>
      <c r="C31" s="1455" t="s">
        <v>1291</v>
      </c>
      <c r="D31" s="1456"/>
      <c r="E31" s="1456"/>
      <c r="F31" s="1456"/>
      <c r="G31" s="1456"/>
      <c r="H31" s="1456"/>
      <c r="I31" s="1456"/>
      <c r="J31" s="1456"/>
      <c r="K31" s="1456"/>
      <c r="L31" s="1457"/>
      <c r="M31" s="1"/>
      <c r="N31" s="1"/>
      <c r="O31" s="1"/>
      <c r="P31" s="1"/>
      <c r="Q31" s="1"/>
      <c r="R31" s="1"/>
      <c r="S31" s="1"/>
      <c r="T31" s="1"/>
      <c r="U31" s="1"/>
      <c r="V31" s="1"/>
      <c r="W31" s="1"/>
      <c r="X31" s="1"/>
      <c r="Y31" s="1"/>
      <c r="Z31" s="1"/>
    </row>
    <row r="32" spans="1:35" ht="15.75" customHeight="1">
      <c r="A32" s="1458"/>
      <c r="B32" s="1470"/>
      <c r="C32" s="1459"/>
      <c r="D32" s="1460" t="s">
        <v>1292</v>
      </c>
      <c r="E32" s="1490"/>
      <c r="F32" s="1460" t="s">
        <v>1293</v>
      </c>
      <c r="G32" s="1491"/>
      <c r="H32" s="1458"/>
      <c r="I32" s="1458"/>
      <c r="J32" s="1460" t="s">
        <v>1255</v>
      </c>
      <c r="K32" s="1491"/>
      <c r="L32" s="1492" t="s">
        <v>1294</v>
      </c>
      <c r="M32" s="1458"/>
      <c r="N32" s="1458"/>
      <c r="O32" s="1458"/>
      <c r="P32" s="1458"/>
      <c r="Q32" s="1458"/>
      <c r="R32" s="1458"/>
      <c r="S32" s="1458"/>
      <c r="T32" s="1458"/>
      <c r="U32" s="1458"/>
      <c r="V32" s="1458"/>
      <c r="W32" s="1458"/>
      <c r="X32" s="1458"/>
      <c r="Y32" s="1458"/>
      <c r="Z32" s="1458"/>
    </row>
    <row r="33" spans="1:26" ht="15.75" customHeight="1">
      <c r="A33" s="1458"/>
      <c r="B33" s="1470"/>
      <c r="C33" s="1493">
        <v>2017</v>
      </c>
      <c r="D33" s="1495">
        <v>0</v>
      </c>
      <c r="E33" s="1496" t="s">
        <v>1141</v>
      </c>
      <c r="F33" s="1497">
        <v>0.42545454545454542</v>
      </c>
      <c r="G33" s="1498" t="s">
        <v>1105</v>
      </c>
      <c r="H33" s="1458"/>
      <c r="I33" s="1458"/>
      <c r="J33" s="1499">
        <f>IF(ISERROR(D33*F33),0,D33*F33)</f>
        <v>0</v>
      </c>
      <c r="K33" s="1498" t="s">
        <v>1105</v>
      </c>
      <c r="L33" s="1500">
        <f>J33/(12/44)</f>
        <v>0</v>
      </c>
      <c r="M33" s="1458"/>
      <c r="N33" s="1458"/>
      <c r="O33" s="1458"/>
      <c r="P33" s="1458"/>
      <c r="Q33" s="1458"/>
      <c r="R33" s="1458"/>
      <c r="S33" s="1458"/>
      <c r="T33" s="1458"/>
      <c r="U33" s="1458"/>
      <c r="V33" s="1458"/>
      <c r="W33" s="1458"/>
      <c r="X33" s="1458"/>
      <c r="Y33" s="1458"/>
      <c r="Z33" s="1458"/>
    </row>
    <row r="34" spans="1:26" ht="15.75" customHeight="1">
      <c r="A34" s="1"/>
      <c r="B34" s="1454"/>
      <c r="C34" s="1142"/>
      <c r="D34" s="935"/>
      <c r="E34" s="935"/>
      <c r="F34" s="935"/>
      <c r="G34" s="935"/>
      <c r="H34" s="935"/>
      <c r="I34" s="935"/>
      <c r="J34" s="935"/>
      <c r="K34" s="935"/>
      <c r="L34" s="1143"/>
      <c r="M34" s="1"/>
      <c r="N34" s="1"/>
      <c r="O34" s="1"/>
      <c r="P34" s="1"/>
      <c r="Q34" s="1"/>
      <c r="R34" s="1"/>
      <c r="S34" s="1"/>
      <c r="T34" s="1"/>
      <c r="U34" s="1"/>
      <c r="V34" s="1"/>
      <c r="W34" s="1"/>
      <c r="X34" s="1"/>
      <c r="Y34" s="1"/>
      <c r="Z34" s="1"/>
    </row>
    <row r="35" spans="1:26" ht="15.75" customHeight="1">
      <c r="A35" s="1"/>
      <c r="B35" s="1454"/>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454"/>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454"/>
      <c r="C37" s="286"/>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454"/>
      <c r="C38" s="286"/>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454"/>
      <c r="C39" s="286"/>
      <c r="D39" s="1"/>
      <c r="E39" s="1"/>
      <c r="F39" s="1"/>
      <c r="G39" s="1"/>
      <c r="H39" s="1"/>
      <c r="I39" s="1"/>
      <c r="J39" s="1"/>
      <c r="K39" s="1"/>
      <c r="L39" s="1"/>
      <c r="M39" s="1"/>
      <c r="N39" s="1"/>
      <c r="O39" s="1"/>
      <c r="P39" s="1"/>
      <c r="Q39" s="1"/>
      <c r="R39" s="1"/>
      <c r="S39" s="1"/>
      <c r="T39" s="1"/>
      <c r="U39" s="1"/>
      <c r="V39" s="1"/>
      <c r="W39" s="1"/>
      <c r="X39" s="1"/>
      <c r="Y39" s="1"/>
      <c r="Z39" s="1"/>
    </row>
    <row r="40" spans="1:26" ht="15.75" customHeight="1">
      <c r="B40" s="286"/>
      <c r="C40" s="1501"/>
      <c r="D40" s="1502">
        <v>2017</v>
      </c>
    </row>
    <row r="41" spans="1:26" ht="15.75" customHeight="1">
      <c r="B41" s="286"/>
      <c r="C41" s="1503" t="s">
        <v>1295</v>
      </c>
      <c r="D41" s="1504">
        <f>D42+D43+D44+D45+D46+D47</f>
        <v>186928.49</v>
      </c>
    </row>
    <row r="42" spans="1:26" ht="15.75" customHeight="1">
      <c r="B42" s="286"/>
      <c r="C42" s="1505" t="s">
        <v>1296</v>
      </c>
      <c r="D42" s="1506">
        <v>0</v>
      </c>
    </row>
    <row r="43" spans="1:26" ht="15.75" customHeight="1">
      <c r="B43" s="286"/>
      <c r="C43" s="1505" t="s">
        <v>1297</v>
      </c>
      <c r="D43" s="1506">
        <v>0</v>
      </c>
    </row>
    <row r="44" spans="1:26" ht="15.75" customHeight="1">
      <c r="B44" s="286"/>
      <c r="C44" s="1505" t="s">
        <v>1252</v>
      </c>
      <c r="D44" s="1507">
        <f>J6</f>
        <v>145891.24</v>
      </c>
    </row>
    <row r="45" spans="1:26" ht="15.75" customHeight="1">
      <c r="B45" s="286"/>
      <c r="C45" s="1505" t="s">
        <v>1298</v>
      </c>
      <c r="D45" s="1507">
        <f>J13</f>
        <v>39567.759999999995</v>
      </c>
    </row>
    <row r="46" spans="1:26" ht="15.75" customHeight="1">
      <c r="B46" s="286"/>
      <c r="C46" s="1505" t="s">
        <v>1299</v>
      </c>
      <c r="D46" s="1507">
        <f>L18</f>
        <v>1469.49</v>
      </c>
    </row>
    <row r="47" spans="1:26" ht="15.75" customHeight="1">
      <c r="B47" s="286"/>
      <c r="C47" s="1505" t="s">
        <v>1300</v>
      </c>
      <c r="D47" s="1506">
        <v>0</v>
      </c>
    </row>
    <row r="48" spans="1:26" ht="15.75" customHeight="1">
      <c r="B48" s="286"/>
      <c r="C48" s="1508" t="s">
        <v>1301</v>
      </c>
      <c r="D48" s="1509">
        <f>D49+D50</f>
        <v>0</v>
      </c>
    </row>
    <row r="49" spans="2:4" ht="15.75" customHeight="1">
      <c r="B49" s="286"/>
      <c r="C49" s="1505" t="s">
        <v>1302</v>
      </c>
      <c r="D49" s="1506">
        <v>0</v>
      </c>
    </row>
    <row r="50" spans="2:4" ht="15.75" customHeight="1">
      <c r="B50" s="286"/>
      <c r="C50" s="1505" t="s">
        <v>1303</v>
      </c>
      <c r="D50" s="1506">
        <v>0</v>
      </c>
    </row>
    <row r="51" spans="2:4" ht="15.75" customHeight="1">
      <c r="B51" s="286"/>
      <c r="C51" s="1510" t="s">
        <v>1304</v>
      </c>
      <c r="D51" s="1511">
        <f>D52+D53+D54+D55+D56+D57</f>
        <v>2309133.0916695544</v>
      </c>
    </row>
    <row r="52" spans="2:4" ht="15.75" customHeight="1">
      <c r="B52" s="286"/>
      <c r="C52" s="1505" t="s">
        <v>1305</v>
      </c>
      <c r="D52" s="1507">
        <f>L23</f>
        <v>2269441.5916695544</v>
      </c>
    </row>
    <row r="53" spans="2:4" ht="15.75" customHeight="1">
      <c r="B53" s="286"/>
      <c r="C53" s="1505" t="s">
        <v>1306</v>
      </c>
      <c r="D53" s="1506">
        <v>0</v>
      </c>
    </row>
    <row r="54" spans="2:4" ht="15.75" customHeight="1">
      <c r="B54" s="286"/>
      <c r="C54" s="1505" t="s">
        <v>1307</v>
      </c>
      <c r="D54" s="1506">
        <v>0</v>
      </c>
    </row>
    <row r="55" spans="2:4" ht="15.75" customHeight="1">
      <c r="B55" s="286"/>
      <c r="C55" s="1512" t="s">
        <v>1308</v>
      </c>
      <c r="D55" s="1507">
        <f>L28</f>
        <v>39691.500000000007</v>
      </c>
    </row>
    <row r="56" spans="2:4" ht="15.75" customHeight="1">
      <c r="B56" s="286"/>
      <c r="C56" s="1505" t="s">
        <v>1309</v>
      </c>
      <c r="D56" s="1506">
        <v>0</v>
      </c>
    </row>
    <row r="57" spans="2:4" ht="15.75" customHeight="1">
      <c r="B57" s="286"/>
      <c r="C57" s="1505" t="s">
        <v>1310</v>
      </c>
      <c r="D57" s="1506">
        <f>L33</f>
        <v>0</v>
      </c>
    </row>
    <row r="58" spans="2:4" ht="15.75" customHeight="1">
      <c r="B58" s="286"/>
      <c r="C58" s="1513" t="s">
        <v>1311</v>
      </c>
      <c r="D58" s="1514">
        <f>D41+D48+D51</f>
        <v>2496061.5816695541</v>
      </c>
    </row>
    <row r="59" spans="2:4" ht="15.75" customHeight="1"/>
    <row r="60" spans="2:4" ht="15.75" customHeight="1"/>
    <row r="61" spans="2:4" ht="15.75" customHeight="1"/>
    <row r="62" spans="2:4" ht="15.75" customHeight="1"/>
    <row r="63" spans="2:4" ht="15.75" customHeight="1"/>
    <row r="64" spans="2: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O5:P5"/>
  </mergeCells>
  <printOptions gridLines="1"/>
  <pageMargins left="0.28000000000000003" right="0.17" top="1" bottom="0.46" header="0" footer="0"/>
  <pageSetup orientation="portrait"/>
  <colBreaks count="1" manualBreakCount="1">
    <brk id="12" man="1"/>
  </colBreaks>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1000"/>
  <sheetViews>
    <sheetView workbookViewId="0"/>
  </sheetViews>
  <sheetFormatPr defaultColWidth="16.85546875" defaultRowHeight="15" customHeight="1"/>
  <cols>
    <col min="1" max="1" width="8.85546875" customWidth="1"/>
    <col min="2" max="2" width="0.140625" customWidth="1"/>
    <col min="3" max="3" width="14.140625" customWidth="1"/>
    <col min="4" max="4" width="15.7109375" customWidth="1"/>
    <col min="5" max="5" width="5.85546875" customWidth="1"/>
    <col min="6" max="6" width="29.140625" customWidth="1"/>
    <col min="7" max="7" width="28.85546875" customWidth="1"/>
    <col min="8" max="8" width="11.42578125" customWidth="1"/>
  </cols>
  <sheetData>
    <row r="1" spans="1:8" ht="26.25" customHeight="1">
      <c r="A1" s="134" t="s">
        <v>1367</v>
      </c>
      <c r="B1" s="135"/>
      <c r="G1" s="1"/>
      <c r="H1" s="137"/>
    </row>
    <row r="2" spans="1:8" ht="68.25" customHeight="1"/>
    <row r="3" spans="1:8" ht="11.25" customHeight="1"/>
    <row r="4" spans="1:8" ht="11.25" customHeight="1"/>
    <row r="5" spans="1:8" ht="11.25" customHeight="1"/>
    <row r="6" spans="1:8" ht="11.25" customHeight="1">
      <c r="D6" s="373"/>
      <c r="E6" s="374"/>
      <c r="F6" s="604" t="s">
        <v>1368</v>
      </c>
      <c r="G6" s="605" t="s">
        <v>1369</v>
      </c>
    </row>
    <row r="7" spans="1:8" ht="11.25" customHeight="1">
      <c r="D7" s="679"/>
      <c r="E7" s="853"/>
      <c r="F7" s="853"/>
      <c r="G7" s="1720"/>
    </row>
    <row r="8" spans="1:8" ht="11.25" customHeight="1">
      <c r="D8" s="373"/>
      <c r="E8" s="374" t="s">
        <v>1370</v>
      </c>
      <c r="F8" s="1385">
        <v>0</v>
      </c>
      <c r="G8" s="382">
        <v>0</v>
      </c>
    </row>
    <row r="9" spans="1:8" ht="11.25" customHeight="1">
      <c r="D9" s="1721" t="s">
        <v>1371</v>
      </c>
      <c r="E9" s="1722" t="s">
        <v>1372</v>
      </c>
      <c r="F9" s="1723">
        <v>0</v>
      </c>
      <c r="G9" s="1724">
        <f t="shared" ref="G9:G10" si="0">F9*1.1023</f>
        <v>0</v>
      </c>
    </row>
    <row r="10" spans="1:8" ht="11.25" customHeight="1">
      <c r="D10" s="1725"/>
      <c r="E10" s="384" t="s">
        <v>1373</v>
      </c>
      <c r="F10" s="1726">
        <v>0</v>
      </c>
      <c r="G10" s="1720">
        <f t="shared" si="0"/>
        <v>0</v>
      </c>
    </row>
    <row r="11" spans="1:8" ht="11.25" customHeight="1">
      <c r="D11" s="1727"/>
      <c r="E11" s="374" t="s">
        <v>1374</v>
      </c>
      <c r="F11" s="1728"/>
      <c r="G11" s="319">
        <v>0</v>
      </c>
    </row>
    <row r="12" spans="1:8" ht="11.25" customHeight="1">
      <c r="D12" s="1729" t="s">
        <v>1375</v>
      </c>
      <c r="E12" s="1722" t="s">
        <v>1376</v>
      </c>
      <c r="F12" s="1730"/>
      <c r="G12" s="1731">
        <v>0</v>
      </c>
    </row>
    <row r="13" spans="1:8" ht="11.25" customHeight="1">
      <c r="D13" s="1727"/>
      <c r="E13" s="384" t="s">
        <v>1377</v>
      </c>
      <c r="F13" s="1732"/>
      <c r="G13" s="1733">
        <v>0</v>
      </c>
    </row>
    <row r="14" spans="1:8" ht="11.25" customHeight="1">
      <c r="D14" s="1734" t="s">
        <v>1378</v>
      </c>
      <c r="E14" s="1735" t="s">
        <v>1379</v>
      </c>
      <c r="F14" s="1736">
        <v>0</v>
      </c>
      <c r="G14" s="1737">
        <f>F14*1.1023</f>
        <v>0</v>
      </c>
    </row>
    <row r="15" spans="1:8" ht="11.25" customHeight="1">
      <c r="D15" s="1727"/>
      <c r="E15" s="1738"/>
      <c r="F15" s="1732"/>
      <c r="G15" s="18"/>
    </row>
    <row r="16" spans="1:8" ht="11.25" customHeight="1">
      <c r="D16" s="1734" t="s">
        <v>1380</v>
      </c>
      <c r="E16" s="1735" t="s">
        <v>1381</v>
      </c>
      <c r="F16" s="1736">
        <v>0</v>
      </c>
      <c r="G16" s="1739">
        <f>F16*1.1023</f>
        <v>0</v>
      </c>
    </row>
    <row r="17" spans="4:7" ht="11.25" customHeight="1">
      <c r="D17" s="1727"/>
      <c r="E17" s="1738"/>
      <c r="F17" s="1732"/>
      <c r="G17" s="18"/>
    </row>
    <row r="18" spans="4:7" ht="11.25" customHeight="1">
      <c r="D18" s="1740"/>
      <c r="E18" s="1741" t="s">
        <v>1382</v>
      </c>
      <c r="F18" s="1742">
        <v>0</v>
      </c>
      <c r="G18" s="1743">
        <f>G8+G14+G16+G11</f>
        <v>0</v>
      </c>
    </row>
    <row r="19" spans="4:7" ht="11.25" customHeight="1">
      <c r="D19" s="1744" t="s">
        <v>88</v>
      </c>
      <c r="E19" s="1745" t="s">
        <v>1383</v>
      </c>
      <c r="F19" s="1746">
        <f t="shared" ref="F19:F20" si="1">F9</f>
        <v>0</v>
      </c>
      <c r="G19" s="1747">
        <f t="shared" ref="G19:G20" si="2">G9+G12</f>
        <v>0</v>
      </c>
    </row>
    <row r="20" spans="4:7" ht="11.25" customHeight="1">
      <c r="D20" s="1748"/>
      <c r="E20" s="1749" t="s">
        <v>1384</v>
      </c>
      <c r="F20" s="1750">
        <f t="shared" si="1"/>
        <v>0</v>
      </c>
      <c r="G20" s="1751">
        <f t="shared" si="2"/>
        <v>0</v>
      </c>
    </row>
    <row r="21" spans="4:7" ht="11.25" customHeight="1">
      <c r="D21" s="933"/>
      <c r="E21" s="1752"/>
      <c r="F21" s="1753"/>
      <c r="G21" s="1754"/>
    </row>
    <row r="22" spans="4:7" ht="11.25" customHeight="1"/>
    <row r="23" spans="4:7" ht="11.25" customHeight="1"/>
    <row r="24" spans="4:7" ht="11.25" customHeight="1"/>
    <row r="25" spans="4:7" ht="11.25" customHeight="1"/>
    <row r="26" spans="4:7" ht="11.25" customHeight="1"/>
    <row r="27" spans="4:7" ht="11.25" customHeight="1"/>
    <row r="28" spans="4:7" ht="11.25" customHeight="1"/>
    <row r="29" spans="4:7" ht="11.25" customHeight="1"/>
    <row r="30" spans="4:7" ht="11.25" customHeight="1"/>
    <row r="31" spans="4:7" ht="11.25" customHeight="1"/>
    <row r="32" spans="4:7"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gridLines="1"/>
  <pageMargins left="0.75" right="0.75" top="1" bottom="1" header="0" footer="0"/>
  <pageSetup orientation="portrait"/>
  <colBreaks count="1" manualBreakCount="1">
    <brk id="8" man="1"/>
  </colBreaks>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1000"/>
  <sheetViews>
    <sheetView workbookViewId="0"/>
  </sheetViews>
  <sheetFormatPr defaultColWidth="16.85546875" defaultRowHeight="15" customHeight="1"/>
  <cols>
    <col min="1" max="2" width="8.85546875" customWidth="1"/>
    <col min="3" max="3" width="26.28515625" customWidth="1"/>
    <col min="4" max="4" width="32.140625" customWidth="1"/>
    <col min="5" max="5" width="19.42578125" customWidth="1"/>
    <col min="6" max="6" width="2.28515625" customWidth="1"/>
    <col min="7" max="7" width="18.140625" customWidth="1"/>
    <col min="8" max="8" width="2.28515625" customWidth="1"/>
    <col min="9" max="9" width="14.42578125" customWidth="1"/>
    <col min="10" max="10" width="13.28515625" customWidth="1"/>
    <col min="11" max="19" width="8.85546875" customWidth="1"/>
  </cols>
  <sheetData>
    <row r="1" spans="1:19" ht="30" customHeight="1">
      <c r="A1" s="134" t="s">
        <v>1266</v>
      </c>
      <c r="B1" s="135"/>
      <c r="E1" s="137"/>
      <c r="G1" s="1"/>
      <c r="H1" s="1"/>
    </row>
    <row r="2" spans="1:19" ht="57.75" customHeight="1">
      <c r="B2" s="1690"/>
      <c r="C2" s="1690"/>
      <c r="D2" s="1691"/>
      <c r="E2" s="1691"/>
      <c r="F2" s="1691"/>
      <c r="G2" s="1691"/>
      <c r="H2" s="1692"/>
      <c r="I2" s="1"/>
      <c r="J2" s="1692"/>
      <c r="K2" s="1692"/>
      <c r="L2" s="1692"/>
      <c r="M2" s="1"/>
      <c r="N2" s="1"/>
      <c r="O2" s="1"/>
      <c r="P2" s="1"/>
      <c r="Q2" s="1"/>
      <c r="R2" s="1"/>
      <c r="S2" s="1"/>
    </row>
    <row r="3" spans="1:19" ht="11.25" customHeight="1">
      <c r="B3" s="1693"/>
      <c r="C3" s="1694"/>
      <c r="D3" s="1695" t="s">
        <v>1360</v>
      </c>
      <c r="E3" s="1695" t="s">
        <v>1124</v>
      </c>
      <c r="F3" s="1695"/>
      <c r="G3" s="1695" t="s">
        <v>1361</v>
      </c>
      <c r="H3" s="1694"/>
      <c r="I3" s="1695" t="s">
        <v>536</v>
      </c>
      <c r="J3" s="1696" t="s">
        <v>536</v>
      </c>
      <c r="K3" s="1"/>
      <c r="L3" s="1"/>
      <c r="M3" s="1"/>
      <c r="N3" s="1"/>
      <c r="O3" s="1"/>
      <c r="P3" s="1"/>
      <c r="Q3" s="1"/>
      <c r="R3" s="1"/>
      <c r="S3" s="1"/>
    </row>
    <row r="4" spans="1:19" ht="11.25" customHeight="1">
      <c r="B4" s="1697"/>
      <c r="C4" s="1698"/>
      <c r="D4" s="1699" t="s">
        <v>1362</v>
      </c>
      <c r="E4" s="1699" t="s">
        <v>1363</v>
      </c>
      <c r="F4" s="1699"/>
      <c r="G4" s="1699" t="s">
        <v>1364</v>
      </c>
      <c r="H4" s="1698"/>
      <c r="I4" s="1699" t="s">
        <v>1365</v>
      </c>
      <c r="J4" s="1700" t="s">
        <v>1366</v>
      </c>
      <c r="K4" s="1"/>
      <c r="L4" s="1"/>
      <c r="M4" s="1"/>
      <c r="N4" s="1"/>
      <c r="O4" s="1"/>
      <c r="P4" s="1"/>
      <c r="Q4" s="1"/>
      <c r="R4" s="1"/>
      <c r="S4" s="1"/>
    </row>
    <row r="5" spans="1:19" ht="11.25" customHeight="1">
      <c r="B5" s="1697"/>
      <c r="C5" s="1701"/>
      <c r="D5" s="1699"/>
      <c r="E5" s="1699"/>
      <c r="F5" s="1699"/>
      <c r="G5" s="1699"/>
      <c r="H5" s="1699"/>
      <c r="I5" s="1699"/>
      <c r="J5" s="1702"/>
      <c r="K5" s="1"/>
      <c r="L5" s="1"/>
      <c r="M5" s="1"/>
      <c r="N5" s="1"/>
      <c r="O5" s="1"/>
      <c r="P5" s="1"/>
      <c r="Q5" s="1"/>
      <c r="R5" s="1"/>
      <c r="S5" s="1"/>
    </row>
    <row r="6" spans="1:19" ht="11.25" customHeight="1">
      <c r="B6" s="1703"/>
      <c r="C6" s="1704"/>
      <c r="D6" s="1698"/>
      <c r="E6" s="1698"/>
      <c r="F6" s="1698"/>
      <c r="G6" s="1705"/>
      <c r="H6" s="1698"/>
      <c r="I6" s="1698"/>
      <c r="J6" s="1702"/>
      <c r="K6" s="1"/>
      <c r="L6" s="1"/>
      <c r="M6" s="1"/>
      <c r="N6" s="1"/>
      <c r="O6" s="1"/>
      <c r="P6" s="1"/>
      <c r="Q6" s="1"/>
      <c r="R6" s="1"/>
      <c r="S6" s="1"/>
    </row>
    <row r="7" spans="1:19" ht="11.25" customHeight="1">
      <c r="B7" s="1706">
        <v>2017</v>
      </c>
      <c r="C7" s="1707" t="s">
        <v>1273</v>
      </c>
      <c r="D7" s="1708">
        <v>0</v>
      </c>
      <c r="E7" s="1709">
        <v>1.2</v>
      </c>
      <c r="F7" s="1709"/>
      <c r="G7" s="1543">
        <f>D8*E8</f>
        <v>1469.49</v>
      </c>
      <c r="H7" s="1704"/>
      <c r="I7" s="1543">
        <f>IF(D7&gt;0,D7*E7-(G7),0)</f>
        <v>0</v>
      </c>
      <c r="J7" s="1710"/>
      <c r="K7" s="1711"/>
      <c r="L7" s="1"/>
      <c r="M7" s="1"/>
      <c r="N7" s="1"/>
      <c r="O7" s="1"/>
      <c r="P7" s="1"/>
      <c r="Q7" s="1"/>
      <c r="R7" s="1"/>
      <c r="S7" s="1"/>
    </row>
    <row r="8" spans="1:19" ht="11.25" customHeight="1">
      <c r="B8" s="1712">
        <v>18</v>
      </c>
      <c r="C8" s="1707" t="s">
        <v>1275</v>
      </c>
      <c r="D8" s="1708">
        <v>2013</v>
      </c>
      <c r="E8" s="1713">
        <v>0.73</v>
      </c>
      <c r="F8" s="1713"/>
      <c r="G8" s="1704"/>
      <c r="H8" s="1704"/>
      <c r="I8" s="1543">
        <f>D8*E8</f>
        <v>1469.49</v>
      </c>
      <c r="J8" s="1714">
        <f>I8/1000000</f>
        <v>1.4694899999999999E-3</v>
      </c>
      <c r="K8" s="1711"/>
      <c r="L8" s="1"/>
      <c r="M8" s="1"/>
      <c r="N8" s="1"/>
      <c r="O8" s="1"/>
      <c r="P8" s="1"/>
      <c r="Q8" s="1"/>
      <c r="R8" s="1"/>
      <c r="S8" s="1"/>
    </row>
    <row r="9" spans="1:19" ht="11.25" customHeight="1">
      <c r="B9" s="1715"/>
      <c r="C9" s="1716"/>
      <c r="D9" s="1717"/>
      <c r="E9" s="1717"/>
      <c r="F9" s="1717"/>
      <c r="G9" s="1718"/>
      <c r="H9" s="1717"/>
      <c r="I9" s="1717"/>
      <c r="J9" s="1719"/>
      <c r="K9" s="1"/>
      <c r="L9" s="1"/>
      <c r="M9" s="1"/>
      <c r="N9" s="1"/>
      <c r="O9" s="1"/>
      <c r="P9" s="1"/>
      <c r="Q9" s="1"/>
      <c r="R9" s="1"/>
      <c r="S9" s="1"/>
    </row>
    <row r="10" spans="1:19" ht="11.25" customHeight="1"/>
    <row r="11" spans="1:19" ht="11.25" customHeight="1"/>
    <row r="12" spans="1:19" ht="11.25" customHeight="1"/>
    <row r="13" spans="1:19" ht="11.25" customHeight="1"/>
    <row r="14" spans="1:19" ht="11.25" customHeight="1"/>
    <row r="15" spans="1:19" ht="11.25" customHeight="1"/>
    <row r="16" spans="1:19" ht="11.25" customHeight="1"/>
    <row r="17" ht="11.25" customHeight="1"/>
    <row r="18" ht="11.25" customHeight="1"/>
    <row r="19" ht="11.25" customHeight="1"/>
    <row r="20" ht="11.25" customHeight="1"/>
    <row r="21" ht="11.25" customHeight="1"/>
    <row r="22" ht="11.25" customHeight="1"/>
    <row r="23" ht="11.25" customHeight="1"/>
    <row r="24" ht="11.25" customHeight="1"/>
    <row r="25" ht="11.25" customHeight="1"/>
    <row r="26" ht="11.25" customHeight="1"/>
    <row r="27" ht="11.25" customHeight="1"/>
    <row r="28" ht="11.25" customHeight="1"/>
    <row r="29" ht="11.25" customHeight="1"/>
    <row r="30" ht="11.25" customHeight="1"/>
    <row r="31" ht="11.25" customHeight="1"/>
    <row r="3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5" right="0.75" top="1" bottom="1" header="0" footer="0"/>
  <pageSetup orientation="portrait"/>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C1000"/>
  <sheetViews>
    <sheetView workbookViewId="0"/>
  </sheetViews>
  <sheetFormatPr defaultColWidth="16.85546875" defaultRowHeight="15" customHeight="1"/>
  <cols>
    <col min="1" max="1" width="6" customWidth="1"/>
    <col min="2" max="2" width="34.28515625" customWidth="1"/>
    <col min="3" max="3" width="13.140625" customWidth="1"/>
    <col min="4" max="4" width="3.85546875" customWidth="1"/>
    <col min="5" max="5" width="13.140625" customWidth="1"/>
    <col min="6" max="6" width="3.85546875" customWidth="1"/>
    <col min="7" max="7" width="15" customWidth="1"/>
    <col min="8" max="8" width="3.85546875" customWidth="1"/>
    <col min="9" max="9" width="12.85546875" customWidth="1"/>
    <col min="10" max="10" width="3.85546875" customWidth="1"/>
    <col min="11" max="11" width="12.28515625" customWidth="1"/>
    <col min="12" max="12" width="3.85546875" customWidth="1"/>
    <col min="13" max="13" width="14.140625" customWidth="1"/>
    <col min="14" max="14" width="8.7109375" customWidth="1"/>
    <col min="15" max="15" width="12.85546875" customWidth="1"/>
    <col min="16" max="16" width="3.85546875" customWidth="1"/>
    <col min="17" max="17" width="12.42578125" customWidth="1"/>
    <col min="18" max="18" width="3.85546875" customWidth="1"/>
    <col min="19" max="19" width="14.7109375" customWidth="1"/>
    <col min="20" max="20" width="3.85546875" customWidth="1"/>
    <col min="21" max="21" width="13" customWidth="1"/>
    <col min="22" max="22" width="3.85546875" customWidth="1"/>
    <col min="23" max="23" width="16.140625" customWidth="1"/>
    <col min="24" max="24" width="2.85546875" customWidth="1"/>
    <col min="25" max="25" width="14" customWidth="1"/>
    <col min="26" max="26" width="8.85546875" customWidth="1"/>
    <col min="27" max="27" width="12.7109375" customWidth="1"/>
    <col min="28" max="28" width="2.85546875" customWidth="1"/>
    <col min="29" max="29" width="14" customWidth="1"/>
    <col min="30" max="30" width="2.85546875" customWidth="1"/>
    <col min="31" max="31" width="15.140625" customWidth="1"/>
    <col min="32" max="81" width="8.85546875" customWidth="1"/>
  </cols>
  <sheetData>
    <row r="1" spans="1:46" ht="32.4">
      <c r="A1" s="134" t="s">
        <v>1817</v>
      </c>
      <c r="E1" s="137"/>
    </row>
    <row r="2" spans="1:46" ht="392.25" customHeight="1" thickBot="1">
      <c r="A2" s="1"/>
      <c r="B2" s="2893"/>
      <c r="C2" s="2863"/>
      <c r="D2" s="2863"/>
      <c r="E2" s="2863"/>
      <c r="F2" s="2863"/>
      <c r="G2" s="2863"/>
      <c r="H2" s="2863"/>
      <c r="I2" s="2863"/>
      <c r="J2" s="2863"/>
      <c r="K2" s="2863"/>
      <c r="L2" s="2863"/>
      <c r="M2" s="2863"/>
      <c r="N2" s="2863"/>
      <c r="O2" s="2863"/>
      <c r="P2" s="2863"/>
      <c r="Q2" s="2863"/>
      <c r="R2" s="2863"/>
      <c r="S2" s="2863"/>
      <c r="T2" s="1"/>
      <c r="U2" s="1"/>
      <c r="V2" s="1"/>
      <c r="W2" s="1"/>
      <c r="X2" s="1"/>
      <c r="Y2" s="1"/>
      <c r="Z2" s="1"/>
      <c r="AA2" s="1"/>
      <c r="AB2" s="1"/>
      <c r="AC2" s="1"/>
      <c r="AD2" s="1"/>
      <c r="AE2" s="1"/>
      <c r="AF2" s="1"/>
      <c r="AG2" s="1"/>
      <c r="AH2" s="1"/>
      <c r="AI2" s="1"/>
      <c r="AJ2" s="1"/>
      <c r="AK2" s="1"/>
      <c r="AL2" s="1"/>
      <c r="AM2" s="1"/>
      <c r="AN2" s="1"/>
      <c r="AO2" s="1"/>
      <c r="AP2" s="1"/>
      <c r="AQ2" s="1"/>
      <c r="AR2" s="1"/>
      <c r="AS2" s="1"/>
      <c r="AT2" s="1"/>
    </row>
    <row r="3" spans="1:46" ht="19.2" thickBot="1">
      <c r="B3" s="2278" t="s">
        <v>1818</v>
      </c>
      <c r="C3" s="2279"/>
      <c r="D3" s="2279"/>
      <c r="E3" s="2279"/>
      <c r="F3" s="2279"/>
      <c r="G3" s="2279"/>
      <c r="H3" s="2279"/>
      <c r="I3" s="2279"/>
      <c r="J3" s="2279"/>
      <c r="K3" s="2279"/>
      <c r="L3" s="2279"/>
      <c r="M3" s="2280"/>
    </row>
    <row r="4" spans="1:46" ht="30">
      <c r="B4" s="378"/>
      <c r="C4" s="2281" t="s">
        <v>1819</v>
      </c>
      <c r="D4" s="2281"/>
      <c r="E4" s="2281" t="s">
        <v>1820</v>
      </c>
      <c r="F4" s="2281"/>
      <c r="G4" s="2281" t="s">
        <v>1821</v>
      </c>
      <c r="H4" s="2282"/>
      <c r="I4" s="2281" t="s">
        <v>1822</v>
      </c>
      <c r="J4" s="2282"/>
      <c r="K4" s="2281" t="s">
        <v>1760</v>
      </c>
      <c r="L4" s="2282"/>
      <c r="M4" s="2283" t="s">
        <v>1823</v>
      </c>
      <c r="Y4" s="2858" t="s">
        <v>0</v>
      </c>
      <c r="Z4" s="2859"/>
    </row>
    <row r="5" spans="1:46" ht="11.4">
      <c r="B5" s="2284" t="s">
        <v>1824</v>
      </c>
      <c r="C5" s="2285"/>
      <c r="D5" s="2244"/>
      <c r="E5" s="381"/>
      <c r="F5" s="381"/>
      <c r="G5" s="381"/>
      <c r="H5" s="381"/>
      <c r="I5" s="2265"/>
      <c r="J5" s="381"/>
      <c r="K5" s="381"/>
      <c r="L5" s="381"/>
      <c r="M5" s="382"/>
      <c r="Y5" s="240"/>
      <c r="Z5" s="241"/>
    </row>
    <row r="6" spans="1:46" ht="11.4">
      <c r="B6" s="2286" t="s">
        <v>1825</v>
      </c>
      <c r="C6" s="2287">
        <v>53</v>
      </c>
      <c r="D6" s="2244" t="s">
        <v>1141</v>
      </c>
      <c r="E6" s="2288">
        <v>144.5</v>
      </c>
      <c r="F6" s="2244" t="s">
        <v>1105</v>
      </c>
      <c r="G6" s="2289">
        <f t="shared" ref="G6:G9" si="0">C6*E6*1000</f>
        <v>7658500</v>
      </c>
      <c r="H6" s="2244" t="s">
        <v>1105</v>
      </c>
      <c r="I6" s="2290">
        <f t="shared" ref="I6:I9" si="1">G6/1000*10^-6</f>
        <v>7.6584999999999995E-3</v>
      </c>
      <c r="J6" s="2244" t="s">
        <v>1105</v>
      </c>
      <c r="K6" s="2291">
        <f>(I6*$Z$7)*(12/44)</f>
        <v>5.8483090909090901E-2</v>
      </c>
      <c r="L6" s="2244" t="s">
        <v>1105</v>
      </c>
      <c r="M6" s="2292">
        <f t="shared" ref="M6:M9" si="2">K6/(12/44)</f>
        <v>0.21443799999999999</v>
      </c>
      <c r="Y6" s="240" t="s">
        <v>528</v>
      </c>
      <c r="Z6" s="247">
        <f>Summary!$E4</f>
        <v>1</v>
      </c>
    </row>
    <row r="7" spans="1:46" ht="11.4">
      <c r="B7" s="2286" t="s">
        <v>1826</v>
      </c>
      <c r="C7" s="2293">
        <v>28</v>
      </c>
      <c r="D7" s="2244" t="s">
        <v>1141</v>
      </c>
      <c r="E7" s="2288">
        <v>66</v>
      </c>
      <c r="F7" s="2244" t="s">
        <v>1105</v>
      </c>
      <c r="G7" s="2289">
        <f t="shared" si="0"/>
        <v>1848000</v>
      </c>
      <c r="H7" s="2244" t="s">
        <v>1105</v>
      </c>
      <c r="I7" s="2290">
        <f t="shared" si="1"/>
        <v>1.8479999999999998E-3</v>
      </c>
      <c r="J7" s="2244" t="s">
        <v>1105</v>
      </c>
      <c r="K7" s="2291">
        <f>(I7*$Z$7)*(12/44)</f>
        <v>1.4111999999999998E-2</v>
      </c>
      <c r="L7" s="2244" t="s">
        <v>1105</v>
      </c>
      <c r="M7" s="2292">
        <f t="shared" si="2"/>
        <v>5.1743999999999998E-2</v>
      </c>
      <c r="Y7" s="240" t="s">
        <v>530</v>
      </c>
      <c r="Z7" s="247">
        <f>Summary!$E5</f>
        <v>28</v>
      </c>
    </row>
    <row r="8" spans="1:46" ht="11.4">
      <c r="B8" s="2286" t="s">
        <v>1827</v>
      </c>
      <c r="C8" s="2293">
        <v>0</v>
      </c>
      <c r="D8" s="2244" t="s">
        <v>1141</v>
      </c>
      <c r="E8" s="2288">
        <v>48.3</v>
      </c>
      <c r="F8" s="2244" t="s">
        <v>1105</v>
      </c>
      <c r="G8" s="2289">
        <f t="shared" si="0"/>
        <v>0</v>
      </c>
      <c r="H8" s="2244" t="s">
        <v>1105</v>
      </c>
      <c r="I8" s="2290">
        <f t="shared" si="1"/>
        <v>0</v>
      </c>
      <c r="J8" s="2244" t="s">
        <v>1105</v>
      </c>
      <c r="K8" s="2291">
        <f>(I8*$Z$7)*(12/44)</f>
        <v>0</v>
      </c>
      <c r="L8" s="2244" t="s">
        <v>1105</v>
      </c>
      <c r="M8" s="2292">
        <f t="shared" si="2"/>
        <v>0</v>
      </c>
      <c r="Y8" s="240" t="s">
        <v>532</v>
      </c>
      <c r="Z8" s="247">
        <f>Summary!$E6</f>
        <v>265</v>
      </c>
    </row>
    <row r="9" spans="1:46" ht="11.4">
      <c r="B9" s="2286" t="s">
        <v>1828</v>
      </c>
      <c r="C9" s="2293">
        <v>0</v>
      </c>
      <c r="D9" s="2244" t="s">
        <v>1141</v>
      </c>
      <c r="E9" s="2288">
        <v>72.900000000000006</v>
      </c>
      <c r="F9" s="2244" t="s">
        <v>1105</v>
      </c>
      <c r="G9" s="2289">
        <f t="shared" si="0"/>
        <v>0</v>
      </c>
      <c r="H9" s="2244" t="s">
        <v>1105</v>
      </c>
      <c r="I9" s="2290">
        <f t="shared" si="1"/>
        <v>0</v>
      </c>
      <c r="J9" s="2244" t="s">
        <v>1105</v>
      </c>
      <c r="K9" s="2291">
        <f>(I9*$Z$7)*(12/44)</f>
        <v>0</v>
      </c>
      <c r="L9" s="2244" t="s">
        <v>1105</v>
      </c>
      <c r="M9" s="2292">
        <f t="shared" si="2"/>
        <v>0</v>
      </c>
      <c r="Y9" s="240" t="s">
        <v>533</v>
      </c>
      <c r="Z9" s="247">
        <f>Summary!$E7</f>
        <v>23500</v>
      </c>
    </row>
    <row r="10" spans="1:46" ht="12" thickBot="1">
      <c r="B10" s="2284" t="s">
        <v>1829</v>
      </c>
      <c r="C10" s="2294"/>
      <c r="D10" s="2244"/>
      <c r="E10" s="2288"/>
      <c r="F10" s="2244"/>
      <c r="G10" s="2289"/>
      <c r="H10" s="2244"/>
      <c r="I10" s="2290"/>
      <c r="J10" s="2244"/>
      <c r="K10" s="2291"/>
      <c r="L10" s="2244"/>
      <c r="M10" s="2292"/>
      <c r="Y10" s="259"/>
      <c r="Z10" s="247"/>
    </row>
    <row r="11" spans="1:46" ht="11.4">
      <c r="B11" s="2286" t="s">
        <v>1830</v>
      </c>
      <c r="C11" s="2293">
        <v>42</v>
      </c>
      <c r="D11" s="2244" t="s">
        <v>1141</v>
      </c>
      <c r="E11" s="2288">
        <v>94.4</v>
      </c>
      <c r="F11" s="2244" t="s">
        <v>1105</v>
      </c>
      <c r="G11" s="2289">
        <f t="shared" ref="G11:G19" si="3">C11*E11*1000</f>
        <v>3964800</v>
      </c>
      <c r="H11" s="2244" t="s">
        <v>1105</v>
      </c>
      <c r="I11" s="2290">
        <f t="shared" ref="I11:I19" si="4">G11/1000*10^-6</f>
        <v>3.9648000000000001E-3</v>
      </c>
      <c r="J11" s="2244" t="s">
        <v>1105</v>
      </c>
      <c r="K11" s="2291">
        <f t="shared" ref="K11:K19" si="5">(I11*$Z$7)*(12/44)</f>
        <v>3.0276654545454543E-2</v>
      </c>
      <c r="L11" s="2244" t="s">
        <v>1105</v>
      </c>
      <c r="M11" s="2292">
        <f t="shared" ref="M11:M19" si="6">K11/(12/44)</f>
        <v>0.1110144</v>
      </c>
    </row>
    <row r="12" spans="1:46" ht="11.4">
      <c r="B12" s="2286" t="s">
        <v>1831</v>
      </c>
      <c r="C12" s="2293">
        <v>10</v>
      </c>
      <c r="D12" s="2244" t="s">
        <v>1141</v>
      </c>
      <c r="E12" s="2288">
        <v>66.7</v>
      </c>
      <c r="F12" s="2244" t="s">
        <v>1105</v>
      </c>
      <c r="G12" s="2289">
        <f t="shared" si="3"/>
        <v>667000</v>
      </c>
      <c r="H12" s="2244" t="s">
        <v>1105</v>
      </c>
      <c r="I12" s="2290">
        <f t="shared" si="4"/>
        <v>6.6699999999999995E-4</v>
      </c>
      <c r="J12" s="2244" t="s">
        <v>1105</v>
      </c>
      <c r="K12" s="2291">
        <f t="shared" si="5"/>
        <v>5.0934545454545442E-3</v>
      </c>
      <c r="L12" s="2244" t="s">
        <v>1105</v>
      </c>
      <c r="M12" s="2292">
        <f t="shared" si="6"/>
        <v>1.8675999999999998E-2</v>
      </c>
    </row>
    <row r="13" spans="1:46" ht="11.4">
      <c r="B13" s="2286" t="s">
        <v>1827</v>
      </c>
      <c r="C13" s="2293">
        <v>0</v>
      </c>
      <c r="D13" s="2244" t="s">
        <v>1141</v>
      </c>
      <c r="E13" s="2288">
        <v>59.9</v>
      </c>
      <c r="F13" s="2244" t="s">
        <v>1105</v>
      </c>
      <c r="G13" s="2289">
        <f t="shared" si="3"/>
        <v>0</v>
      </c>
      <c r="H13" s="2244" t="s">
        <v>1105</v>
      </c>
      <c r="I13" s="2290">
        <f t="shared" si="4"/>
        <v>0</v>
      </c>
      <c r="J13" s="2244" t="s">
        <v>1105</v>
      </c>
      <c r="K13" s="2291">
        <f t="shared" si="5"/>
        <v>0</v>
      </c>
      <c r="L13" s="2244" t="s">
        <v>1105</v>
      </c>
      <c r="M13" s="2292">
        <f t="shared" si="6"/>
        <v>0</v>
      </c>
    </row>
    <row r="14" spans="1:46" ht="11.4">
      <c r="B14" s="2286" t="s">
        <v>1828</v>
      </c>
      <c r="C14" s="2293">
        <v>0</v>
      </c>
      <c r="D14" s="2244" t="s">
        <v>1141</v>
      </c>
      <c r="E14" s="2288">
        <v>69.400000000000006</v>
      </c>
      <c r="F14" s="2244" t="s">
        <v>1105</v>
      </c>
      <c r="G14" s="2289">
        <f t="shared" si="3"/>
        <v>0</v>
      </c>
      <c r="H14" s="2244" t="s">
        <v>1105</v>
      </c>
      <c r="I14" s="2290">
        <f t="shared" si="4"/>
        <v>0</v>
      </c>
      <c r="J14" s="2244" t="s">
        <v>1105</v>
      </c>
      <c r="K14" s="2291">
        <f t="shared" si="5"/>
        <v>0</v>
      </c>
      <c r="L14" s="2244" t="s">
        <v>1105</v>
      </c>
      <c r="M14" s="2292">
        <f t="shared" si="6"/>
        <v>0</v>
      </c>
    </row>
    <row r="15" spans="1:46" ht="11.4">
      <c r="B15" s="2286" t="s">
        <v>1832</v>
      </c>
      <c r="C15" s="2293">
        <v>10</v>
      </c>
      <c r="D15" s="2244" t="s">
        <v>1141</v>
      </c>
      <c r="E15" s="2288">
        <v>60.1</v>
      </c>
      <c r="F15" s="2244" t="s">
        <v>1105</v>
      </c>
      <c r="G15" s="2289">
        <f t="shared" si="3"/>
        <v>601000</v>
      </c>
      <c r="H15" s="2244" t="s">
        <v>1105</v>
      </c>
      <c r="I15" s="2290">
        <f t="shared" si="4"/>
        <v>6.0099999999999997E-4</v>
      </c>
      <c r="J15" s="2244" t="s">
        <v>1105</v>
      </c>
      <c r="K15" s="2291">
        <f t="shared" si="5"/>
        <v>4.589454545454545E-3</v>
      </c>
      <c r="L15" s="2244" t="s">
        <v>1105</v>
      </c>
      <c r="M15" s="2292">
        <f t="shared" si="6"/>
        <v>1.6827999999999999E-2</v>
      </c>
    </row>
    <row r="16" spans="1:46" ht="11.4">
      <c r="B16" s="2286" t="s">
        <v>1833</v>
      </c>
      <c r="C16" s="2293">
        <v>15</v>
      </c>
      <c r="D16" s="2244" t="s">
        <v>1141</v>
      </c>
      <c r="E16" s="2288">
        <v>57.9</v>
      </c>
      <c r="F16" s="2244" t="s">
        <v>1105</v>
      </c>
      <c r="G16" s="2289">
        <f t="shared" si="3"/>
        <v>868500</v>
      </c>
      <c r="H16" s="2244" t="s">
        <v>1105</v>
      </c>
      <c r="I16" s="2290">
        <f t="shared" si="4"/>
        <v>8.6849999999999991E-4</v>
      </c>
      <c r="J16" s="2244" t="s">
        <v>1105</v>
      </c>
      <c r="K16" s="2291">
        <f t="shared" si="5"/>
        <v>6.6321818181818174E-3</v>
      </c>
      <c r="L16" s="2244" t="s">
        <v>1105</v>
      </c>
      <c r="M16" s="2292">
        <f t="shared" si="6"/>
        <v>2.4317999999999999E-2</v>
      </c>
    </row>
    <row r="17" spans="2:24" ht="11.4">
      <c r="B17" s="2286" t="s">
        <v>1834</v>
      </c>
      <c r="C17" s="2295">
        <v>3.9119999999999999</v>
      </c>
      <c r="D17" s="2244" t="s">
        <v>1141</v>
      </c>
      <c r="E17" s="2288">
        <v>43.2</v>
      </c>
      <c r="F17" s="2244" t="s">
        <v>1105</v>
      </c>
      <c r="G17" s="2289">
        <f t="shared" si="3"/>
        <v>168998.39999999999</v>
      </c>
      <c r="H17" s="2244" t="s">
        <v>1105</v>
      </c>
      <c r="I17" s="2290">
        <f t="shared" si="4"/>
        <v>1.6899839999999998E-4</v>
      </c>
      <c r="J17" s="2244" t="s">
        <v>1105</v>
      </c>
      <c r="K17" s="2291">
        <f t="shared" si="5"/>
        <v>1.2905332363636361E-3</v>
      </c>
      <c r="L17" s="2244" t="s">
        <v>1105</v>
      </c>
      <c r="M17" s="2292">
        <f t="shared" si="6"/>
        <v>4.7319551999999996E-3</v>
      </c>
    </row>
    <row r="18" spans="2:24" ht="11.4">
      <c r="B18" s="2286" t="s">
        <v>1835</v>
      </c>
      <c r="C18" s="2295">
        <v>7.3949999999999996</v>
      </c>
      <c r="D18" s="2244" t="s">
        <v>1141</v>
      </c>
      <c r="E18" s="2288">
        <v>42</v>
      </c>
      <c r="F18" s="2244" t="s">
        <v>1105</v>
      </c>
      <c r="G18" s="2289">
        <f t="shared" si="3"/>
        <v>310590</v>
      </c>
      <c r="H18" s="2244" t="s">
        <v>1105</v>
      </c>
      <c r="I18" s="2290">
        <f t="shared" si="4"/>
        <v>3.1058999999999997E-4</v>
      </c>
      <c r="J18" s="2244" t="s">
        <v>1105</v>
      </c>
      <c r="K18" s="2291">
        <f t="shared" si="5"/>
        <v>2.3717781818181813E-3</v>
      </c>
      <c r="L18" s="2244" t="s">
        <v>1105</v>
      </c>
      <c r="M18" s="2292">
        <f t="shared" si="6"/>
        <v>8.6965199999999993E-3</v>
      </c>
    </row>
    <row r="19" spans="2:24" ht="11.4">
      <c r="B19" s="2286" t="s">
        <v>1836</v>
      </c>
      <c r="C19" s="2293">
        <v>4</v>
      </c>
      <c r="D19" s="2244" t="s">
        <v>1141</v>
      </c>
      <c r="E19" s="2288">
        <v>97.6</v>
      </c>
      <c r="F19" s="2244" t="s">
        <v>1105</v>
      </c>
      <c r="G19" s="2289">
        <f t="shared" si="3"/>
        <v>390400</v>
      </c>
      <c r="H19" s="2244" t="s">
        <v>1105</v>
      </c>
      <c r="I19" s="2290">
        <f t="shared" si="4"/>
        <v>3.9039999999999995E-4</v>
      </c>
      <c r="J19" s="2244" t="s">
        <v>1105</v>
      </c>
      <c r="K19" s="2291">
        <f t="shared" si="5"/>
        <v>2.9812363636363632E-3</v>
      </c>
      <c r="L19" s="2244" t="s">
        <v>1105</v>
      </c>
      <c r="M19" s="2292">
        <f t="shared" si="6"/>
        <v>1.0931199999999999E-2</v>
      </c>
    </row>
    <row r="20" spans="2:24" ht="11.4">
      <c r="B20" s="2284" t="s">
        <v>719</v>
      </c>
      <c r="C20" s="2296"/>
      <c r="D20" s="2244"/>
      <c r="E20" s="2288"/>
      <c r="F20" s="2244"/>
      <c r="G20" s="2289"/>
      <c r="H20" s="2244"/>
      <c r="I20" s="2290"/>
      <c r="J20" s="2244"/>
      <c r="K20" s="2291"/>
      <c r="L20" s="2244"/>
      <c r="M20" s="2292"/>
    </row>
    <row r="21" spans="2:24" ht="15.75" customHeight="1">
      <c r="B21" s="2286" t="s">
        <v>1837</v>
      </c>
      <c r="C21" s="2295">
        <v>24</v>
      </c>
      <c r="D21" s="2244" t="s">
        <v>1141</v>
      </c>
      <c r="E21" s="2288">
        <v>8</v>
      </c>
      <c r="F21" s="2244" t="s">
        <v>1105</v>
      </c>
      <c r="G21" s="2289">
        <f t="shared" ref="G21:G24" si="7">C21*E21*1000</f>
        <v>192000</v>
      </c>
      <c r="H21" s="2244" t="s">
        <v>1105</v>
      </c>
      <c r="I21" s="2290">
        <f t="shared" ref="I21:I24" si="8">G21/1000*10^-6</f>
        <v>1.92E-4</v>
      </c>
      <c r="J21" s="2244" t="s">
        <v>1105</v>
      </c>
      <c r="K21" s="2291">
        <f>(I21*$Z$7)*(12/44)</f>
        <v>1.4661818181818183E-3</v>
      </c>
      <c r="L21" s="2244" t="s">
        <v>1105</v>
      </c>
      <c r="M21" s="2292">
        <f t="shared" ref="M21:M24" si="9">K21/(12/44)</f>
        <v>5.3760000000000006E-3</v>
      </c>
    </row>
    <row r="22" spans="2:24" ht="15.75" customHeight="1">
      <c r="B22" s="2286" t="s">
        <v>1838</v>
      </c>
      <c r="C22" s="2293">
        <v>12</v>
      </c>
      <c r="D22" s="2244" t="s">
        <v>1141</v>
      </c>
      <c r="E22" s="2288">
        <v>5</v>
      </c>
      <c r="F22" s="2244" t="s">
        <v>1105</v>
      </c>
      <c r="G22" s="2289">
        <f t="shared" si="7"/>
        <v>60000</v>
      </c>
      <c r="H22" s="2244" t="s">
        <v>1105</v>
      </c>
      <c r="I22" s="2290">
        <f t="shared" si="8"/>
        <v>5.9999999999999995E-5</v>
      </c>
      <c r="J22" s="2244" t="s">
        <v>1105</v>
      </c>
      <c r="K22" s="2291">
        <f>(I22*$Z$7)*(12/44)</f>
        <v>4.5818181818181808E-4</v>
      </c>
      <c r="L22" s="2244" t="s">
        <v>1105</v>
      </c>
      <c r="M22" s="2292">
        <f t="shared" si="9"/>
        <v>1.6799999999999999E-3</v>
      </c>
    </row>
    <row r="23" spans="2:24" ht="15.75" customHeight="1">
      <c r="B23" s="2286" t="s">
        <v>1839</v>
      </c>
      <c r="C23" s="2293">
        <v>23</v>
      </c>
      <c r="D23" s="2244" t="s">
        <v>1141</v>
      </c>
      <c r="E23" s="2288">
        <v>1.5</v>
      </c>
      <c r="F23" s="2244" t="s">
        <v>1105</v>
      </c>
      <c r="G23" s="2289">
        <f t="shared" si="7"/>
        <v>34500</v>
      </c>
      <c r="H23" s="2244" t="s">
        <v>1105</v>
      </c>
      <c r="I23" s="2290">
        <f t="shared" si="8"/>
        <v>3.4499999999999998E-5</v>
      </c>
      <c r="J23" s="2244" t="s">
        <v>1105</v>
      </c>
      <c r="K23" s="2291">
        <f>(I23*$Z$7)*(12/44)</f>
        <v>2.634545454545454E-4</v>
      </c>
      <c r="L23" s="2244" t="s">
        <v>1105</v>
      </c>
      <c r="M23" s="2292">
        <f t="shared" si="9"/>
        <v>9.6599999999999984E-4</v>
      </c>
    </row>
    <row r="24" spans="2:24" ht="15.75" customHeight="1">
      <c r="B24" s="2286" t="s">
        <v>1840</v>
      </c>
      <c r="C24" s="2295">
        <v>79.099999999999994</v>
      </c>
      <c r="D24" s="2244" t="s">
        <v>1141</v>
      </c>
      <c r="E24" s="2288">
        <v>18</v>
      </c>
      <c r="F24" s="2244" t="s">
        <v>1105</v>
      </c>
      <c r="G24" s="2289">
        <f t="shared" si="7"/>
        <v>1423800</v>
      </c>
      <c r="H24" s="2244" t="s">
        <v>1105</v>
      </c>
      <c r="I24" s="2290">
        <f t="shared" si="8"/>
        <v>1.4237999999999998E-3</v>
      </c>
      <c r="J24" s="2244" t="s">
        <v>1105</v>
      </c>
      <c r="K24" s="2291">
        <f>(I24*$Z$7)*(12/44)</f>
        <v>1.0872654545454543E-2</v>
      </c>
      <c r="L24" s="2244" t="s">
        <v>1105</v>
      </c>
      <c r="M24" s="2292">
        <f t="shared" si="9"/>
        <v>3.9866399999999996E-2</v>
      </c>
    </row>
    <row r="25" spans="2:24" ht="15.75" customHeight="1">
      <c r="B25" s="2297" t="s">
        <v>1841</v>
      </c>
      <c r="C25" s="2298"/>
      <c r="D25" s="2299"/>
      <c r="E25" s="2299"/>
      <c r="F25" s="2299"/>
      <c r="G25" s="2300">
        <f>SUM(G6:G24)</f>
        <v>18188088.399999999</v>
      </c>
      <c r="H25" s="2301"/>
      <c r="I25" s="2302">
        <f>SUM(I6:I24)</f>
        <v>1.8188088399999996E-2</v>
      </c>
      <c r="J25" s="2301"/>
      <c r="K25" s="2303">
        <f>SUM(K6:K24)</f>
        <v>0.13889085687272726</v>
      </c>
      <c r="L25" s="2304"/>
      <c r="M25" s="2305">
        <f>SUM(M6:M24)</f>
        <v>0.50926647520000001</v>
      </c>
    </row>
    <row r="26" spans="2:24" ht="15.75" customHeight="1">
      <c r="B26" s="2306"/>
      <c r="C26" s="1302"/>
      <c r="D26" s="1496"/>
      <c r="E26" s="1496"/>
      <c r="F26" s="1496"/>
      <c r="G26" s="2307"/>
      <c r="H26" s="298"/>
      <c r="I26" s="2308"/>
      <c r="J26" s="298"/>
      <c r="K26" s="2309"/>
      <c r="L26" s="1"/>
      <c r="M26" s="2309"/>
    </row>
    <row r="27" spans="2:24" ht="15.75" customHeight="1">
      <c r="B27" s="2306"/>
      <c r="C27" s="1302"/>
      <c r="D27" s="1496"/>
      <c r="E27" s="1496"/>
      <c r="F27" s="1496"/>
      <c r="G27" s="2307"/>
      <c r="H27" s="298"/>
      <c r="I27" s="2308"/>
      <c r="J27" s="298"/>
      <c r="K27" s="2309"/>
      <c r="L27" s="1"/>
      <c r="M27" s="2309"/>
    </row>
    <row r="28" spans="2:24" ht="15.75" customHeight="1">
      <c r="B28" s="2310"/>
      <c r="C28" s="2311"/>
      <c r="D28" s="2312"/>
      <c r="E28" s="2312"/>
      <c r="F28" s="2312"/>
      <c r="G28" s="2313"/>
      <c r="H28" s="2314"/>
      <c r="I28" s="2315"/>
      <c r="J28" s="2314"/>
      <c r="K28" s="2316"/>
      <c r="L28" s="935"/>
      <c r="M28" s="2316"/>
      <c r="N28" s="935"/>
      <c r="O28" s="935"/>
      <c r="P28" s="935"/>
      <c r="Q28" s="935"/>
      <c r="R28" s="935"/>
      <c r="S28" s="935"/>
      <c r="T28" s="935"/>
      <c r="U28" s="935"/>
      <c r="V28" s="935"/>
      <c r="W28" s="935"/>
    </row>
    <row r="29" spans="2:24" ht="15.75" customHeight="1">
      <c r="B29" s="2278" t="s">
        <v>1842</v>
      </c>
      <c r="C29" s="2317"/>
      <c r="D29" s="2318"/>
      <c r="E29" s="2318"/>
      <c r="F29" s="2318"/>
      <c r="G29" s="2319"/>
      <c r="H29" s="2320"/>
      <c r="I29" s="2321"/>
      <c r="J29" s="2320"/>
      <c r="K29" s="2322"/>
      <c r="L29" s="2279"/>
      <c r="M29" s="2322"/>
      <c r="N29" s="2279"/>
      <c r="O29" s="2279"/>
      <c r="P29" s="2279"/>
      <c r="Q29" s="2279"/>
      <c r="R29" s="2279"/>
      <c r="S29" s="2279"/>
      <c r="T29" s="2279"/>
      <c r="U29" s="2279"/>
      <c r="V29" s="2279"/>
      <c r="W29" s="2280"/>
      <c r="X29" s="1"/>
    </row>
    <row r="30" spans="2:24" ht="15.75" customHeight="1">
      <c r="B30" s="1725"/>
      <c r="C30" s="2323" t="s">
        <v>1843</v>
      </c>
      <c r="D30" s="2324"/>
      <c r="E30" s="2323" t="s">
        <v>1844</v>
      </c>
      <c r="F30" s="2323"/>
      <c r="G30" s="2325" t="s">
        <v>1845</v>
      </c>
      <c r="H30" s="2325"/>
      <c r="I30" s="2323" t="s">
        <v>1846</v>
      </c>
      <c r="J30" s="2301"/>
      <c r="K30" s="2323" t="s">
        <v>1847</v>
      </c>
      <c r="L30" s="2323"/>
      <c r="M30" s="2323" t="s">
        <v>1848</v>
      </c>
      <c r="N30" s="2323"/>
      <c r="O30" s="2323" t="s">
        <v>1849</v>
      </c>
      <c r="P30" s="2323"/>
      <c r="Q30" s="2323" t="s">
        <v>1850</v>
      </c>
      <c r="R30" s="2323"/>
      <c r="S30" s="2323" t="s">
        <v>1851</v>
      </c>
      <c r="T30" s="2323"/>
      <c r="U30" s="2323" t="s">
        <v>1852</v>
      </c>
      <c r="V30" s="2323"/>
      <c r="W30" s="2326" t="s">
        <v>1853</v>
      </c>
    </row>
    <row r="31" spans="2:24" ht="15.75" customHeight="1">
      <c r="B31" s="2327" t="s">
        <v>1824</v>
      </c>
      <c r="C31" s="2328"/>
      <c r="D31" s="2329"/>
      <c r="E31" s="2330"/>
      <c r="F31" s="2329"/>
      <c r="G31" s="2329"/>
      <c r="H31" s="2329"/>
      <c r="I31" s="2331"/>
      <c r="J31" s="2331"/>
      <c r="K31" s="2331"/>
      <c r="L31" s="2331"/>
      <c r="M31" s="2332"/>
      <c r="N31" s="2331"/>
      <c r="O31" s="2333"/>
      <c r="P31" s="2334"/>
      <c r="Q31" s="2335"/>
      <c r="R31" s="2331"/>
      <c r="S31" s="2331"/>
      <c r="T31" s="2331"/>
      <c r="U31" s="2331"/>
      <c r="V31" s="2331"/>
      <c r="W31" s="2336"/>
    </row>
    <row r="32" spans="2:24" ht="15.75" customHeight="1">
      <c r="B32" s="2286" t="s">
        <v>1825</v>
      </c>
      <c r="C32" s="2337">
        <v>53</v>
      </c>
      <c r="D32" s="2244" t="s">
        <v>1141</v>
      </c>
      <c r="E32" s="2338">
        <v>680</v>
      </c>
      <c r="F32" s="2244" t="s">
        <v>1141</v>
      </c>
      <c r="G32" s="2288">
        <v>9.9102243378572403</v>
      </c>
      <c r="H32" s="2244" t="s">
        <v>1105</v>
      </c>
      <c r="I32" s="2339">
        <f t="shared" ref="I32:I33" si="10">C32*E32*G32*365</f>
        <v>130365037.07477686</v>
      </c>
      <c r="J32" s="2244" t="s">
        <v>1141</v>
      </c>
      <c r="K32" s="2340">
        <v>0.24</v>
      </c>
      <c r="L32" s="2341" t="s">
        <v>1141</v>
      </c>
      <c r="M32" s="2342">
        <v>0.11818290022824871</v>
      </c>
      <c r="N32" s="2341" t="s">
        <v>1105</v>
      </c>
      <c r="O32" s="2339">
        <f t="shared" ref="O32:O33" si="11">(I32*K32)*M32</f>
        <v>3697660.3607664709</v>
      </c>
      <c r="P32" s="2244" t="s">
        <v>1105</v>
      </c>
      <c r="Q32" s="2343">
        <f t="shared" ref="Q32:Q33" si="12">O32*0.000662</f>
        <v>2447.8511588274041</v>
      </c>
      <c r="R32" s="2244" t="s">
        <v>1105</v>
      </c>
      <c r="S32" s="2344">
        <f t="shared" ref="S32:S33" si="13">Q32/1000000</f>
        <v>2.4478511588274039E-3</v>
      </c>
      <c r="T32" s="2244" t="s">
        <v>1105</v>
      </c>
      <c r="U32" s="2344">
        <f>(S32*$Z$7)*12/44</f>
        <v>1.8692681576500173E-2</v>
      </c>
      <c r="V32" s="2244" t="s">
        <v>1105</v>
      </c>
      <c r="W32" s="2345">
        <f t="shared" ref="W32:W33" si="14">U32/(12/44)</f>
        <v>6.8539832447167312E-2</v>
      </c>
    </row>
    <row r="33" spans="2:23" ht="15.75" customHeight="1">
      <c r="B33" s="2346" t="s">
        <v>1826</v>
      </c>
      <c r="C33" s="2337">
        <v>28</v>
      </c>
      <c r="D33" s="2244" t="s">
        <v>1141</v>
      </c>
      <c r="E33" s="2338">
        <v>476</v>
      </c>
      <c r="F33" s="2244" t="s">
        <v>1141</v>
      </c>
      <c r="G33" s="2288">
        <v>8.4234562108475171</v>
      </c>
      <c r="H33" s="2244" t="s">
        <v>1105</v>
      </c>
      <c r="I33" s="2339">
        <f t="shared" si="10"/>
        <v>40977755.898034133</v>
      </c>
      <c r="J33" s="2244" t="s">
        <v>1141</v>
      </c>
      <c r="K33" s="2340">
        <v>0.17</v>
      </c>
      <c r="L33" s="2341" t="s">
        <v>1141</v>
      </c>
      <c r="M33" s="2342">
        <v>1.2467660091668786E-2</v>
      </c>
      <c r="N33" s="2341" t="s">
        <v>1105</v>
      </c>
      <c r="O33" s="2339">
        <f t="shared" si="11"/>
        <v>86852.444415531107</v>
      </c>
      <c r="P33" s="2244" t="s">
        <v>1105</v>
      </c>
      <c r="Q33" s="2343">
        <f t="shared" si="12"/>
        <v>57.4963182030816</v>
      </c>
      <c r="R33" s="2244" t="s">
        <v>1105</v>
      </c>
      <c r="S33" s="2344">
        <f t="shared" si="13"/>
        <v>5.74963182030816E-5</v>
      </c>
      <c r="T33" s="2244" t="s">
        <v>1105</v>
      </c>
      <c r="U33" s="2344">
        <f>(S33*$Z$7)*12/44</f>
        <v>4.3906279355080492E-4</v>
      </c>
      <c r="V33" s="2244" t="s">
        <v>1105</v>
      </c>
      <c r="W33" s="2345">
        <f t="shared" si="14"/>
        <v>1.6098969096862848E-3</v>
      </c>
    </row>
    <row r="34" spans="2:23" ht="15.75" customHeight="1">
      <c r="B34" s="2347" t="s">
        <v>1829</v>
      </c>
      <c r="C34" s="2348"/>
      <c r="D34" s="2349"/>
      <c r="E34" s="2350"/>
      <c r="F34" s="2349"/>
      <c r="G34" s="2351"/>
      <c r="H34" s="2349"/>
      <c r="I34" s="2352"/>
      <c r="J34" s="2349"/>
      <c r="K34" s="2353"/>
      <c r="L34" s="2349"/>
      <c r="M34" s="2349"/>
      <c r="N34" s="2349"/>
      <c r="O34" s="2352"/>
      <c r="P34" s="2349"/>
      <c r="Q34" s="2354"/>
      <c r="R34" s="2349"/>
      <c r="S34" s="2355"/>
      <c r="T34" s="2349"/>
      <c r="U34" s="2355"/>
      <c r="V34" s="2349"/>
      <c r="W34" s="2356"/>
    </row>
    <row r="35" spans="2:23" ht="15.75" customHeight="1">
      <c r="B35" s="2346" t="s">
        <v>1834</v>
      </c>
      <c r="C35" s="2357">
        <v>3.9119999999999999</v>
      </c>
      <c r="D35" s="2244" t="s">
        <v>1141</v>
      </c>
      <c r="E35" s="2338">
        <v>420</v>
      </c>
      <c r="F35" s="2244" t="s">
        <v>1141</v>
      </c>
      <c r="G35" s="2288">
        <v>4.4494891690016054</v>
      </c>
      <c r="H35" s="2244" t="s">
        <v>1105</v>
      </c>
      <c r="I35" s="2339">
        <f t="shared" ref="I35:I42" si="15">C35*E35*G35*365</f>
        <v>2668401.369746285</v>
      </c>
      <c r="J35" s="2244" t="s">
        <v>1141</v>
      </c>
      <c r="K35" s="2340">
        <v>0.33</v>
      </c>
      <c r="L35" s="2244" t="s">
        <v>1141</v>
      </c>
      <c r="M35" s="2342">
        <v>1.3123459123854105E-2</v>
      </c>
      <c r="N35" s="2244" t="s">
        <v>1105</v>
      </c>
      <c r="O35" s="2339">
        <f t="shared" ref="O35:O42" si="16">(I35*K35)*M35</f>
        <v>11556.156579627554</v>
      </c>
      <c r="P35" s="2244" t="s">
        <v>1105</v>
      </c>
      <c r="Q35" s="2343">
        <f t="shared" ref="Q35:Q42" si="17">O35*0.000662</f>
        <v>7.6501756557134408</v>
      </c>
      <c r="R35" s="2358" t="s">
        <v>1105</v>
      </c>
      <c r="S35" s="2344">
        <f t="shared" ref="S35:S42" si="18">Q35/1000000</f>
        <v>7.650175655713441E-6</v>
      </c>
      <c r="T35" s="2358" t="s">
        <v>1105</v>
      </c>
      <c r="U35" s="2344">
        <f t="shared" ref="U35:U42" si="19">(S35*$Z$7)*12/44</f>
        <v>5.8419523189084461E-5</v>
      </c>
      <c r="V35" s="2358" t="s">
        <v>1105</v>
      </c>
      <c r="W35" s="2345">
        <f t="shared" ref="W35:W42" si="20">U35/(12/44)</f>
        <v>2.1420491835997637E-4</v>
      </c>
    </row>
    <row r="36" spans="2:23" ht="15.75" customHeight="1">
      <c r="B36" s="2346" t="s">
        <v>1835</v>
      </c>
      <c r="C36" s="2357">
        <v>7.3949999999999996</v>
      </c>
      <c r="D36" s="2244" t="s">
        <v>1141</v>
      </c>
      <c r="E36" s="2338">
        <v>420</v>
      </c>
      <c r="F36" s="2244" t="s">
        <v>1141</v>
      </c>
      <c r="G36" s="2288">
        <v>4.0511716824525843</v>
      </c>
      <c r="H36" s="2244" t="s">
        <v>1105</v>
      </c>
      <c r="I36" s="2339">
        <f t="shared" si="15"/>
        <v>4592624.9569132598</v>
      </c>
      <c r="J36" s="2244" t="s">
        <v>1141</v>
      </c>
      <c r="K36" s="2340">
        <v>0.33</v>
      </c>
      <c r="L36" s="2244" t="s">
        <v>1141</v>
      </c>
      <c r="M36" s="2342">
        <v>1.2974017738876182E-2</v>
      </c>
      <c r="N36" s="2244" t="s">
        <v>1105</v>
      </c>
      <c r="O36" s="2339">
        <f t="shared" si="16"/>
        <v>19662.983227469373</v>
      </c>
      <c r="P36" s="2244" t="s">
        <v>1105</v>
      </c>
      <c r="Q36" s="2343">
        <f t="shared" si="17"/>
        <v>13.016894896584725</v>
      </c>
      <c r="R36" s="2358" t="s">
        <v>1105</v>
      </c>
      <c r="S36" s="2344">
        <f t="shared" si="18"/>
        <v>1.3016894896584725E-5</v>
      </c>
      <c r="T36" s="2358" t="s">
        <v>1105</v>
      </c>
      <c r="U36" s="2344">
        <f t="shared" si="19"/>
        <v>9.9401742846646994E-5</v>
      </c>
      <c r="V36" s="2358" t="s">
        <v>1105</v>
      </c>
      <c r="W36" s="2345">
        <f t="shared" si="20"/>
        <v>3.6447305710437232E-4</v>
      </c>
    </row>
    <row r="37" spans="2:23" ht="15.75" customHeight="1">
      <c r="B37" s="2346" t="s">
        <v>1836</v>
      </c>
      <c r="C37" s="2337">
        <v>4</v>
      </c>
      <c r="D37" s="2244" t="s">
        <v>1141</v>
      </c>
      <c r="E37" s="2338">
        <v>750</v>
      </c>
      <c r="F37" s="2244" t="s">
        <v>1141</v>
      </c>
      <c r="G37" s="2288">
        <v>6.04</v>
      </c>
      <c r="H37" s="2244" t="s">
        <v>1105</v>
      </c>
      <c r="I37" s="2339">
        <f t="shared" si="15"/>
        <v>6613800</v>
      </c>
      <c r="J37" s="2244" t="s">
        <v>1141</v>
      </c>
      <c r="K37" s="2340">
        <v>0.17</v>
      </c>
      <c r="L37" s="2244" t="s">
        <v>1141</v>
      </c>
      <c r="M37" s="2342">
        <v>1.0999999999999999E-2</v>
      </c>
      <c r="N37" s="2244" t="s">
        <v>1105</v>
      </c>
      <c r="O37" s="2339">
        <f t="shared" si="16"/>
        <v>12367.805999999999</v>
      </c>
      <c r="P37" s="2244" t="s">
        <v>1105</v>
      </c>
      <c r="Q37" s="2343">
        <f t="shared" si="17"/>
        <v>8.1874875720000002</v>
      </c>
      <c r="R37" s="2358" t="s">
        <v>1105</v>
      </c>
      <c r="S37" s="2344">
        <f t="shared" si="18"/>
        <v>8.187487572000001E-6</v>
      </c>
      <c r="T37" s="2358" t="s">
        <v>1105</v>
      </c>
      <c r="U37" s="2344">
        <f t="shared" si="19"/>
        <v>6.2522632368000001E-5</v>
      </c>
      <c r="V37" s="2358" t="s">
        <v>1105</v>
      </c>
      <c r="W37" s="2345">
        <f t="shared" si="20"/>
        <v>2.2924965201600003E-4</v>
      </c>
    </row>
    <row r="38" spans="2:23" ht="15.75" customHeight="1">
      <c r="B38" s="2346" t="s">
        <v>1854</v>
      </c>
      <c r="C38" s="2337">
        <v>36</v>
      </c>
      <c r="D38" s="2244" t="s">
        <v>1141</v>
      </c>
      <c r="E38" s="2338">
        <v>118</v>
      </c>
      <c r="F38" s="2244" t="s">
        <v>1141</v>
      </c>
      <c r="G38" s="2288">
        <v>6.41</v>
      </c>
      <c r="H38" s="2244" t="s">
        <v>1105</v>
      </c>
      <c r="I38" s="2339">
        <f t="shared" si="15"/>
        <v>9938833.1999999993</v>
      </c>
      <c r="J38" s="2244" t="s">
        <v>1141</v>
      </c>
      <c r="K38" s="2340">
        <v>0.17</v>
      </c>
      <c r="L38" s="2244" t="s">
        <v>1141</v>
      </c>
      <c r="M38" s="2342">
        <v>1.0999999999999999E-2</v>
      </c>
      <c r="N38" s="2244" t="s">
        <v>1105</v>
      </c>
      <c r="O38" s="2339">
        <f t="shared" si="16"/>
        <v>18585.618084000002</v>
      </c>
      <c r="P38" s="2244" t="s">
        <v>1105</v>
      </c>
      <c r="Q38" s="2343">
        <f t="shared" si="17"/>
        <v>12.303679171608001</v>
      </c>
      <c r="R38" s="2358" t="s">
        <v>1105</v>
      </c>
      <c r="S38" s="2344">
        <f t="shared" si="18"/>
        <v>1.2303679171608001E-5</v>
      </c>
      <c r="T38" s="2358" t="s">
        <v>1105</v>
      </c>
      <c r="U38" s="2344">
        <f t="shared" si="19"/>
        <v>9.3955368219552008E-5</v>
      </c>
      <c r="V38" s="2358" t="s">
        <v>1105</v>
      </c>
      <c r="W38" s="2345">
        <f t="shared" si="20"/>
        <v>3.4450301680502408E-4</v>
      </c>
    </row>
    <row r="39" spans="2:23" ht="15.75" customHeight="1">
      <c r="B39" s="2346" t="s">
        <v>1830</v>
      </c>
      <c r="C39" s="2337">
        <v>42</v>
      </c>
      <c r="D39" s="2244" t="s">
        <v>1141</v>
      </c>
      <c r="E39" s="2338">
        <v>533</v>
      </c>
      <c r="F39" s="2244" t="s">
        <v>1141</v>
      </c>
      <c r="G39" s="2288">
        <v>7.4944796348701379</v>
      </c>
      <c r="H39" s="2244" t="s">
        <v>1105</v>
      </c>
      <c r="I39" s="2339">
        <f t="shared" si="15"/>
        <v>61236568.703764059</v>
      </c>
      <c r="J39" s="2244" t="s">
        <v>1141</v>
      </c>
      <c r="K39" s="2340">
        <v>0.17</v>
      </c>
      <c r="L39" s="2244" t="s">
        <v>1141</v>
      </c>
      <c r="M39" s="2342">
        <v>1.0999999999999999E-2</v>
      </c>
      <c r="N39" s="2244" t="s">
        <v>1105</v>
      </c>
      <c r="O39" s="2339">
        <f t="shared" si="16"/>
        <v>114512.3834760388</v>
      </c>
      <c r="P39" s="2244" t="s">
        <v>1105</v>
      </c>
      <c r="Q39" s="2343">
        <f t="shared" si="17"/>
        <v>75.807197861137695</v>
      </c>
      <c r="R39" s="2358" t="s">
        <v>1105</v>
      </c>
      <c r="S39" s="2344">
        <f t="shared" si="18"/>
        <v>7.5807197861137699E-5</v>
      </c>
      <c r="T39" s="2358" t="s">
        <v>1105</v>
      </c>
      <c r="U39" s="2344">
        <f t="shared" si="19"/>
        <v>5.7889132912141512E-4</v>
      </c>
      <c r="V39" s="2358" t="s">
        <v>1105</v>
      </c>
      <c r="W39" s="2345">
        <f t="shared" si="20"/>
        <v>2.1226015401118554E-3</v>
      </c>
    </row>
    <row r="40" spans="2:23" ht="15.75" customHeight="1">
      <c r="B40" s="2346" t="s">
        <v>1831</v>
      </c>
      <c r="C40" s="2337">
        <v>10</v>
      </c>
      <c r="D40" s="2244" t="s">
        <v>1141</v>
      </c>
      <c r="E40" s="2338">
        <v>420</v>
      </c>
      <c r="F40" s="2244" t="s">
        <v>1141</v>
      </c>
      <c r="G40" s="2288">
        <v>7.5904766546383824</v>
      </c>
      <c r="H40" s="2244" t="s">
        <v>1105</v>
      </c>
      <c r="I40" s="2339">
        <f t="shared" si="15"/>
        <v>11636200.71156064</v>
      </c>
      <c r="J40" s="2244" t="s">
        <v>1141</v>
      </c>
      <c r="K40" s="2340">
        <v>0.17</v>
      </c>
      <c r="L40" s="2244" t="s">
        <v>1141</v>
      </c>
      <c r="M40" s="2342">
        <v>1.0999999999999999E-2</v>
      </c>
      <c r="N40" s="2244" t="s">
        <v>1105</v>
      </c>
      <c r="O40" s="2339">
        <f t="shared" si="16"/>
        <v>21759.695330618397</v>
      </c>
      <c r="P40" s="2244" t="s">
        <v>1105</v>
      </c>
      <c r="Q40" s="2343">
        <f t="shared" si="17"/>
        <v>14.40491830886938</v>
      </c>
      <c r="R40" s="2358" t="s">
        <v>1105</v>
      </c>
      <c r="S40" s="2344">
        <f t="shared" si="18"/>
        <v>1.4404918308869381E-5</v>
      </c>
      <c r="T40" s="2358" t="s">
        <v>1105</v>
      </c>
      <c r="U40" s="2344">
        <f t="shared" si="19"/>
        <v>1.1000119435863892E-4</v>
      </c>
      <c r="V40" s="2358" t="s">
        <v>1105</v>
      </c>
      <c r="W40" s="2345">
        <f t="shared" si="20"/>
        <v>4.0333771264834271E-4</v>
      </c>
    </row>
    <row r="41" spans="2:23" ht="15.75" customHeight="1">
      <c r="B41" s="2346" t="s">
        <v>1833</v>
      </c>
      <c r="C41" s="2337">
        <v>15</v>
      </c>
      <c r="D41" s="2244" t="s">
        <v>1141</v>
      </c>
      <c r="E41" s="2338">
        <v>318</v>
      </c>
      <c r="F41" s="2244" t="s">
        <v>1141</v>
      </c>
      <c r="G41" s="2288">
        <v>8.057750625264946</v>
      </c>
      <c r="H41" s="2244" t="s">
        <v>1105</v>
      </c>
      <c r="I41" s="2339">
        <f t="shared" si="15"/>
        <v>14028946.726117536</v>
      </c>
      <c r="J41" s="2244" t="s">
        <v>1141</v>
      </c>
      <c r="K41" s="2340">
        <v>0.17</v>
      </c>
      <c r="L41" s="2244" t="s">
        <v>1141</v>
      </c>
      <c r="M41" s="2342">
        <v>1.0999999999999999E-2</v>
      </c>
      <c r="N41" s="2244" t="s">
        <v>1105</v>
      </c>
      <c r="O41" s="2339">
        <f t="shared" si="16"/>
        <v>26234.130377839796</v>
      </c>
      <c r="P41" s="2358" t="s">
        <v>1105</v>
      </c>
      <c r="Q41" s="2343">
        <f t="shared" si="17"/>
        <v>17.366994310129947</v>
      </c>
      <c r="R41" s="2358" t="s">
        <v>1105</v>
      </c>
      <c r="S41" s="2344">
        <f t="shared" si="18"/>
        <v>1.7366994310129948E-5</v>
      </c>
      <c r="T41" s="2358" t="s">
        <v>1105</v>
      </c>
      <c r="U41" s="2344">
        <f t="shared" si="19"/>
        <v>1.3262068382281051E-4</v>
      </c>
      <c r="V41" s="2358" t="s">
        <v>1105</v>
      </c>
      <c r="W41" s="2345">
        <f t="shared" si="20"/>
        <v>4.8627584068363858E-4</v>
      </c>
    </row>
    <row r="42" spans="2:23" ht="15.75" customHeight="1">
      <c r="B42" s="2346" t="s">
        <v>1832</v>
      </c>
      <c r="C42" s="2337">
        <v>7</v>
      </c>
      <c r="D42" s="2244" t="s">
        <v>1141</v>
      </c>
      <c r="E42" s="2338">
        <v>420</v>
      </c>
      <c r="F42" s="2244" t="s">
        <v>1141</v>
      </c>
      <c r="G42" s="2288">
        <v>8.4906077943936555</v>
      </c>
      <c r="H42" s="2244" t="s">
        <v>1105</v>
      </c>
      <c r="I42" s="2339">
        <f t="shared" si="15"/>
        <v>9111271.2241638321</v>
      </c>
      <c r="J42" s="2244" t="s">
        <v>1141</v>
      </c>
      <c r="K42" s="2340">
        <v>0.17</v>
      </c>
      <c r="L42" s="2244" t="s">
        <v>1141</v>
      </c>
      <c r="M42" s="2342">
        <v>1.0999999999999999E-2</v>
      </c>
      <c r="N42" s="2244" t="s">
        <v>1105</v>
      </c>
      <c r="O42" s="2339">
        <f t="shared" si="16"/>
        <v>17038.077189186366</v>
      </c>
      <c r="P42" s="2244" t="s">
        <v>1105</v>
      </c>
      <c r="Q42" s="2343">
        <f t="shared" si="17"/>
        <v>11.279207099241376</v>
      </c>
      <c r="R42" s="2358" t="s">
        <v>1105</v>
      </c>
      <c r="S42" s="2344">
        <f t="shared" si="18"/>
        <v>1.1279207099241375E-5</v>
      </c>
      <c r="T42" s="2358" t="s">
        <v>1105</v>
      </c>
      <c r="U42" s="2344">
        <f t="shared" si="19"/>
        <v>8.61321269396614E-5</v>
      </c>
      <c r="V42" s="2358" t="s">
        <v>1105</v>
      </c>
      <c r="W42" s="2345">
        <f t="shared" si="20"/>
        <v>3.158177987787585E-4</v>
      </c>
    </row>
    <row r="43" spans="2:23" ht="15.75" customHeight="1">
      <c r="B43" s="2347" t="s">
        <v>1839</v>
      </c>
      <c r="C43" s="2348"/>
      <c r="D43" s="2349"/>
      <c r="E43" s="2350"/>
      <c r="F43" s="2349"/>
      <c r="G43" s="2351"/>
      <c r="H43" s="2349"/>
      <c r="I43" s="2352"/>
      <c r="J43" s="2349"/>
      <c r="K43" s="2353"/>
      <c r="L43" s="2349"/>
      <c r="M43" s="2349"/>
      <c r="N43" s="2349"/>
      <c r="O43" s="2352"/>
      <c r="P43" s="2349"/>
      <c r="Q43" s="2354"/>
      <c r="R43" s="2359"/>
      <c r="S43" s="2355"/>
      <c r="T43" s="2359"/>
      <c r="U43" s="2355"/>
      <c r="V43" s="2359"/>
      <c r="W43" s="2356"/>
    </row>
    <row r="44" spans="2:23" ht="15.75" customHeight="1">
      <c r="B44" s="2346" t="s">
        <v>1855</v>
      </c>
      <c r="C44" s="2337">
        <v>2</v>
      </c>
      <c r="D44" s="2244" t="s">
        <v>1141</v>
      </c>
      <c r="E44" s="2338">
        <v>198</v>
      </c>
      <c r="F44" s="2244" t="s">
        <v>1141</v>
      </c>
      <c r="G44" s="2288">
        <v>2.6</v>
      </c>
      <c r="H44" s="2244" t="s">
        <v>1105</v>
      </c>
      <c r="I44" s="2339">
        <f t="shared" ref="I44:I48" si="21">C44*E44*G44*365</f>
        <v>375804.00000000006</v>
      </c>
      <c r="J44" s="2244" t="s">
        <v>1141</v>
      </c>
      <c r="K44" s="2340">
        <v>0.48</v>
      </c>
      <c r="L44" s="2244" t="s">
        <v>1141</v>
      </c>
      <c r="M44" s="2342">
        <v>0.30060131865467832</v>
      </c>
      <c r="N44" s="2244" t="s">
        <v>1105</v>
      </c>
      <c r="O44" s="2339">
        <f t="shared" ref="O44:O48" si="22">(I44*K44)*M44</f>
        <v>54224.245418737315</v>
      </c>
      <c r="P44" s="2244" t="s">
        <v>1105</v>
      </c>
      <c r="Q44" s="2343">
        <f t="shared" ref="Q44:Q48" si="23">O44*0.000662</f>
        <v>35.896450467204104</v>
      </c>
      <c r="R44" s="2244" t="s">
        <v>1105</v>
      </c>
      <c r="S44" s="2344">
        <f t="shared" ref="S44:S48" si="24">Q44/1000000</f>
        <v>3.5896450467204103E-5</v>
      </c>
      <c r="T44" s="2244" t="s">
        <v>1105</v>
      </c>
      <c r="U44" s="2344">
        <f>(S44*$Z$7)*12/44</f>
        <v>2.7411834902228585E-4</v>
      </c>
      <c r="V44" s="2244" t="s">
        <v>1105</v>
      </c>
      <c r="W44" s="2345">
        <f t="shared" ref="W44:W48" si="25">U44/(12/44)</f>
        <v>1.0051006130817148E-3</v>
      </c>
    </row>
    <row r="45" spans="2:23" ht="15.75" customHeight="1">
      <c r="B45" s="2346" t="s">
        <v>1856</v>
      </c>
      <c r="C45" s="2337">
        <v>9</v>
      </c>
      <c r="D45" s="2244" t="s">
        <v>1141</v>
      </c>
      <c r="E45" s="2338">
        <v>15.88</v>
      </c>
      <c r="F45" s="2244" t="s">
        <v>1141</v>
      </c>
      <c r="G45" s="2288">
        <v>8.8000000000000007</v>
      </c>
      <c r="H45" s="2244" t="s">
        <v>1105</v>
      </c>
      <c r="I45" s="2339">
        <f t="shared" si="21"/>
        <v>459059.04000000004</v>
      </c>
      <c r="J45" s="2244" t="s">
        <v>1141</v>
      </c>
      <c r="K45" s="2340">
        <v>0.48</v>
      </c>
      <c r="L45" s="2244" t="s">
        <v>1141</v>
      </c>
      <c r="M45" s="2342">
        <v>0.30016800271641908</v>
      </c>
      <c r="N45" s="2244" t="s">
        <v>1105</v>
      </c>
      <c r="O45" s="2339">
        <f t="shared" si="22"/>
        <v>66141.520879544041</v>
      </c>
      <c r="P45" s="2244" t="s">
        <v>1105</v>
      </c>
      <c r="Q45" s="2343">
        <f t="shared" si="23"/>
        <v>43.785686822258157</v>
      </c>
      <c r="R45" s="2244" t="s">
        <v>1105</v>
      </c>
      <c r="S45" s="2344">
        <f t="shared" si="24"/>
        <v>4.378568682225816E-5</v>
      </c>
      <c r="T45" s="2244" t="s">
        <v>1105</v>
      </c>
      <c r="U45" s="2344">
        <f>(S45*$Z$7)*12/44</f>
        <v>3.3436342664269867E-4</v>
      </c>
      <c r="V45" s="2244" t="s">
        <v>1105</v>
      </c>
      <c r="W45" s="2345">
        <f t="shared" si="25"/>
        <v>1.2259992310232285E-3</v>
      </c>
    </row>
    <row r="46" spans="2:23" ht="15.75" customHeight="1">
      <c r="B46" s="2346" t="s">
        <v>1857</v>
      </c>
      <c r="C46" s="2357">
        <v>7</v>
      </c>
      <c r="D46" s="2244" t="s">
        <v>1141</v>
      </c>
      <c r="E46" s="2338">
        <v>40.6</v>
      </c>
      <c r="F46" s="2244" t="s">
        <v>1141</v>
      </c>
      <c r="G46" s="2288">
        <v>5.4</v>
      </c>
      <c r="H46" s="2244" t="s">
        <v>1105</v>
      </c>
      <c r="I46" s="2339">
        <f t="shared" si="21"/>
        <v>560158.20000000007</v>
      </c>
      <c r="J46" s="2244" t="s">
        <v>1141</v>
      </c>
      <c r="K46" s="2340">
        <v>0.48</v>
      </c>
      <c r="L46" s="2244" t="s">
        <v>1141</v>
      </c>
      <c r="M46" s="2342">
        <v>0.30016800271641908</v>
      </c>
      <c r="N46" s="2244" t="s">
        <v>1105</v>
      </c>
      <c r="O46" s="2339">
        <f t="shared" si="22"/>
        <v>80707.952687627738</v>
      </c>
      <c r="P46" s="2244" t="s">
        <v>1105</v>
      </c>
      <c r="Q46" s="2343">
        <f t="shared" si="23"/>
        <v>53.428664679209568</v>
      </c>
      <c r="R46" s="2244" t="s">
        <v>1105</v>
      </c>
      <c r="S46" s="2344">
        <f t="shared" si="24"/>
        <v>5.3428664679209571E-5</v>
      </c>
      <c r="T46" s="2244" t="s">
        <v>1105</v>
      </c>
      <c r="U46" s="2344">
        <f>(S46*$Z$7)*12/44</f>
        <v>4.0800071209578219E-4</v>
      </c>
      <c r="V46" s="2244" t="s">
        <v>1105</v>
      </c>
      <c r="W46" s="2345">
        <f t="shared" si="25"/>
        <v>1.4960026110178682E-3</v>
      </c>
    </row>
    <row r="47" spans="2:23" ht="15.75" customHeight="1">
      <c r="B47" s="2346" t="s">
        <v>1858</v>
      </c>
      <c r="C47" s="2337">
        <v>4</v>
      </c>
      <c r="D47" s="2244" t="s">
        <v>1141</v>
      </c>
      <c r="E47" s="2338">
        <v>67.819999999999993</v>
      </c>
      <c r="F47" s="2244" t="s">
        <v>1141</v>
      </c>
      <c r="G47" s="2288">
        <v>5.4</v>
      </c>
      <c r="H47" s="2244" t="s">
        <v>1105</v>
      </c>
      <c r="I47" s="2339">
        <f t="shared" si="21"/>
        <v>534692.88</v>
      </c>
      <c r="J47" s="2244" t="s">
        <v>1141</v>
      </c>
      <c r="K47" s="2340">
        <v>0.48</v>
      </c>
      <c r="L47" s="2244" t="s">
        <v>1141</v>
      </c>
      <c r="M47" s="2342">
        <v>0.30016800271641908</v>
      </c>
      <c r="N47" s="2244" t="s">
        <v>1105</v>
      </c>
      <c r="O47" s="2339">
        <f t="shared" si="22"/>
        <v>77038.893051019171</v>
      </c>
      <c r="P47" s="2244" t="s">
        <v>1105</v>
      </c>
      <c r="Q47" s="2343">
        <f t="shared" si="23"/>
        <v>50.999747199774696</v>
      </c>
      <c r="R47" s="2244" t="s">
        <v>1105</v>
      </c>
      <c r="S47" s="2344">
        <f t="shared" si="24"/>
        <v>5.0999747199774693E-5</v>
      </c>
      <c r="T47" s="2244" t="s">
        <v>1105</v>
      </c>
      <c r="U47" s="2344">
        <f>(S47*$Z$7)*12/44</f>
        <v>3.8945261498009765E-4</v>
      </c>
      <c r="V47" s="2244" t="s">
        <v>1105</v>
      </c>
      <c r="W47" s="2345">
        <f t="shared" si="25"/>
        <v>1.4279929215936914E-3</v>
      </c>
    </row>
    <row r="48" spans="2:23" ht="15.75" customHeight="1">
      <c r="B48" s="2346" t="s">
        <v>1859</v>
      </c>
      <c r="C48" s="2337">
        <v>4</v>
      </c>
      <c r="D48" s="2244" t="s">
        <v>1141</v>
      </c>
      <c r="E48" s="2338">
        <v>90.75</v>
      </c>
      <c r="F48" s="2244" t="s">
        <v>1141</v>
      </c>
      <c r="G48" s="2288">
        <v>5.4</v>
      </c>
      <c r="H48" s="2244" t="s">
        <v>1105</v>
      </c>
      <c r="I48" s="2339">
        <f t="shared" si="21"/>
        <v>715473</v>
      </c>
      <c r="J48" s="2244" t="s">
        <v>1141</v>
      </c>
      <c r="K48" s="2340">
        <v>0.48</v>
      </c>
      <c r="L48" s="2244" t="s">
        <v>1141</v>
      </c>
      <c r="M48" s="2342">
        <v>0.30016800271641908</v>
      </c>
      <c r="N48" s="2244" t="s">
        <v>1105</v>
      </c>
      <c r="O48" s="2339">
        <f t="shared" si="22"/>
        <v>103085.80867561176</v>
      </c>
      <c r="P48" s="2244" t="s">
        <v>1105</v>
      </c>
      <c r="Q48" s="2343">
        <f t="shared" si="23"/>
        <v>68.242805343254986</v>
      </c>
      <c r="R48" s="2244" t="s">
        <v>1105</v>
      </c>
      <c r="S48" s="2344">
        <f t="shared" si="24"/>
        <v>6.8242805343254989E-5</v>
      </c>
      <c r="T48" s="2244" t="s">
        <v>1105</v>
      </c>
      <c r="U48" s="2344">
        <f>(S48*$Z$7)*12/44</f>
        <v>5.2112687716667448E-4</v>
      </c>
      <c r="V48" s="2244" t="s">
        <v>1105</v>
      </c>
      <c r="W48" s="2345">
        <f t="shared" si="25"/>
        <v>1.9107985496111398E-3</v>
      </c>
    </row>
    <row r="49" spans="1:23" ht="15.75" customHeight="1">
      <c r="B49" s="2347" t="s">
        <v>1814</v>
      </c>
      <c r="C49" s="2360"/>
      <c r="D49" s="2361"/>
      <c r="E49" s="2350"/>
      <c r="F49" s="2349"/>
      <c r="G49" s="2349"/>
      <c r="H49" s="2349"/>
      <c r="I49" s="2352"/>
      <c r="J49" s="2349"/>
      <c r="K49" s="2353"/>
      <c r="L49" s="2349"/>
      <c r="M49" s="2362"/>
      <c r="N49" s="2349"/>
      <c r="O49" s="2352"/>
      <c r="P49" s="2349"/>
      <c r="Q49" s="2354"/>
      <c r="R49" s="2349"/>
      <c r="S49" s="2355"/>
      <c r="T49" s="2349"/>
      <c r="U49" s="2355"/>
      <c r="V49" s="2349"/>
      <c r="W49" s="2356"/>
    </row>
    <row r="50" spans="1:23" ht="15.75" customHeight="1">
      <c r="B50" s="2346" t="s">
        <v>1860</v>
      </c>
      <c r="C50" s="2363"/>
      <c r="D50" s="2364"/>
      <c r="E50" s="2365"/>
      <c r="F50" s="2364"/>
      <c r="G50" s="2364"/>
      <c r="H50" s="2364"/>
      <c r="I50" s="2366"/>
      <c r="J50" s="2364"/>
      <c r="K50" s="2367"/>
      <c r="L50" s="2364"/>
      <c r="M50" s="2368"/>
      <c r="N50" s="2364"/>
      <c r="O50" s="2366"/>
      <c r="P50" s="2364"/>
      <c r="Q50" s="2369"/>
      <c r="R50" s="2364"/>
      <c r="S50" s="2370"/>
      <c r="T50" s="2364"/>
      <c r="U50" s="2370"/>
      <c r="V50" s="2364"/>
      <c r="W50" s="2371"/>
    </row>
    <row r="51" spans="1:23" ht="15.75" customHeight="1">
      <c r="B51" s="2346" t="s">
        <v>1861</v>
      </c>
      <c r="C51" s="2337">
        <v>2292</v>
      </c>
      <c r="D51" s="2244" t="s">
        <v>1141</v>
      </c>
      <c r="E51" s="2338">
        <v>1.8</v>
      </c>
      <c r="F51" s="2244" t="s">
        <v>1141</v>
      </c>
      <c r="G51" s="2244">
        <v>10.8</v>
      </c>
      <c r="H51" s="2244" t="s">
        <v>1105</v>
      </c>
      <c r="I51" s="2339">
        <f t="shared" ref="I51:I55" si="26">C51*E51*G51*365</f>
        <v>16263115.200000003</v>
      </c>
      <c r="J51" s="2244" t="s">
        <v>1141</v>
      </c>
      <c r="K51" s="2340">
        <v>0.39</v>
      </c>
      <c r="L51" s="2244" t="s">
        <v>1141</v>
      </c>
      <c r="M51" s="2342">
        <v>5.12259842612387E-2</v>
      </c>
      <c r="N51" s="2244" t="s">
        <v>1105</v>
      </c>
      <c r="O51" s="2339">
        <f t="shared" ref="O51:O55" si="27">(I51*K51)*M51</f>
        <v>324906.69247682567</v>
      </c>
      <c r="P51" s="2244" t="s">
        <v>1105</v>
      </c>
      <c r="Q51" s="2343">
        <f t="shared" ref="Q51:Q55" si="28">O51*0.000662</f>
        <v>215.0882304196586</v>
      </c>
      <c r="R51" s="2244" t="s">
        <v>1105</v>
      </c>
      <c r="S51" s="2344">
        <f t="shared" ref="S51:S55" si="29">Q51/1000000</f>
        <v>2.1508823041965861E-4</v>
      </c>
      <c r="T51" s="2244" t="s">
        <v>1105</v>
      </c>
      <c r="U51" s="2344">
        <f>(S51*$Z$7)*12/44</f>
        <v>1.642491941386484E-3</v>
      </c>
      <c r="V51" s="2244" t="s">
        <v>1105</v>
      </c>
      <c r="W51" s="2345">
        <f t="shared" ref="W51:W55" si="30">U51/(12/44)</f>
        <v>6.022470451750442E-3</v>
      </c>
    </row>
    <row r="52" spans="1:23" ht="15.75" customHeight="1">
      <c r="B52" s="2346" t="s">
        <v>1862</v>
      </c>
      <c r="C52" s="2337">
        <v>184</v>
      </c>
      <c r="D52" s="2244" t="s">
        <v>1141</v>
      </c>
      <c r="E52" s="2338">
        <v>1.8</v>
      </c>
      <c r="F52" s="2244" t="s">
        <v>1141</v>
      </c>
      <c r="G52" s="2244">
        <v>9.6999999999999993</v>
      </c>
      <c r="H52" s="2244" t="s">
        <v>1105</v>
      </c>
      <c r="I52" s="2339">
        <f t="shared" si="26"/>
        <v>1172613.5999999999</v>
      </c>
      <c r="J52" s="2244" t="s">
        <v>1141</v>
      </c>
      <c r="K52" s="2340">
        <v>0.39</v>
      </c>
      <c r="L52" s="2244" t="s">
        <v>1141</v>
      </c>
      <c r="M52" s="2342">
        <v>5.12259842612387E-2</v>
      </c>
      <c r="N52" s="2244" t="s">
        <v>1105</v>
      </c>
      <c r="O52" s="2339">
        <f t="shared" si="27"/>
        <v>23426.631469064632</v>
      </c>
      <c r="P52" s="2244" t="s">
        <v>1105</v>
      </c>
      <c r="Q52" s="2343">
        <f t="shared" si="28"/>
        <v>15.508430032520788</v>
      </c>
      <c r="R52" s="2244" t="s">
        <v>1105</v>
      </c>
      <c r="S52" s="2344">
        <f t="shared" si="29"/>
        <v>1.5508430032520787E-5</v>
      </c>
      <c r="T52" s="2244" t="s">
        <v>1105</v>
      </c>
      <c r="U52" s="2344">
        <f>(S52*$Z$7)*12/44</f>
        <v>1.1842801115743148E-4</v>
      </c>
      <c r="V52" s="2244" t="s">
        <v>1105</v>
      </c>
      <c r="W52" s="2345">
        <f t="shared" si="30"/>
        <v>4.3423604091058211E-4</v>
      </c>
    </row>
    <row r="53" spans="1:23" ht="15.75" customHeight="1">
      <c r="B53" s="2346" t="s">
        <v>1863</v>
      </c>
      <c r="C53" s="2337">
        <v>12</v>
      </c>
      <c r="D53" s="2244" t="s">
        <v>1141</v>
      </c>
      <c r="E53" s="2338">
        <v>1.8</v>
      </c>
      <c r="F53" s="2244" t="s">
        <v>1141</v>
      </c>
      <c r="G53" s="2288">
        <v>10.8</v>
      </c>
      <c r="H53" s="2244" t="s">
        <v>1105</v>
      </c>
      <c r="I53" s="2339">
        <f t="shared" si="26"/>
        <v>85147.200000000012</v>
      </c>
      <c r="J53" s="2244" t="s">
        <v>1141</v>
      </c>
      <c r="K53" s="2340">
        <v>0.39</v>
      </c>
      <c r="L53" s="2244" t="s">
        <v>1141</v>
      </c>
      <c r="M53" s="2342">
        <v>5.12259842612387E-2</v>
      </c>
      <c r="N53" s="2244" t="s">
        <v>1105</v>
      </c>
      <c r="O53" s="2339">
        <f t="shared" si="27"/>
        <v>1701.0821595645323</v>
      </c>
      <c r="P53" s="2244" t="s">
        <v>1105</v>
      </c>
      <c r="Q53" s="2343">
        <f t="shared" si="28"/>
        <v>1.1261163896317203</v>
      </c>
      <c r="R53" s="2244" t="s">
        <v>1105</v>
      </c>
      <c r="S53" s="2344">
        <f t="shared" si="29"/>
        <v>1.1261163896317203E-6</v>
      </c>
      <c r="T53" s="2244" t="s">
        <v>1105</v>
      </c>
      <c r="U53" s="2344">
        <f>(S53*$Z$7)*12/44</f>
        <v>8.5994342480967743E-6</v>
      </c>
      <c r="V53" s="2244" t="s">
        <v>1105</v>
      </c>
      <c r="W53" s="2345">
        <f t="shared" si="30"/>
        <v>3.1531258909688177E-5</v>
      </c>
    </row>
    <row r="54" spans="1:23" ht="15.75" customHeight="1">
      <c r="B54" s="2346" t="s">
        <v>1864</v>
      </c>
      <c r="C54" s="2337">
        <v>53072.7</v>
      </c>
      <c r="D54" s="2285" t="s">
        <v>1141</v>
      </c>
      <c r="E54" s="2338">
        <v>0.9</v>
      </c>
      <c r="F54" s="2285" t="s">
        <v>1141</v>
      </c>
      <c r="G54" s="2244">
        <v>15</v>
      </c>
      <c r="H54" s="2285" t="s">
        <v>1105</v>
      </c>
      <c r="I54" s="2339">
        <f t="shared" si="26"/>
        <v>261515729.24999997</v>
      </c>
      <c r="J54" s="2285" t="s">
        <v>1141</v>
      </c>
      <c r="K54" s="2340">
        <v>0.36</v>
      </c>
      <c r="L54" s="2285" t="s">
        <v>1141</v>
      </c>
      <c r="M54" s="2372">
        <v>1.4999999999999999E-2</v>
      </c>
      <c r="N54" s="2285" t="s">
        <v>1105</v>
      </c>
      <c r="O54" s="2339">
        <f t="shared" si="27"/>
        <v>1412184.9379499997</v>
      </c>
      <c r="P54" s="2244" t="s">
        <v>1105</v>
      </c>
      <c r="Q54" s="2343">
        <f t="shared" si="28"/>
        <v>934.8664289228999</v>
      </c>
      <c r="R54" s="2244" t="s">
        <v>1105</v>
      </c>
      <c r="S54" s="2344">
        <f t="shared" si="29"/>
        <v>9.3486642892289993E-4</v>
      </c>
      <c r="T54" s="2244" t="s">
        <v>1105</v>
      </c>
      <c r="U54" s="2344">
        <f>(S54*$Z$7)*12/44</f>
        <v>7.1389800026839638E-3</v>
      </c>
      <c r="V54" s="2244" t="s">
        <v>1105</v>
      </c>
      <c r="W54" s="2345">
        <f t="shared" si="30"/>
        <v>2.6176260009841204E-2</v>
      </c>
    </row>
    <row r="55" spans="1:23" ht="15.75" customHeight="1">
      <c r="B55" s="2346" t="s">
        <v>1865</v>
      </c>
      <c r="C55" s="2337">
        <v>704</v>
      </c>
      <c r="D55" s="2285" t="s">
        <v>1141</v>
      </c>
      <c r="E55" s="2338">
        <v>6.8</v>
      </c>
      <c r="F55" s="2285" t="s">
        <v>1141</v>
      </c>
      <c r="G55" s="2244">
        <v>9.6999999999999993</v>
      </c>
      <c r="H55" s="2285" t="s">
        <v>1105</v>
      </c>
      <c r="I55" s="2339">
        <f t="shared" si="26"/>
        <v>16949081.599999998</v>
      </c>
      <c r="J55" s="2285" t="s">
        <v>1141</v>
      </c>
      <c r="K55" s="2340">
        <v>0.36</v>
      </c>
      <c r="L55" s="2285" t="s">
        <v>1141</v>
      </c>
      <c r="M55" s="2372">
        <v>1.4999999999999999E-2</v>
      </c>
      <c r="N55" s="2285" t="s">
        <v>1105</v>
      </c>
      <c r="O55" s="2339">
        <f t="shared" si="27"/>
        <v>91525.040639999992</v>
      </c>
      <c r="P55" s="2244" t="s">
        <v>1105</v>
      </c>
      <c r="Q55" s="2343">
        <f t="shared" si="28"/>
        <v>60.589576903679998</v>
      </c>
      <c r="R55" s="2244" t="s">
        <v>1105</v>
      </c>
      <c r="S55" s="2344">
        <f t="shared" si="29"/>
        <v>6.0589576903679998E-5</v>
      </c>
      <c r="T55" s="2244" t="s">
        <v>1105</v>
      </c>
      <c r="U55" s="2344">
        <f>(S55*$Z$7)*12/44</f>
        <v>4.6268404180991999E-4</v>
      </c>
      <c r="V55" s="2244" t="s">
        <v>1105</v>
      </c>
      <c r="W55" s="2345">
        <f t="shared" si="30"/>
        <v>1.6965081533030402E-3</v>
      </c>
    </row>
    <row r="56" spans="1:23" ht="15.75" customHeight="1">
      <c r="B56" s="2347" t="s">
        <v>719</v>
      </c>
      <c r="C56" s="2360"/>
      <c r="D56" s="2373"/>
      <c r="E56" s="2350"/>
      <c r="F56" s="2374"/>
      <c r="G56" s="2349"/>
      <c r="H56" s="2374"/>
      <c r="I56" s="2352"/>
      <c r="J56" s="2349"/>
      <c r="K56" s="2353"/>
      <c r="L56" s="2349"/>
      <c r="M56" s="2362"/>
      <c r="N56" s="2349"/>
      <c r="O56" s="2352"/>
      <c r="P56" s="2349"/>
      <c r="Q56" s="2354"/>
      <c r="R56" s="2349"/>
      <c r="S56" s="2355"/>
      <c r="T56" s="2349"/>
      <c r="U56" s="2355"/>
      <c r="V56" s="2349"/>
      <c r="W56" s="2356"/>
    </row>
    <row r="57" spans="1:23" ht="15.75" customHeight="1">
      <c r="B57" s="2286" t="s">
        <v>1866</v>
      </c>
      <c r="C57" s="2337">
        <v>0</v>
      </c>
      <c r="D57" s="2285" t="s">
        <v>1141</v>
      </c>
      <c r="E57" s="2338">
        <v>25</v>
      </c>
      <c r="F57" s="2285" t="s">
        <v>1141</v>
      </c>
      <c r="G57" s="2288">
        <v>9.205479452054794</v>
      </c>
      <c r="H57" s="2285" t="s">
        <v>1105</v>
      </c>
      <c r="I57" s="2339">
        <f t="shared" ref="I57:I60" si="31">C57*E57*G57*365</f>
        <v>0</v>
      </c>
      <c r="J57" s="2285" t="s">
        <v>1141</v>
      </c>
      <c r="K57" s="2340">
        <v>0.36056372132540354</v>
      </c>
      <c r="L57" s="2285" t="s">
        <v>1141</v>
      </c>
      <c r="M57" s="2372">
        <v>1.2E-2</v>
      </c>
      <c r="N57" s="2285" t="s">
        <v>1105</v>
      </c>
      <c r="O57" s="2339">
        <f t="shared" ref="O57:O60" si="32">(I57*K57)*M57</f>
        <v>0</v>
      </c>
      <c r="P57" s="2244" t="s">
        <v>1105</v>
      </c>
      <c r="Q57" s="2343">
        <f t="shared" ref="Q57:Q60" si="33">O57*0.000662</f>
        <v>0</v>
      </c>
      <c r="R57" s="2244" t="s">
        <v>1105</v>
      </c>
      <c r="S57" s="2344">
        <f t="shared" ref="S57:S60" si="34">Q57/1000000</f>
        <v>0</v>
      </c>
      <c r="T57" s="2244" t="s">
        <v>1105</v>
      </c>
      <c r="U57" s="2344">
        <f>(S57*$Z$7)*12/44</f>
        <v>0</v>
      </c>
      <c r="V57" s="2244" t="s">
        <v>1105</v>
      </c>
      <c r="W57" s="2345">
        <f t="shared" ref="W57:W60" si="35">U57/(12/44)</f>
        <v>0</v>
      </c>
    </row>
    <row r="58" spans="1:23" ht="15.75" customHeight="1">
      <c r="B58" s="2286" t="s">
        <v>1867</v>
      </c>
      <c r="C58" s="2295">
        <v>24</v>
      </c>
      <c r="D58" s="2285" t="s">
        <v>1141</v>
      </c>
      <c r="E58" s="2338">
        <v>80</v>
      </c>
      <c r="F58" s="2285" t="s">
        <v>1141</v>
      </c>
      <c r="G58" s="2288">
        <v>9.205479452054794</v>
      </c>
      <c r="H58" s="2285" t="s">
        <v>1105</v>
      </c>
      <c r="I58" s="2339">
        <f t="shared" si="31"/>
        <v>6451200</v>
      </c>
      <c r="J58" s="2285" t="s">
        <v>1141</v>
      </c>
      <c r="K58" s="2340">
        <v>0.1899677145284622</v>
      </c>
      <c r="L58" s="2285" t="s">
        <v>1141</v>
      </c>
      <c r="M58" s="2372">
        <v>1.0999999999999999E-2</v>
      </c>
      <c r="N58" s="2285" t="s">
        <v>1105</v>
      </c>
      <c r="O58" s="2339">
        <f t="shared" si="32"/>
        <v>13480.716919626168</v>
      </c>
      <c r="P58" s="2244" t="s">
        <v>1105</v>
      </c>
      <c r="Q58" s="2343">
        <f t="shared" si="33"/>
        <v>8.9242346007925235</v>
      </c>
      <c r="R58" s="2244" t="s">
        <v>1105</v>
      </c>
      <c r="S58" s="2344">
        <f t="shared" si="34"/>
        <v>8.924234600792524E-6</v>
      </c>
      <c r="T58" s="2244" t="s">
        <v>1105</v>
      </c>
      <c r="U58" s="2344">
        <f>(S58*$Z$7)*12/44</f>
        <v>6.8148700587870187E-5</v>
      </c>
      <c r="V58" s="2244" t="s">
        <v>1105</v>
      </c>
      <c r="W58" s="2345">
        <f t="shared" si="35"/>
        <v>2.4987856882219072E-4</v>
      </c>
    </row>
    <row r="59" spans="1:23" ht="15.75" customHeight="1">
      <c r="B59" s="2286" t="s">
        <v>1838</v>
      </c>
      <c r="C59" s="2337">
        <v>12</v>
      </c>
      <c r="D59" s="2285" t="s">
        <v>1141</v>
      </c>
      <c r="E59" s="2338">
        <v>64</v>
      </c>
      <c r="F59" s="2285" t="s">
        <v>1141</v>
      </c>
      <c r="G59" s="2288">
        <v>9.5342465753424666</v>
      </c>
      <c r="H59" s="2285" t="s">
        <v>1105</v>
      </c>
      <c r="I59" s="2339">
        <f t="shared" si="31"/>
        <v>2672640.0000000005</v>
      </c>
      <c r="J59" s="2285" t="s">
        <v>1141</v>
      </c>
      <c r="K59" s="2340">
        <v>0.16997111299915041</v>
      </c>
      <c r="L59" s="2285" t="s">
        <v>1141</v>
      </c>
      <c r="M59" s="2372">
        <v>1.0999999999999999E-2</v>
      </c>
      <c r="N59" s="2285" t="s">
        <v>1105</v>
      </c>
      <c r="O59" s="2339">
        <f t="shared" si="32"/>
        <v>4996.9875499065429</v>
      </c>
      <c r="P59" s="2244" t="s">
        <v>1105</v>
      </c>
      <c r="Q59" s="2343">
        <f t="shared" si="33"/>
        <v>3.3080057580381315</v>
      </c>
      <c r="R59" s="2244" t="s">
        <v>1105</v>
      </c>
      <c r="S59" s="2344">
        <f t="shared" si="34"/>
        <v>3.3080057580381316E-6</v>
      </c>
      <c r="T59" s="2244" t="s">
        <v>1105</v>
      </c>
      <c r="U59" s="2344">
        <f>(S59*$Z$7)*12/44</f>
        <v>2.5261134879563912E-5</v>
      </c>
      <c r="V59" s="2244" t="s">
        <v>1105</v>
      </c>
      <c r="W59" s="2345">
        <f t="shared" si="35"/>
        <v>9.2624161225067693E-5</v>
      </c>
    </row>
    <row r="60" spans="1:23" ht="15.75" customHeight="1">
      <c r="B60" s="2286" t="s">
        <v>1840</v>
      </c>
      <c r="C60" s="2295">
        <v>79.099999999999994</v>
      </c>
      <c r="D60" s="2285" t="s">
        <v>1141</v>
      </c>
      <c r="E60" s="2338">
        <v>450</v>
      </c>
      <c r="F60" s="2285" t="s">
        <v>1141</v>
      </c>
      <c r="G60" s="2244">
        <v>10</v>
      </c>
      <c r="H60" s="2285" t="s">
        <v>1105</v>
      </c>
      <c r="I60" s="2339">
        <f t="shared" si="31"/>
        <v>129921750</v>
      </c>
      <c r="J60" s="2285" t="s">
        <v>1141</v>
      </c>
      <c r="K60" s="2340">
        <v>0.33056881903143587</v>
      </c>
      <c r="L60" s="2285" t="s">
        <v>1141</v>
      </c>
      <c r="M60" s="2372">
        <v>1.0999999999999999E-2</v>
      </c>
      <c r="N60" s="2285" t="s">
        <v>1105</v>
      </c>
      <c r="O60" s="2339">
        <f t="shared" si="32"/>
        <v>472428.87410397193</v>
      </c>
      <c r="P60" s="2244" t="s">
        <v>1105</v>
      </c>
      <c r="Q60" s="2343">
        <f t="shared" si="33"/>
        <v>312.74791465682944</v>
      </c>
      <c r="R60" s="2244" t="s">
        <v>1105</v>
      </c>
      <c r="S60" s="2344">
        <f t="shared" si="34"/>
        <v>3.1274791465682944E-4</v>
      </c>
      <c r="T60" s="2244" t="s">
        <v>1105</v>
      </c>
      <c r="U60" s="2344">
        <f>(S60*$Z$7)*12/44</f>
        <v>2.3882568028339704E-3</v>
      </c>
      <c r="V60" s="2244" t="s">
        <v>1105</v>
      </c>
      <c r="W60" s="2345">
        <f t="shared" si="35"/>
        <v>8.7569416103912261E-3</v>
      </c>
    </row>
    <row r="61" spans="1:23" ht="15.75" customHeight="1">
      <c r="B61" s="2297" t="s">
        <v>1841</v>
      </c>
      <c r="C61" s="2375"/>
      <c r="D61" s="2375"/>
      <c r="E61" s="2376"/>
      <c r="F61" s="2375"/>
      <c r="G61" s="2375"/>
      <c r="H61" s="2375"/>
      <c r="I61" s="2375"/>
      <c r="J61" s="2299"/>
      <c r="K61" s="2299"/>
      <c r="L61" s="2299"/>
      <c r="M61" s="2299"/>
      <c r="N61" s="2299"/>
      <c r="O61" s="2377">
        <f>SUM(O32:O60)</f>
        <v>6752079.0394282807</v>
      </c>
      <c r="P61" s="2299"/>
      <c r="Q61" s="2378">
        <f>SUM(Q32:Q60)</f>
        <v>4469.8763241015231</v>
      </c>
      <c r="R61" s="2299"/>
      <c r="S61" s="2379">
        <f>SUM(S32:S60)</f>
        <v>4.4698763241015219E-3</v>
      </c>
      <c r="T61" s="2299"/>
      <c r="U61" s="2379">
        <f>SUM(U32:U60)</f>
        <v>3.413360102041163E-2</v>
      </c>
      <c r="V61" s="2375"/>
      <c r="W61" s="2380">
        <f>SUM(W32:W60)</f>
        <v>0.12515653707484267</v>
      </c>
    </row>
    <row r="62" spans="1:23" ht="15.75" customHeight="1">
      <c r="A62" s="1"/>
      <c r="B62" s="2306"/>
      <c r="C62" s="144"/>
      <c r="D62" s="144"/>
      <c r="E62" s="2381"/>
      <c r="F62" s="144"/>
      <c r="G62" s="144"/>
      <c r="H62" s="144"/>
      <c r="I62" s="144"/>
      <c r="J62" s="1496"/>
      <c r="K62" s="1496"/>
      <c r="L62" s="1496"/>
      <c r="M62" s="1496"/>
      <c r="N62" s="1496"/>
      <c r="O62" s="2382"/>
      <c r="P62" s="1496"/>
      <c r="Q62" s="2383"/>
      <c r="R62" s="1496"/>
      <c r="S62" s="2384"/>
      <c r="T62" s="1496"/>
      <c r="U62" s="2384"/>
      <c r="V62" s="144"/>
      <c r="W62" s="2384"/>
    </row>
    <row r="63" spans="1:23" ht="15.75" customHeight="1">
      <c r="A63" s="1"/>
      <c r="B63" s="2306"/>
      <c r="C63" s="144"/>
      <c r="D63" s="144"/>
      <c r="E63" s="2381"/>
      <c r="F63" s="144"/>
      <c r="G63" s="144"/>
      <c r="H63" s="144"/>
      <c r="I63" s="144"/>
      <c r="J63" s="1496"/>
      <c r="K63" s="1496"/>
      <c r="L63" s="1496"/>
      <c r="M63" s="1496"/>
      <c r="N63" s="1496"/>
      <c r="O63" s="2382"/>
      <c r="P63" s="1496"/>
      <c r="Q63" s="2383"/>
      <c r="R63" s="1496"/>
      <c r="S63" s="2384"/>
      <c r="T63" s="1496"/>
      <c r="U63" s="2384"/>
      <c r="V63" s="144"/>
      <c r="W63" s="2384"/>
    </row>
    <row r="64" spans="1:23" ht="15.75" customHeight="1">
      <c r="B64" s="2310"/>
      <c r="C64" s="2311"/>
      <c r="D64" s="2312"/>
      <c r="E64" s="2312"/>
      <c r="F64" s="2312"/>
      <c r="G64" s="2313"/>
      <c r="H64" s="2314"/>
      <c r="I64" s="2315"/>
      <c r="J64" s="2314"/>
      <c r="K64" s="2316"/>
      <c r="L64" s="935"/>
      <c r="M64" s="2316"/>
      <c r="N64" s="935"/>
      <c r="O64" s="935"/>
      <c r="P64" s="935"/>
      <c r="Q64" s="935"/>
      <c r="R64" s="935"/>
      <c r="S64" s="935"/>
      <c r="T64" s="935"/>
      <c r="U64" s="935"/>
      <c r="V64" s="1"/>
      <c r="W64" s="1"/>
    </row>
    <row r="65" spans="2:23" ht="15.75" customHeight="1">
      <c r="B65" s="2278" t="s">
        <v>1868</v>
      </c>
      <c r="C65" s="2317"/>
      <c r="D65" s="2318"/>
      <c r="E65" s="2318"/>
      <c r="F65" s="2318"/>
      <c r="G65" s="2319"/>
      <c r="H65" s="2320"/>
      <c r="I65" s="2321"/>
      <c r="J65" s="2320"/>
      <c r="K65" s="2322"/>
      <c r="L65" s="2279"/>
      <c r="M65" s="2322"/>
      <c r="N65" s="2279"/>
      <c r="O65" s="2279"/>
      <c r="P65" s="2279"/>
      <c r="Q65" s="2279"/>
      <c r="R65" s="2279"/>
      <c r="S65" s="2279"/>
      <c r="T65" s="2279"/>
      <c r="U65" s="2280"/>
      <c r="V65" s="321"/>
      <c r="W65" s="1"/>
    </row>
    <row r="66" spans="2:23" ht="15.75" customHeight="1">
      <c r="B66" s="613"/>
      <c r="C66" s="2385" t="s">
        <v>1819</v>
      </c>
      <c r="D66" s="2386"/>
      <c r="E66" s="2281" t="s">
        <v>1869</v>
      </c>
      <c r="F66" s="2282"/>
      <c r="G66" s="2281" t="s">
        <v>1870</v>
      </c>
      <c r="H66" s="2281"/>
      <c r="I66" s="2281" t="s">
        <v>1871</v>
      </c>
      <c r="J66" s="2282"/>
      <c r="K66" s="2281" t="s">
        <v>1872</v>
      </c>
      <c r="L66" s="2387"/>
      <c r="M66" s="2281" t="s">
        <v>1873</v>
      </c>
      <c r="N66" s="2282"/>
      <c r="O66" s="2281" t="s">
        <v>1874</v>
      </c>
      <c r="P66" s="2282"/>
      <c r="Q66" s="2281" t="s">
        <v>1255</v>
      </c>
      <c r="R66" s="2282"/>
      <c r="S66" s="2281" t="s">
        <v>1760</v>
      </c>
      <c r="T66" s="2282"/>
      <c r="U66" s="2283" t="s">
        <v>1875</v>
      </c>
    </row>
    <row r="67" spans="2:23" ht="15.75" customHeight="1">
      <c r="B67" s="2347" t="s">
        <v>1876</v>
      </c>
      <c r="C67" s="2388"/>
      <c r="D67" s="2389"/>
      <c r="E67" s="2390"/>
      <c r="F67" s="2391"/>
      <c r="G67" s="2391"/>
      <c r="H67" s="2391"/>
      <c r="I67" s="2392"/>
      <c r="J67" s="2391"/>
      <c r="K67" s="2391"/>
      <c r="L67" s="2393"/>
      <c r="M67" s="2391"/>
      <c r="N67" s="2391"/>
      <c r="O67" s="2391"/>
      <c r="P67" s="2391"/>
      <c r="Q67" s="2391"/>
      <c r="R67" s="2391"/>
      <c r="S67" s="2394"/>
      <c r="T67" s="2391"/>
      <c r="U67" s="2395"/>
    </row>
    <row r="68" spans="2:23" ht="15.75" customHeight="1">
      <c r="B68" s="2286" t="s">
        <v>1825</v>
      </c>
      <c r="C68" s="2337">
        <v>53</v>
      </c>
      <c r="D68" s="2244"/>
      <c r="E68" s="2339">
        <f>7852125</f>
        <v>7852125</v>
      </c>
      <c r="F68" s="595"/>
      <c r="G68" s="2339">
        <f>2125872</f>
        <v>2125872</v>
      </c>
      <c r="H68" s="2289"/>
      <c r="I68" s="2339">
        <f>1831372</f>
        <v>1831372</v>
      </c>
      <c r="J68" s="595"/>
      <c r="K68" s="2339">
        <f>2126</f>
        <v>2126</v>
      </c>
      <c r="L68" s="2244" t="s">
        <v>1714</v>
      </c>
      <c r="M68" s="2339">
        <f>36627</f>
        <v>36627</v>
      </c>
      <c r="N68" s="2289" t="s">
        <v>1105</v>
      </c>
      <c r="O68" s="2339">
        <f>60898</f>
        <v>60898</v>
      </c>
      <c r="P68" s="2289" t="s">
        <v>1105</v>
      </c>
      <c r="Q68" s="2339">
        <f>O68/1000*$Z$8*12/44</f>
        <v>4401.2645454545454</v>
      </c>
      <c r="R68" s="2289" t="s">
        <v>1105</v>
      </c>
      <c r="S68" s="2396">
        <f t="shared" ref="S68:S69" si="36">Q68/10^6</f>
        <v>4.4012645454545455E-3</v>
      </c>
      <c r="T68" s="2289" t="s">
        <v>1105</v>
      </c>
      <c r="U68" s="2397">
        <f t="shared" ref="U68:U69" si="37">S68/(12/44)</f>
        <v>1.6137970000000001E-2</v>
      </c>
    </row>
    <row r="69" spans="2:23" ht="15.75" customHeight="1">
      <c r="B69" s="2346" t="s">
        <v>1826</v>
      </c>
      <c r="C69" s="2337">
        <v>28</v>
      </c>
      <c r="D69" s="2244"/>
      <c r="E69" s="2339">
        <f>1927462</f>
        <v>1927462</v>
      </c>
      <c r="F69" s="595"/>
      <c r="G69" s="2339">
        <f>521838</f>
        <v>521838</v>
      </c>
      <c r="H69" s="2289"/>
      <c r="I69" s="2339">
        <f>944902</f>
        <v>944902</v>
      </c>
      <c r="J69" s="595"/>
      <c r="K69" s="2339">
        <f>522</f>
        <v>522</v>
      </c>
      <c r="L69" s="2244" t="s">
        <v>1714</v>
      </c>
      <c r="M69" s="2339">
        <f>18898</f>
        <v>18898</v>
      </c>
      <c r="N69" s="2289" t="s">
        <v>1105</v>
      </c>
      <c r="O69" s="2339">
        <f>29697</f>
        <v>29697</v>
      </c>
      <c r="P69" s="2289" t="s">
        <v>1105</v>
      </c>
      <c r="Q69" s="2339">
        <f>O69/1000*$Z$8*12/44</f>
        <v>2146.2831818181817</v>
      </c>
      <c r="R69" s="2289" t="s">
        <v>1105</v>
      </c>
      <c r="S69" s="2396">
        <f t="shared" si="36"/>
        <v>2.1462831818181817E-3</v>
      </c>
      <c r="T69" s="2289" t="s">
        <v>1105</v>
      </c>
      <c r="U69" s="2397">
        <f t="shared" si="37"/>
        <v>7.8697050000000011E-3</v>
      </c>
    </row>
    <row r="70" spans="2:23" ht="15.75" customHeight="1">
      <c r="B70" s="2347" t="s">
        <v>1829</v>
      </c>
      <c r="C70" s="2398"/>
      <c r="D70" s="2349"/>
      <c r="E70" s="2352"/>
      <c r="F70" s="2391"/>
      <c r="G70" s="2352"/>
      <c r="H70" s="2399"/>
      <c r="I70" s="2352"/>
      <c r="J70" s="2391"/>
      <c r="K70" s="2352" t="s">
        <v>1877</v>
      </c>
      <c r="L70" s="2349"/>
      <c r="M70" s="2352"/>
      <c r="N70" s="2399"/>
      <c r="O70" s="2352"/>
      <c r="P70" s="2399"/>
      <c r="Q70" s="2352"/>
      <c r="R70" s="2399"/>
      <c r="S70" s="2352"/>
      <c r="T70" s="2399"/>
      <c r="U70" s="2400"/>
    </row>
    <row r="71" spans="2:23" ht="15.75" customHeight="1">
      <c r="B71" s="2346" t="s">
        <v>1834</v>
      </c>
      <c r="C71" s="2295">
        <v>3.9119999999999999</v>
      </c>
      <c r="D71" s="2244"/>
      <c r="E71" s="2339">
        <v>218344</v>
      </c>
      <c r="F71" s="595"/>
      <c r="G71" s="2339" t="s">
        <v>1238</v>
      </c>
      <c r="H71" s="2289"/>
      <c r="I71" s="2339">
        <f>218344</f>
        <v>218344</v>
      </c>
      <c r="J71" s="595"/>
      <c r="K71" s="2339" t="s">
        <v>1238</v>
      </c>
      <c r="L71" s="2244" t="s">
        <v>1714</v>
      </c>
      <c r="M71" s="2339">
        <f>4367</f>
        <v>4367</v>
      </c>
      <c r="N71" s="2289" t="s">
        <v>1105</v>
      </c>
      <c r="O71" s="2339">
        <f>6862</f>
        <v>6862</v>
      </c>
      <c r="P71" s="2289" t="s">
        <v>1105</v>
      </c>
      <c r="Q71" s="2339">
        <f>O71/1000*$Z$8*12/44</f>
        <v>495.93545454545455</v>
      </c>
      <c r="R71" s="2289" t="s">
        <v>1105</v>
      </c>
      <c r="S71" s="2396">
        <f t="shared" ref="S71:S72" si="38">Q71/10^6</f>
        <v>4.9593545454545453E-4</v>
      </c>
      <c r="T71" s="2289" t="s">
        <v>1105</v>
      </c>
      <c r="U71" s="2397">
        <f t="shared" ref="U71:U72" si="39">S71/(12/44)</f>
        <v>1.81843E-3</v>
      </c>
    </row>
    <row r="72" spans="2:23" ht="15.75" customHeight="1">
      <c r="B72" s="2346" t="s">
        <v>1835</v>
      </c>
      <c r="C72" s="2295">
        <v>7.3949999999999996</v>
      </c>
      <c r="D72" s="2244"/>
      <c r="E72" s="2339">
        <f>422465</f>
        <v>422465</v>
      </c>
      <c r="F72" s="595"/>
      <c r="G72" s="2339" t="s">
        <v>1238</v>
      </c>
      <c r="H72" s="2289"/>
      <c r="I72" s="2339">
        <f>422465</f>
        <v>422465</v>
      </c>
      <c r="J72" s="595"/>
      <c r="K72" s="2339" t="s">
        <v>1238</v>
      </c>
      <c r="L72" s="2244" t="s">
        <v>1714</v>
      </c>
      <c r="M72" s="2339">
        <f>8449</f>
        <v>8449</v>
      </c>
      <c r="N72" s="2289" t="s">
        <v>1105</v>
      </c>
      <c r="O72" s="2339">
        <f>13277</f>
        <v>13277</v>
      </c>
      <c r="P72" s="2289" t="s">
        <v>1105</v>
      </c>
      <c r="Q72" s="2339">
        <f>O72/1000*$Z$8*12/44</f>
        <v>959.56500000000005</v>
      </c>
      <c r="R72" s="2289" t="s">
        <v>1105</v>
      </c>
      <c r="S72" s="2396">
        <f t="shared" si="38"/>
        <v>9.5956500000000001E-4</v>
      </c>
      <c r="T72" s="2289" t="s">
        <v>1105</v>
      </c>
      <c r="U72" s="2397">
        <f t="shared" si="39"/>
        <v>3.5184050000000005E-3</v>
      </c>
    </row>
    <row r="73" spans="2:23" ht="15.75" customHeight="1">
      <c r="B73" s="2347" t="s">
        <v>1839</v>
      </c>
      <c r="C73" s="2398"/>
      <c r="D73" s="2349"/>
      <c r="E73" s="2401"/>
      <c r="F73" s="2391"/>
      <c r="G73" s="2401"/>
      <c r="H73" s="2399"/>
      <c r="I73" s="2352"/>
      <c r="J73" s="2391"/>
      <c r="K73" s="2352" t="s">
        <v>1877</v>
      </c>
      <c r="L73" s="2349"/>
      <c r="M73" s="2352"/>
      <c r="N73" s="2399"/>
      <c r="O73" s="2352"/>
      <c r="P73" s="2399"/>
      <c r="Q73" s="2352"/>
      <c r="R73" s="2399"/>
      <c r="S73" s="2352"/>
      <c r="T73" s="2399"/>
      <c r="U73" s="2400"/>
    </row>
    <row r="74" spans="2:23" ht="15.75" customHeight="1">
      <c r="B74" s="2346" t="s">
        <v>1855</v>
      </c>
      <c r="C74" s="2337">
        <v>2</v>
      </c>
      <c r="D74" s="2244"/>
      <c r="E74" s="2339">
        <f>29269</f>
        <v>29269</v>
      </c>
      <c r="F74" s="595"/>
      <c r="G74" s="2339">
        <f>22577</f>
        <v>22577</v>
      </c>
      <c r="H74" s="2289"/>
      <c r="I74" s="2339">
        <f>1198</f>
        <v>1198</v>
      </c>
      <c r="J74" s="595"/>
      <c r="K74" s="2339">
        <f>23</f>
        <v>23</v>
      </c>
      <c r="L74" s="2244" t="s">
        <v>1714</v>
      </c>
      <c r="M74" s="2339">
        <f>24</f>
        <v>24</v>
      </c>
      <c r="N74" s="2289" t="s">
        <v>1105</v>
      </c>
      <c r="O74" s="2339">
        <f>73</f>
        <v>73</v>
      </c>
      <c r="P74" s="2289" t="s">
        <v>1105</v>
      </c>
      <c r="Q74" s="2339">
        <f>O74/1000*$Z$8*12/44</f>
        <v>5.2759090909090904</v>
      </c>
      <c r="R74" s="2289" t="s">
        <v>1105</v>
      </c>
      <c r="S74" s="2396">
        <f t="shared" ref="S74:S78" si="40">Q74/10^6</f>
        <v>5.2759090909090903E-6</v>
      </c>
      <c r="T74" s="2289" t="s">
        <v>1105</v>
      </c>
      <c r="U74" s="2397">
        <f t="shared" ref="U74:U78" si="41">S74/(12/44)</f>
        <v>1.9344999999999999E-5</v>
      </c>
    </row>
    <row r="75" spans="2:23" ht="15.75" customHeight="1">
      <c r="B75" s="2346" t="s">
        <v>1856</v>
      </c>
      <c r="C75" s="2337">
        <v>9</v>
      </c>
      <c r="D75" s="2244"/>
      <c r="E75" s="2339">
        <f>47993</f>
        <v>47993</v>
      </c>
      <c r="F75" s="595"/>
      <c r="G75" s="2339">
        <f>37020</f>
        <v>37020</v>
      </c>
      <c r="H75" s="2289"/>
      <c r="I75" s="2339">
        <f>1964</f>
        <v>1964</v>
      </c>
      <c r="J75" s="595"/>
      <c r="K75" s="2339">
        <f>37</f>
        <v>37</v>
      </c>
      <c r="L75" s="2244" t="s">
        <v>1714</v>
      </c>
      <c r="M75" s="2339">
        <f>39</f>
        <v>39</v>
      </c>
      <c r="N75" s="2289" t="s">
        <v>1105</v>
      </c>
      <c r="O75" s="2339">
        <f>120</f>
        <v>120</v>
      </c>
      <c r="P75" s="2289" t="s">
        <v>1105</v>
      </c>
      <c r="Q75" s="2339">
        <f>O75/1000*$Z$8*12/44</f>
        <v>8.672727272727272</v>
      </c>
      <c r="R75" s="2289" t="s">
        <v>1105</v>
      </c>
      <c r="S75" s="2396">
        <f t="shared" si="40"/>
        <v>8.6727272727272716E-6</v>
      </c>
      <c r="T75" s="2289" t="s">
        <v>1105</v>
      </c>
      <c r="U75" s="2397">
        <f t="shared" si="41"/>
        <v>3.18E-5</v>
      </c>
    </row>
    <row r="76" spans="2:23" ht="15.75" customHeight="1">
      <c r="B76" s="2346" t="s">
        <v>1857</v>
      </c>
      <c r="C76" s="2357">
        <v>7</v>
      </c>
      <c r="D76" s="2244"/>
      <c r="E76" s="2339">
        <f>56016</f>
        <v>56016</v>
      </c>
      <c r="F76" s="595"/>
      <c r="G76" s="2339">
        <f>43208</f>
        <v>43208</v>
      </c>
      <c r="H76" s="2289"/>
      <c r="I76" s="2339">
        <f>2293</f>
        <v>2293</v>
      </c>
      <c r="J76" s="595"/>
      <c r="K76" s="2339">
        <f>43</f>
        <v>43</v>
      </c>
      <c r="L76" s="2244" t="s">
        <v>1714</v>
      </c>
      <c r="M76" s="2339">
        <f>46</f>
        <v>46</v>
      </c>
      <c r="N76" s="2289" t="s">
        <v>1105</v>
      </c>
      <c r="O76" s="2339">
        <f>140</f>
        <v>140</v>
      </c>
      <c r="P76" s="2289" t="s">
        <v>1105</v>
      </c>
      <c r="Q76" s="2339">
        <f>O76/1000*$Z$8*12/44</f>
        <v>10.118181818181819</v>
      </c>
      <c r="R76" s="2289" t="s">
        <v>1105</v>
      </c>
      <c r="S76" s="2396">
        <f t="shared" si="40"/>
        <v>1.011818181818182E-5</v>
      </c>
      <c r="T76" s="2289" t="s">
        <v>1105</v>
      </c>
      <c r="U76" s="2397">
        <f t="shared" si="41"/>
        <v>3.7100000000000007E-5</v>
      </c>
    </row>
    <row r="77" spans="2:23" ht="15.75" customHeight="1">
      <c r="B77" s="2346" t="s">
        <v>1858</v>
      </c>
      <c r="C77" s="2337">
        <v>4</v>
      </c>
      <c r="D77" s="2244"/>
      <c r="E77" s="2339">
        <f>53469</f>
        <v>53469</v>
      </c>
      <c r="F77" s="595"/>
      <c r="G77" s="2339">
        <f>41244</f>
        <v>41244</v>
      </c>
      <c r="H77" s="2289"/>
      <c r="I77" s="2339">
        <f>2188</f>
        <v>2188</v>
      </c>
      <c r="J77" s="595"/>
      <c r="K77" s="2339">
        <f>41</f>
        <v>41</v>
      </c>
      <c r="L77" s="2244" t="s">
        <v>1714</v>
      </c>
      <c r="M77" s="2339">
        <f>44</f>
        <v>44</v>
      </c>
      <c r="N77" s="2289" t="s">
        <v>1105</v>
      </c>
      <c r="O77" s="2339">
        <f>134</f>
        <v>134</v>
      </c>
      <c r="P77" s="2289" t="s">
        <v>1105</v>
      </c>
      <c r="Q77" s="2339">
        <f>O77/1000*$Z$8*12/44</f>
        <v>9.6845454545454555</v>
      </c>
      <c r="R77" s="2289" t="s">
        <v>1105</v>
      </c>
      <c r="S77" s="2396">
        <f t="shared" si="40"/>
        <v>9.6845454545454555E-6</v>
      </c>
      <c r="T77" s="2289" t="s">
        <v>1105</v>
      </c>
      <c r="U77" s="2397">
        <f t="shared" si="41"/>
        <v>3.5510000000000004E-5</v>
      </c>
    </row>
    <row r="78" spans="2:23" ht="15.75" customHeight="1">
      <c r="B78" s="2346" t="s">
        <v>1859</v>
      </c>
      <c r="C78" s="2337">
        <v>4</v>
      </c>
      <c r="D78" s="2244"/>
      <c r="E78" s="2339">
        <f>71547</f>
        <v>71547</v>
      </c>
      <c r="F78" s="595"/>
      <c r="G78" s="2339">
        <f>55189</f>
        <v>55189</v>
      </c>
      <c r="H78" s="2289"/>
      <c r="I78" s="2339">
        <f>2928</f>
        <v>2928</v>
      </c>
      <c r="J78" s="595"/>
      <c r="K78" s="2339">
        <f>55</f>
        <v>55</v>
      </c>
      <c r="L78" s="2244" t="s">
        <v>1714</v>
      </c>
      <c r="M78" s="2339">
        <f>59</f>
        <v>59</v>
      </c>
      <c r="N78" s="2289" t="s">
        <v>1105</v>
      </c>
      <c r="O78" s="2339">
        <f>179</f>
        <v>179</v>
      </c>
      <c r="P78" s="2289" t="s">
        <v>1105</v>
      </c>
      <c r="Q78" s="2339">
        <f>O78/1000*$Z$8*12/44</f>
        <v>12.936818181818181</v>
      </c>
      <c r="R78" s="2289" t="s">
        <v>1105</v>
      </c>
      <c r="S78" s="2396">
        <f t="shared" si="40"/>
        <v>1.2936818181818181E-5</v>
      </c>
      <c r="T78" s="2289" t="s">
        <v>1105</v>
      </c>
      <c r="U78" s="2397">
        <f t="shared" si="41"/>
        <v>4.7435000000000002E-5</v>
      </c>
    </row>
    <row r="79" spans="2:23" ht="15.75" customHeight="1">
      <c r="B79" s="2347" t="s">
        <v>1814</v>
      </c>
      <c r="C79" s="2398"/>
      <c r="D79" s="2349"/>
      <c r="E79" s="2352"/>
      <c r="F79" s="2391"/>
      <c r="G79" s="2352"/>
      <c r="H79" s="2399"/>
      <c r="I79" s="2352"/>
      <c r="J79" s="2391"/>
      <c r="K79" s="2352" t="s">
        <v>1877</v>
      </c>
      <c r="L79" s="2349"/>
      <c r="M79" s="2352"/>
      <c r="N79" s="2399"/>
      <c r="O79" s="2352"/>
      <c r="P79" s="2399"/>
      <c r="Q79" s="2352"/>
      <c r="R79" s="2399"/>
      <c r="S79" s="2352"/>
      <c r="T79" s="2399"/>
      <c r="U79" s="2400"/>
    </row>
    <row r="80" spans="2:23" ht="15.75" customHeight="1">
      <c r="B80" s="2346" t="s">
        <v>1860</v>
      </c>
      <c r="C80" s="2402"/>
      <c r="D80" s="2364"/>
      <c r="E80" s="2366"/>
      <c r="F80" s="2403"/>
      <c r="G80" s="2366"/>
      <c r="H80" s="2404"/>
      <c r="I80" s="2366"/>
      <c r="J80" s="2403"/>
      <c r="K80" s="2366"/>
      <c r="L80" s="2364"/>
      <c r="M80" s="2366"/>
      <c r="N80" s="2404"/>
      <c r="O80" s="2366"/>
      <c r="P80" s="2404"/>
      <c r="Q80" s="2366"/>
      <c r="R80" s="2404"/>
      <c r="S80" s="2366"/>
      <c r="T80" s="2404"/>
      <c r="U80" s="2405"/>
    </row>
    <row r="81" spans="1:51" ht="15.75" customHeight="1">
      <c r="B81" s="2346" t="s">
        <v>1861</v>
      </c>
      <c r="C81" s="2337">
        <v>2292</v>
      </c>
      <c r="D81" s="2244"/>
      <c r="E81" s="2339">
        <f>1189617</f>
        <v>1189617</v>
      </c>
      <c r="F81" s="595"/>
      <c r="G81" s="2339">
        <f>59481</f>
        <v>59481</v>
      </c>
      <c r="H81" s="2289"/>
      <c r="I81" s="2339">
        <f>1130136</f>
        <v>1130136</v>
      </c>
      <c r="J81" s="595"/>
      <c r="K81" s="2339">
        <f>59</f>
        <v>59</v>
      </c>
      <c r="L81" s="2244" t="s">
        <v>1714</v>
      </c>
      <c r="M81" s="2339">
        <f>5651</f>
        <v>5651</v>
      </c>
      <c r="N81" s="2289" t="s">
        <v>1105</v>
      </c>
      <c r="O81" s="2339">
        <f>8973</f>
        <v>8973</v>
      </c>
      <c r="P81" s="2289" t="s">
        <v>1105</v>
      </c>
      <c r="Q81" s="2339">
        <f>O81/1000*$Z$8*12/44</f>
        <v>648.50318181818193</v>
      </c>
      <c r="R81" s="2289" t="s">
        <v>1105</v>
      </c>
      <c r="S81" s="2396">
        <f t="shared" ref="S81:S85" si="42">Q81/10^6</f>
        <v>6.4850318181818196E-4</v>
      </c>
      <c r="T81" s="2289" t="s">
        <v>1105</v>
      </c>
      <c r="U81" s="2397">
        <f t="shared" ref="U81:U85" si="43">S81/(12/44)</f>
        <v>2.3778450000000008E-3</v>
      </c>
    </row>
    <row r="82" spans="1:51" ht="15.75" customHeight="1">
      <c r="B82" s="2346" t="s">
        <v>1862</v>
      </c>
      <c r="C82" s="2337">
        <v>184</v>
      </c>
      <c r="D82" s="2244"/>
      <c r="E82" s="2339">
        <f>95502</f>
        <v>95502</v>
      </c>
      <c r="F82" s="595"/>
      <c r="G82" s="2339">
        <f>4775</f>
        <v>4775</v>
      </c>
      <c r="H82" s="2289"/>
      <c r="I82" s="2339">
        <f>90726</f>
        <v>90726</v>
      </c>
      <c r="J82" s="595"/>
      <c r="K82" s="2339">
        <f>5</f>
        <v>5</v>
      </c>
      <c r="L82" s="2244" t="s">
        <v>1714</v>
      </c>
      <c r="M82" s="2339">
        <f>454</f>
        <v>454</v>
      </c>
      <c r="N82" s="2289" t="s">
        <v>1105</v>
      </c>
      <c r="O82" s="2339">
        <f>720</f>
        <v>720</v>
      </c>
      <c r="P82" s="2289" t="s">
        <v>1105</v>
      </c>
      <c r="Q82" s="2339">
        <f>O82/1000*$Z$8*12/44</f>
        <v>52.036363636363632</v>
      </c>
      <c r="R82" s="2289" t="s">
        <v>1105</v>
      </c>
      <c r="S82" s="2396">
        <f t="shared" si="42"/>
        <v>5.203636363636363E-5</v>
      </c>
      <c r="T82" s="2289" t="s">
        <v>1105</v>
      </c>
      <c r="U82" s="2397">
        <f t="shared" si="43"/>
        <v>1.908E-4</v>
      </c>
    </row>
    <row r="83" spans="1:51" ht="15.75" customHeight="1">
      <c r="B83" s="2346" t="s">
        <v>1863</v>
      </c>
      <c r="C83" s="2337">
        <v>12</v>
      </c>
      <c r="D83" s="2244"/>
      <c r="E83" s="2339">
        <f>8672</f>
        <v>8672</v>
      </c>
      <c r="F83" s="595"/>
      <c r="G83" s="2339">
        <f>434</f>
        <v>434</v>
      </c>
      <c r="H83" s="2289"/>
      <c r="I83" s="2339">
        <f>8239</f>
        <v>8239</v>
      </c>
      <c r="J83" s="595"/>
      <c r="K83" s="2339">
        <v>0.32718600000000003</v>
      </c>
      <c r="L83" s="2244" t="s">
        <v>1714</v>
      </c>
      <c r="M83" s="2339">
        <f>41</f>
        <v>41</v>
      </c>
      <c r="N83" s="2289" t="s">
        <v>1105</v>
      </c>
      <c r="O83" s="2339">
        <f>65</f>
        <v>65</v>
      </c>
      <c r="P83" s="2289" t="s">
        <v>1105</v>
      </c>
      <c r="Q83" s="2339">
        <f>O83/1000*$Z$8*12/44</f>
        <v>4.6977272727272732</v>
      </c>
      <c r="R83" s="2289" t="s">
        <v>1105</v>
      </c>
      <c r="S83" s="2396">
        <f t="shared" si="42"/>
        <v>4.6977272727272733E-6</v>
      </c>
      <c r="T83" s="2289" t="s">
        <v>1105</v>
      </c>
      <c r="U83" s="2397">
        <f t="shared" si="43"/>
        <v>1.7225000000000002E-5</v>
      </c>
    </row>
    <row r="84" spans="1:51" ht="15.75" customHeight="1">
      <c r="B84" s="2346" t="s">
        <v>1864</v>
      </c>
      <c r="C84" s="2337">
        <v>53072.7</v>
      </c>
      <c r="D84" s="2285"/>
      <c r="E84" s="2339">
        <f>16737007</f>
        <v>16737007</v>
      </c>
      <c r="F84" s="595"/>
      <c r="G84" s="2339" t="s">
        <v>1238</v>
      </c>
      <c r="H84" s="2289"/>
      <c r="I84" s="2339">
        <f>16737007</f>
        <v>16737007</v>
      </c>
      <c r="J84" s="595"/>
      <c r="K84" s="2339" t="s">
        <v>1238</v>
      </c>
      <c r="L84" s="2244" t="s">
        <v>1714</v>
      </c>
      <c r="M84" s="2339">
        <f>334740</f>
        <v>334740</v>
      </c>
      <c r="N84" s="2289" t="s">
        <v>1105</v>
      </c>
      <c r="O84" s="2339">
        <f>526020</f>
        <v>526020</v>
      </c>
      <c r="P84" s="2289" t="s">
        <v>1105</v>
      </c>
      <c r="Q84" s="2339">
        <f>O84/1000*$Z$8*12/44</f>
        <v>38016.899999999994</v>
      </c>
      <c r="R84" s="2289" t="s">
        <v>1105</v>
      </c>
      <c r="S84" s="2396">
        <f t="shared" si="42"/>
        <v>3.8016899999999992E-2</v>
      </c>
      <c r="T84" s="2289" t="s">
        <v>1105</v>
      </c>
      <c r="U84" s="2397">
        <f t="shared" si="43"/>
        <v>0.13939529999999997</v>
      </c>
    </row>
    <row r="85" spans="1:51" ht="15.75" customHeight="1">
      <c r="B85" s="2346" t="s">
        <v>1865</v>
      </c>
      <c r="C85" s="2337">
        <v>704</v>
      </c>
      <c r="D85" s="2285"/>
      <c r="E85" s="2339">
        <f>1092080</f>
        <v>1092080</v>
      </c>
      <c r="F85" s="595"/>
      <c r="G85" s="2339" t="s">
        <v>1238</v>
      </c>
      <c r="H85" s="2289"/>
      <c r="I85" s="2339">
        <f>1092080</f>
        <v>1092080</v>
      </c>
      <c r="J85" s="595"/>
      <c r="K85" s="2339" t="s">
        <v>1238</v>
      </c>
      <c r="L85" s="2244" t="s">
        <v>1714</v>
      </c>
      <c r="M85" s="2339">
        <f>21842</f>
        <v>21842</v>
      </c>
      <c r="N85" s="2289" t="s">
        <v>1105</v>
      </c>
      <c r="O85" s="2339">
        <f>34323</f>
        <v>34323</v>
      </c>
      <c r="P85" s="2289" t="s">
        <v>1105</v>
      </c>
      <c r="Q85" s="2339">
        <f>O85/1000*$Z$8*12/44</f>
        <v>2480.616818181818</v>
      </c>
      <c r="R85" s="2289" t="s">
        <v>1105</v>
      </c>
      <c r="S85" s="2396">
        <f t="shared" si="42"/>
        <v>2.480616818181818E-3</v>
      </c>
      <c r="T85" s="2289" t="s">
        <v>1105</v>
      </c>
      <c r="U85" s="2397">
        <f t="shared" si="43"/>
        <v>9.0955949999999997E-3</v>
      </c>
    </row>
    <row r="86" spans="1:51" ht="15.75" customHeight="1">
      <c r="B86" s="2347" t="s">
        <v>719</v>
      </c>
      <c r="C86" s="2398"/>
      <c r="D86" s="2374"/>
      <c r="E86" s="2352"/>
      <c r="F86" s="2391"/>
      <c r="G86" s="2352"/>
      <c r="H86" s="2399"/>
      <c r="I86" s="2352"/>
      <c r="J86" s="2391"/>
      <c r="K86" s="2352" t="s">
        <v>1877</v>
      </c>
      <c r="L86" s="2349"/>
      <c r="M86" s="2352"/>
      <c r="N86" s="2399"/>
      <c r="O86" s="2352"/>
      <c r="P86" s="2399"/>
      <c r="Q86" s="2352"/>
      <c r="R86" s="2399"/>
      <c r="S86" s="2352"/>
      <c r="T86" s="2399"/>
      <c r="U86" s="2400"/>
    </row>
    <row r="87" spans="1:51" ht="15.75" customHeight="1">
      <c r="B87" s="2286" t="s">
        <v>1866</v>
      </c>
      <c r="C87" s="2337">
        <v>0</v>
      </c>
      <c r="D87" s="2285"/>
      <c r="E87" s="2339">
        <v>0</v>
      </c>
      <c r="F87" s="595"/>
      <c r="G87" s="2339" t="s">
        <v>1238</v>
      </c>
      <c r="H87" s="2289"/>
      <c r="I87" s="2339">
        <v>0</v>
      </c>
      <c r="J87" s="595"/>
      <c r="K87" s="2339" t="s">
        <v>1238</v>
      </c>
      <c r="L87" s="2244" t="s">
        <v>1714</v>
      </c>
      <c r="M87" s="2339">
        <v>0</v>
      </c>
      <c r="N87" s="2289" t="s">
        <v>1105</v>
      </c>
      <c r="O87" s="2339">
        <v>0</v>
      </c>
      <c r="P87" s="2289" t="s">
        <v>1105</v>
      </c>
      <c r="Q87" s="2339">
        <f>O87/1000*$Z$8*12/44</f>
        <v>0</v>
      </c>
      <c r="R87" s="2289" t="s">
        <v>1105</v>
      </c>
      <c r="S87" s="2396">
        <f t="shared" ref="S87:S89" si="44">Q87/10^6</f>
        <v>0</v>
      </c>
      <c r="T87" s="2289" t="s">
        <v>1105</v>
      </c>
      <c r="U87" s="2397">
        <f t="shared" ref="U87:U89" si="45">S87/(12/44)</f>
        <v>0</v>
      </c>
    </row>
    <row r="88" spans="1:51" ht="15.75" customHeight="1">
      <c r="B88" s="2286" t="s">
        <v>1867</v>
      </c>
      <c r="C88" s="2295">
        <v>24</v>
      </c>
      <c r="D88" s="2285"/>
      <c r="E88" s="2339">
        <f>315360</f>
        <v>315360</v>
      </c>
      <c r="F88" s="595"/>
      <c r="G88" s="2339" t="s">
        <v>1238</v>
      </c>
      <c r="H88" s="2289"/>
      <c r="I88" s="2339">
        <f>213844</f>
        <v>213844</v>
      </c>
      <c r="J88" s="595"/>
      <c r="K88" s="2339" t="s">
        <v>1238</v>
      </c>
      <c r="L88" s="2244" t="s">
        <v>1714</v>
      </c>
      <c r="M88" s="2339">
        <f>4277</f>
        <v>4277</v>
      </c>
      <c r="N88" s="2289" t="s">
        <v>1105</v>
      </c>
      <c r="O88" s="2339">
        <f>6721</f>
        <v>6721</v>
      </c>
      <c r="P88" s="2289" t="s">
        <v>1105</v>
      </c>
      <c r="Q88" s="2339">
        <f>O88/1000*$Z$8*12/44</f>
        <v>485.74499999999995</v>
      </c>
      <c r="R88" s="2289" t="s">
        <v>1105</v>
      </c>
      <c r="S88" s="2396">
        <f t="shared" si="44"/>
        <v>4.8574499999999994E-4</v>
      </c>
      <c r="T88" s="2289" t="s">
        <v>1105</v>
      </c>
      <c r="U88" s="2397">
        <f t="shared" si="45"/>
        <v>1.7810649999999999E-3</v>
      </c>
    </row>
    <row r="89" spans="1:51" ht="15.75" customHeight="1">
      <c r="B89" s="2406" t="s">
        <v>1841</v>
      </c>
      <c r="C89" s="2407" t="s">
        <v>1877</v>
      </c>
      <c r="D89" s="2408"/>
      <c r="E89" s="2409">
        <v>30118367.229000006</v>
      </c>
      <c r="F89" s="2408"/>
      <c r="G89" s="2409">
        <f>2911638</f>
        <v>2911638</v>
      </c>
      <c r="H89" s="2408"/>
      <c r="I89" s="2409">
        <f>22699687</f>
        <v>22699687</v>
      </c>
      <c r="J89" s="2410"/>
      <c r="K89" s="2409">
        <f>2912</f>
        <v>2912</v>
      </c>
      <c r="L89" s="2411"/>
      <c r="M89" s="2409">
        <f>435557</f>
        <v>435557</v>
      </c>
      <c r="N89" s="2410"/>
      <c r="O89" s="2409">
        <f>688202</f>
        <v>688202</v>
      </c>
      <c r="P89" s="2410"/>
      <c r="Q89" s="2409">
        <f>SUM(Q68:Q88)</f>
        <v>49738.235454545451</v>
      </c>
      <c r="R89" s="2410"/>
      <c r="S89" s="2412">
        <f t="shared" si="44"/>
        <v>4.9738235454545449E-2</v>
      </c>
      <c r="T89" s="2410"/>
      <c r="U89" s="2413">
        <f t="shared" si="45"/>
        <v>0.18237352999999998</v>
      </c>
    </row>
    <row r="90" spans="1:51" ht="15.75" customHeight="1">
      <c r="A90" s="935"/>
      <c r="B90" s="2414"/>
      <c r="C90" s="2415"/>
      <c r="D90" s="2416"/>
      <c r="E90" s="2416"/>
      <c r="F90" s="2416"/>
      <c r="G90" s="2417"/>
      <c r="H90" s="2418"/>
      <c r="I90" s="2419"/>
      <c r="J90" s="2418"/>
      <c r="K90" s="2420"/>
      <c r="L90" s="384"/>
      <c r="M90" s="2420"/>
      <c r="N90" s="384"/>
      <c r="O90" s="384"/>
      <c r="P90" s="384"/>
      <c r="Q90" s="384"/>
      <c r="R90" s="384"/>
      <c r="S90" s="384"/>
      <c r="T90" s="384"/>
      <c r="U90" s="386"/>
    </row>
    <row r="91" spans="1:51" ht="15.75" customHeight="1">
      <c r="A91" s="1"/>
      <c r="B91" s="2306"/>
      <c r="C91" s="1302"/>
      <c r="D91" s="1496"/>
      <c r="E91" s="1496"/>
      <c r="F91" s="1496"/>
      <c r="G91" s="2307"/>
      <c r="H91" s="298"/>
      <c r="I91" s="2308"/>
      <c r="J91" s="298"/>
      <c r="K91" s="2309"/>
      <c r="L91" s="1"/>
      <c r="M91" s="2309"/>
      <c r="N91" s="1"/>
      <c r="O91" s="1"/>
      <c r="P91" s="1"/>
      <c r="Q91" s="1"/>
      <c r="R91" s="1"/>
      <c r="S91" s="1"/>
      <c r="T91" s="1"/>
      <c r="U91" s="1"/>
    </row>
    <row r="92" spans="1:51" ht="15.75" customHeight="1">
      <c r="A92" s="1"/>
      <c r="B92" s="2306"/>
      <c r="C92" s="1302"/>
      <c r="D92" s="1496"/>
      <c r="E92" s="1496"/>
      <c r="F92" s="1496"/>
      <c r="G92" s="2307"/>
      <c r="H92" s="298"/>
      <c r="I92" s="2308"/>
      <c r="J92" s="298"/>
      <c r="K92" s="2309"/>
      <c r="L92" s="1"/>
      <c r="M92" s="2309"/>
      <c r="N92" s="1"/>
      <c r="O92" s="1"/>
      <c r="P92" s="1"/>
      <c r="Q92" s="1"/>
      <c r="R92" s="1"/>
      <c r="S92" s="1"/>
      <c r="T92" s="1"/>
      <c r="U92" s="1"/>
    </row>
    <row r="93" spans="1:51" ht="15.75" customHeight="1">
      <c r="B93" s="2421" t="s">
        <v>1878</v>
      </c>
      <c r="C93" s="2422"/>
      <c r="D93" s="2423"/>
      <c r="E93" s="2423"/>
      <c r="F93" s="2424"/>
      <c r="G93" s="2425"/>
      <c r="H93" s="2426"/>
      <c r="I93" s="2427"/>
      <c r="J93" s="2426"/>
      <c r="K93" s="2428"/>
      <c r="L93" s="2429"/>
      <c r="M93" s="2428"/>
      <c r="N93" s="2429"/>
      <c r="O93" s="2429"/>
      <c r="P93" s="2429"/>
      <c r="Q93" s="2429"/>
      <c r="R93" s="2429"/>
      <c r="S93" s="2429"/>
      <c r="T93" s="2429"/>
      <c r="U93" s="2429"/>
      <c r="V93" s="2429"/>
      <c r="W93" s="2429"/>
      <c r="X93" s="2429"/>
      <c r="Y93" s="2429"/>
      <c r="Z93" s="2429"/>
      <c r="AA93" s="2429"/>
      <c r="AB93" s="2429"/>
      <c r="AC93" s="2429"/>
      <c r="AD93" s="2429"/>
      <c r="AE93" s="2430"/>
    </row>
    <row r="94" spans="1:51" ht="15.75" customHeight="1">
      <c r="A94" s="6"/>
      <c r="B94" s="2431" t="s">
        <v>1879</v>
      </c>
      <c r="C94" s="6"/>
      <c r="D94" s="6"/>
      <c r="E94" s="6"/>
      <c r="F94" s="6"/>
      <c r="G94" s="108"/>
      <c r="H94" s="108"/>
      <c r="I94" s="108"/>
      <c r="J94" s="108"/>
      <c r="K94" s="108"/>
      <c r="L94" s="108"/>
      <c r="M94" s="2432"/>
      <c r="N94" s="108"/>
      <c r="O94" s="108"/>
      <c r="P94" s="2433"/>
      <c r="Q94" s="108"/>
      <c r="R94" s="108"/>
      <c r="S94" s="108"/>
      <c r="T94" s="108"/>
      <c r="U94" s="108"/>
      <c r="V94" s="108"/>
      <c r="W94" s="108"/>
      <c r="X94" s="108"/>
      <c r="Y94" s="108"/>
      <c r="Z94" s="108"/>
      <c r="AA94" s="108"/>
      <c r="AB94" s="108"/>
      <c r="AC94" s="108"/>
      <c r="AD94" s="108"/>
      <c r="AE94" s="1871"/>
      <c r="AF94" s="6"/>
      <c r="AG94" s="6"/>
      <c r="AH94" s="6"/>
      <c r="AI94" s="6"/>
      <c r="AJ94" s="6"/>
      <c r="AK94" s="6"/>
      <c r="AL94" s="6"/>
      <c r="AM94" s="6"/>
      <c r="AN94" s="6"/>
      <c r="AO94" s="6"/>
      <c r="AP94" s="6"/>
      <c r="AQ94" s="6"/>
      <c r="AR94" s="6"/>
      <c r="AS94" s="6"/>
      <c r="AT94" s="6"/>
      <c r="AU94" s="6"/>
      <c r="AV94" s="6"/>
      <c r="AW94" s="6"/>
      <c r="AX94" s="6"/>
      <c r="AY94" s="6"/>
    </row>
    <row r="95" spans="1:51" ht="15.75" customHeight="1">
      <c r="A95" s="6"/>
      <c r="B95" s="2434"/>
      <c r="C95" s="2435" t="s">
        <v>185</v>
      </c>
      <c r="D95" s="2435"/>
      <c r="E95" s="2435" t="s">
        <v>1880</v>
      </c>
      <c r="F95" s="2435"/>
      <c r="G95" s="2435" t="s">
        <v>1881</v>
      </c>
      <c r="H95" s="2436"/>
      <c r="I95" s="2435" t="s">
        <v>1882</v>
      </c>
      <c r="J95" s="2436"/>
      <c r="K95" s="2435" t="s">
        <v>1883</v>
      </c>
      <c r="L95" s="2435"/>
      <c r="M95" s="2435" t="s">
        <v>1884</v>
      </c>
      <c r="N95" s="2437"/>
      <c r="O95" s="2435" t="s">
        <v>1885</v>
      </c>
      <c r="P95" s="2435"/>
      <c r="Q95" s="2435" t="s">
        <v>1886</v>
      </c>
      <c r="R95" s="2436"/>
      <c r="S95" s="2435" t="s">
        <v>1887</v>
      </c>
      <c r="T95" s="2435"/>
      <c r="U95" s="2435" t="s">
        <v>1888</v>
      </c>
      <c r="V95" s="2436"/>
      <c r="W95" s="2435" t="s">
        <v>1889</v>
      </c>
      <c r="X95" s="2438"/>
      <c r="Y95" s="2439"/>
      <c r="Z95" s="2440" t="s">
        <v>1890</v>
      </c>
      <c r="AA95" s="2435" t="s">
        <v>1891</v>
      </c>
      <c r="AB95" s="2439"/>
      <c r="AC95" s="2441" t="s">
        <v>1892</v>
      </c>
      <c r="AD95" s="2439"/>
      <c r="AE95" s="2442" t="s">
        <v>1893</v>
      </c>
      <c r="AF95" s="6"/>
      <c r="AG95" s="6"/>
      <c r="AH95" s="6"/>
      <c r="AI95" s="6"/>
      <c r="AJ95" s="6"/>
      <c r="AK95" s="6"/>
      <c r="AL95" s="6"/>
      <c r="AM95" s="6"/>
      <c r="AN95" s="6"/>
      <c r="AO95" s="6"/>
      <c r="AP95" s="6"/>
      <c r="AQ95" s="6"/>
      <c r="AR95" s="6"/>
      <c r="AS95" s="6"/>
      <c r="AT95" s="6"/>
      <c r="AU95" s="6"/>
      <c r="AV95" s="6"/>
      <c r="AW95" s="6"/>
      <c r="AX95" s="6"/>
      <c r="AY95" s="6"/>
    </row>
    <row r="96" spans="1:51" ht="15.75" customHeight="1">
      <c r="A96" s="6"/>
      <c r="B96" s="2443" t="s">
        <v>1894</v>
      </c>
      <c r="C96" s="2444" t="s">
        <v>1895</v>
      </c>
      <c r="D96" s="2445"/>
      <c r="E96" s="2446">
        <v>140</v>
      </c>
      <c r="F96" s="2447"/>
      <c r="G96" s="1004" t="s">
        <v>1238</v>
      </c>
      <c r="H96" s="374"/>
      <c r="I96" s="374">
        <v>0</v>
      </c>
      <c r="J96" s="374"/>
      <c r="K96" s="2448">
        <f>E96*0.9072*1000</f>
        <v>127008</v>
      </c>
      <c r="L96" s="2449"/>
      <c r="M96" s="374">
        <v>0.85</v>
      </c>
      <c r="N96" s="374"/>
      <c r="O96" s="374">
        <v>0</v>
      </c>
      <c r="P96" s="374"/>
      <c r="Q96" s="374" t="s">
        <v>1238</v>
      </c>
      <c r="R96" s="374"/>
      <c r="S96" s="2448" t="s">
        <v>1238</v>
      </c>
      <c r="T96" s="2450"/>
      <c r="U96" s="374">
        <v>0.03</v>
      </c>
      <c r="V96" s="374"/>
      <c r="W96" s="2448">
        <f>(K96*1000)*(1+I96)*M96*U96</f>
        <v>3238704</v>
      </c>
      <c r="X96" s="374"/>
      <c r="Y96" s="2451" t="s">
        <v>1896</v>
      </c>
      <c r="Z96" s="2450">
        <v>0.01</v>
      </c>
      <c r="AA96" s="2452">
        <f>S117/1000*Z96*44/28</f>
        <v>422.23715421701729</v>
      </c>
      <c r="AB96" s="374"/>
      <c r="AC96" s="2453">
        <f>AA96*$Z$8*12/44*10^-6</f>
        <v>3.0516230691138971E-2</v>
      </c>
      <c r="AD96" s="374"/>
      <c r="AE96" s="2454">
        <f t="shared" ref="AE96:AE97" si="46">AC96/(12/44)</f>
        <v>0.11189284586750957</v>
      </c>
      <c r="AF96" s="6"/>
      <c r="AG96" s="6"/>
      <c r="AH96" s="6"/>
      <c r="AI96" s="6"/>
      <c r="AJ96" s="6"/>
      <c r="AK96" s="6"/>
      <c r="AL96" s="6"/>
      <c r="AM96" s="6"/>
      <c r="AN96" s="6"/>
      <c r="AO96" s="6"/>
      <c r="AP96" s="6"/>
      <c r="AQ96" s="6"/>
      <c r="AR96" s="6"/>
      <c r="AS96" s="6"/>
      <c r="AT96" s="6"/>
      <c r="AU96" s="6"/>
      <c r="AV96" s="6"/>
      <c r="AW96" s="6"/>
      <c r="AX96" s="6"/>
      <c r="AY96" s="6"/>
    </row>
    <row r="97" spans="1:51" ht="15.75" customHeight="1">
      <c r="A97" s="6"/>
      <c r="B97" s="378" t="s">
        <v>1897</v>
      </c>
      <c r="C97" s="2455" t="s">
        <v>1898</v>
      </c>
      <c r="D97" s="2456"/>
      <c r="E97" s="2457">
        <v>46870</v>
      </c>
      <c r="F97" s="381"/>
      <c r="G97" s="1023">
        <v>2.5401147108E-2</v>
      </c>
      <c r="H97" s="381"/>
      <c r="I97" s="381">
        <v>1</v>
      </c>
      <c r="J97" s="381"/>
      <c r="K97" s="2458">
        <f t="shared" ref="K97:K103" si="47">E97*1000*G97</f>
        <v>1190551.76495196</v>
      </c>
      <c r="L97" s="2458"/>
      <c r="M97" s="381">
        <v>0.91</v>
      </c>
      <c r="N97" s="381"/>
      <c r="O97" s="381">
        <v>0.9</v>
      </c>
      <c r="P97" s="381"/>
      <c r="Q97" s="381">
        <v>5.7999999999999996E-3</v>
      </c>
      <c r="R97" s="381"/>
      <c r="S97" s="2458">
        <f t="shared" ref="S97:S111" si="48">(K97*1000)*I97*M97*O97*Q97</f>
        <v>5655358.9938747985</v>
      </c>
      <c r="T97" s="380"/>
      <c r="U97" s="381">
        <v>0.03</v>
      </c>
      <c r="V97" s="381"/>
      <c r="W97" s="2458" t="s">
        <v>1238</v>
      </c>
      <c r="X97" s="381"/>
      <c r="Y97" s="2459" t="s">
        <v>1899</v>
      </c>
      <c r="Z97" s="380">
        <v>0.01</v>
      </c>
      <c r="AA97" s="2460">
        <f>W117/1000*Z97*44/28</f>
        <v>670.39496110002494</v>
      </c>
      <c r="AB97" s="381"/>
      <c r="AC97" s="2461">
        <f>AA97*$Z$8*12/44*10^-6</f>
        <v>4.8451272188592708E-2</v>
      </c>
      <c r="AD97" s="381"/>
      <c r="AE97" s="2462">
        <f t="shared" si="46"/>
        <v>0.17765466469150662</v>
      </c>
      <c r="AF97" s="6"/>
      <c r="AG97" s="6"/>
      <c r="AH97" s="6"/>
      <c r="AI97" s="6"/>
      <c r="AJ97" s="6"/>
      <c r="AK97" s="6"/>
      <c r="AL97" s="6"/>
      <c r="AM97" s="6"/>
      <c r="AN97" s="6"/>
      <c r="AO97" s="6"/>
      <c r="AP97" s="6"/>
      <c r="AQ97" s="6"/>
      <c r="AR97" s="6"/>
      <c r="AS97" s="6"/>
      <c r="AT97" s="6"/>
      <c r="AU97" s="6"/>
      <c r="AV97" s="6"/>
      <c r="AW97" s="6"/>
      <c r="AX97" s="6"/>
      <c r="AY97" s="6"/>
    </row>
    <row r="98" spans="1:51" ht="15.75" customHeight="1">
      <c r="A98" s="6"/>
      <c r="B98" s="378" t="s">
        <v>1900</v>
      </c>
      <c r="C98" s="2455" t="s">
        <v>1898</v>
      </c>
      <c r="D98" s="2456"/>
      <c r="E98" s="2457">
        <v>12540</v>
      </c>
      <c r="F98" s="381"/>
      <c r="G98" s="1023">
        <v>2.7215442853E-2</v>
      </c>
      <c r="H98" s="381"/>
      <c r="I98" s="381">
        <v>1.3</v>
      </c>
      <c r="J98" s="381"/>
      <c r="K98" s="2458">
        <f t="shared" si="47"/>
        <v>341281.65337661997</v>
      </c>
      <c r="L98" s="2458"/>
      <c r="M98" s="381">
        <v>0.93</v>
      </c>
      <c r="N98" s="381"/>
      <c r="O98" s="381">
        <v>0.9</v>
      </c>
      <c r="P98" s="381"/>
      <c r="Q98" s="381">
        <v>6.1999999999999998E-3</v>
      </c>
      <c r="R98" s="381"/>
      <c r="S98" s="2458">
        <f t="shared" si="48"/>
        <v>2302361.1156424214</v>
      </c>
      <c r="T98" s="380"/>
      <c r="U98" s="381">
        <v>0.03</v>
      </c>
      <c r="V98" s="381"/>
      <c r="W98" s="2458" t="s">
        <v>1238</v>
      </c>
      <c r="X98" s="381"/>
      <c r="Y98" s="379"/>
      <c r="Z98" s="1929"/>
      <c r="AA98" s="381"/>
      <c r="AB98" s="381"/>
      <c r="AC98" s="381"/>
      <c r="AD98" s="381"/>
      <c r="AE98" s="382"/>
      <c r="AF98" s="6"/>
      <c r="AG98" s="6"/>
      <c r="AH98" s="6"/>
      <c r="AI98" s="6"/>
      <c r="AJ98" s="6"/>
      <c r="AK98" s="6"/>
      <c r="AL98" s="6"/>
      <c r="AM98" s="6"/>
      <c r="AN98" s="6"/>
      <c r="AO98" s="6"/>
      <c r="AP98" s="6"/>
      <c r="AQ98" s="6"/>
      <c r="AR98" s="6"/>
      <c r="AS98" s="6"/>
      <c r="AT98" s="6"/>
      <c r="AU98" s="6"/>
      <c r="AV98" s="6"/>
      <c r="AW98" s="6"/>
      <c r="AX98" s="6"/>
      <c r="AY98" s="6"/>
    </row>
    <row r="99" spans="1:51" ht="15.75" customHeight="1">
      <c r="A99" s="6"/>
      <c r="B99" s="378" t="s">
        <v>1901</v>
      </c>
      <c r="C99" s="2455" t="s">
        <v>1898</v>
      </c>
      <c r="D99" s="2456"/>
      <c r="E99" s="2457">
        <v>2880</v>
      </c>
      <c r="F99" s="381"/>
      <c r="G99" s="1023">
        <v>2.1772E-2</v>
      </c>
      <c r="H99" s="381"/>
      <c r="I99" s="381">
        <v>1.2</v>
      </c>
      <c r="J99" s="381"/>
      <c r="K99" s="2458">
        <f t="shared" si="47"/>
        <v>62703.360000000001</v>
      </c>
      <c r="L99" s="2458"/>
      <c r="M99" s="381">
        <v>0.93</v>
      </c>
      <c r="N99" s="381"/>
      <c r="O99" s="381">
        <v>0.9</v>
      </c>
      <c r="P99" s="381"/>
      <c r="Q99" s="381">
        <v>7.7000000000000002E-3</v>
      </c>
      <c r="R99" s="381"/>
      <c r="S99" s="2458">
        <f t="shared" si="48"/>
        <v>484940.26183680008</v>
      </c>
      <c r="T99" s="380"/>
      <c r="U99" s="381">
        <v>0.03</v>
      </c>
      <c r="V99" s="381"/>
      <c r="W99" s="2458" t="s">
        <v>1238</v>
      </c>
      <c r="X99" s="381"/>
      <c r="Y99" s="381"/>
      <c r="Z99" s="1929"/>
      <c r="AA99" s="381"/>
      <c r="AB99" s="381"/>
      <c r="AC99" s="381"/>
      <c r="AD99" s="381"/>
      <c r="AE99" s="382"/>
      <c r="AF99" s="6"/>
      <c r="AG99" s="6"/>
      <c r="AH99" s="6"/>
      <c r="AI99" s="6"/>
      <c r="AJ99" s="6"/>
      <c r="AK99" s="6"/>
      <c r="AL99" s="6"/>
      <c r="AM99" s="6"/>
      <c r="AN99" s="6"/>
      <c r="AO99" s="6"/>
      <c r="AP99" s="6"/>
      <c r="AQ99" s="6"/>
      <c r="AR99" s="6"/>
      <c r="AS99" s="6"/>
      <c r="AT99" s="6"/>
      <c r="AU99" s="6"/>
      <c r="AV99" s="6"/>
      <c r="AW99" s="6"/>
      <c r="AX99" s="6"/>
      <c r="AY99" s="6"/>
    </row>
    <row r="100" spans="1:51" ht="15.75" customHeight="1">
      <c r="A100" s="6"/>
      <c r="B100" s="378" t="s">
        <v>1902</v>
      </c>
      <c r="C100" s="2455" t="s">
        <v>1898</v>
      </c>
      <c r="D100" s="2456"/>
      <c r="E100" s="2457">
        <v>0</v>
      </c>
      <c r="F100" s="381"/>
      <c r="G100" s="1023">
        <v>2.5401169512752383E-2</v>
      </c>
      <c r="H100" s="381"/>
      <c r="I100" s="381">
        <v>1.4</v>
      </c>
      <c r="J100" s="381"/>
      <c r="K100" s="2458">
        <f t="shared" si="47"/>
        <v>0</v>
      </c>
      <c r="L100" s="2458"/>
      <c r="M100" s="381">
        <v>0.91</v>
      </c>
      <c r="N100" s="381"/>
      <c r="O100" s="381">
        <v>0.9</v>
      </c>
      <c r="P100" s="381"/>
      <c r="Q100" s="381">
        <v>1.0800000000000001E-2</v>
      </c>
      <c r="R100" s="381"/>
      <c r="S100" s="2458">
        <f t="shared" si="48"/>
        <v>0</v>
      </c>
      <c r="T100" s="380"/>
      <c r="U100" s="381">
        <v>0.03</v>
      </c>
      <c r="V100" s="381"/>
      <c r="W100" s="2458" t="s">
        <v>1238</v>
      </c>
      <c r="X100" s="381"/>
      <c r="Y100" s="381"/>
      <c r="Z100" s="1929"/>
      <c r="AA100" s="381"/>
      <c r="AB100" s="381"/>
      <c r="AC100" s="381"/>
      <c r="AD100" s="381"/>
      <c r="AE100" s="382"/>
      <c r="AF100" s="6"/>
      <c r="AG100" s="6"/>
      <c r="AH100" s="6"/>
      <c r="AI100" s="6"/>
      <c r="AJ100" s="6"/>
      <c r="AK100" s="6"/>
      <c r="AL100" s="6"/>
      <c r="AM100" s="6"/>
      <c r="AN100" s="6"/>
      <c r="AO100" s="6"/>
      <c r="AP100" s="6"/>
      <c r="AQ100" s="6"/>
      <c r="AR100" s="6"/>
      <c r="AS100" s="6"/>
      <c r="AT100" s="6"/>
      <c r="AU100" s="6"/>
      <c r="AV100" s="6"/>
      <c r="AW100" s="6"/>
      <c r="AX100" s="6"/>
      <c r="AY100" s="6"/>
    </row>
    <row r="101" spans="1:51" ht="15.75" customHeight="1">
      <c r="A101" s="6"/>
      <c r="B101" s="378" t="s">
        <v>1903</v>
      </c>
      <c r="C101" s="2455" t="s">
        <v>1898</v>
      </c>
      <c r="D101" s="2456"/>
      <c r="E101" s="2457">
        <v>0</v>
      </c>
      <c r="F101" s="381"/>
      <c r="G101" s="1023">
        <v>1.4514959222223263E-2</v>
      </c>
      <c r="H101" s="381"/>
      <c r="I101" s="381">
        <v>1.3</v>
      </c>
      <c r="J101" s="381"/>
      <c r="K101" s="2458">
        <f t="shared" si="47"/>
        <v>0</v>
      </c>
      <c r="L101" s="2458"/>
      <c r="M101" s="381">
        <v>0.92</v>
      </c>
      <c r="N101" s="381"/>
      <c r="O101" s="381">
        <v>0.9</v>
      </c>
      <c r="P101" s="381"/>
      <c r="Q101" s="381">
        <v>7.0000000000000001E-3</v>
      </c>
      <c r="R101" s="381"/>
      <c r="S101" s="2458">
        <f t="shared" si="48"/>
        <v>0</v>
      </c>
      <c r="T101" s="380"/>
      <c r="U101" s="381">
        <v>0.03</v>
      </c>
      <c r="V101" s="381"/>
      <c r="W101" s="2458" t="s">
        <v>1238</v>
      </c>
      <c r="X101" s="381"/>
      <c r="Y101" s="381"/>
      <c r="Z101" s="1929"/>
      <c r="AA101" s="381"/>
      <c r="AB101" s="381"/>
      <c r="AC101" s="381"/>
      <c r="AD101" s="381"/>
      <c r="AE101" s="382"/>
      <c r="AF101" s="6"/>
      <c r="AG101" s="6"/>
      <c r="AH101" s="6"/>
      <c r="AI101" s="6"/>
      <c r="AJ101" s="6"/>
      <c r="AK101" s="6"/>
      <c r="AL101" s="6"/>
      <c r="AM101" s="6"/>
      <c r="AN101" s="6"/>
      <c r="AO101" s="6"/>
      <c r="AP101" s="6"/>
      <c r="AQ101" s="6"/>
      <c r="AR101" s="6"/>
      <c r="AS101" s="6"/>
      <c r="AT101" s="6"/>
      <c r="AU101" s="6"/>
      <c r="AV101" s="6"/>
      <c r="AW101" s="6"/>
      <c r="AX101" s="6"/>
      <c r="AY101" s="6"/>
    </row>
    <row r="102" spans="1:51" ht="15.75" customHeight="1">
      <c r="A102" s="6"/>
      <c r="B102" s="378" t="s">
        <v>1904</v>
      </c>
      <c r="C102" s="2455" t="s">
        <v>1898</v>
      </c>
      <c r="D102" s="2456"/>
      <c r="E102" s="2457">
        <v>0</v>
      </c>
      <c r="F102" s="381"/>
      <c r="G102" s="1023">
        <v>2.5401046494036766E-2</v>
      </c>
      <c r="H102" s="381"/>
      <c r="I102" s="381">
        <v>1.6</v>
      </c>
      <c r="J102" s="381"/>
      <c r="K102" s="2458">
        <f t="shared" si="47"/>
        <v>0</v>
      </c>
      <c r="L102" s="2458"/>
      <c r="M102" s="381">
        <v>0.9</v>
      </c>
      <c r="N102" s="381"/>
      <c r="O102" s="381">
        <v>0.9</v>
      </c>
      <c r="P102" s="381"/>
      <c r="Q102" s="381">
        <v>4.7999999999999996E-3</v>
      </c>
      <c r="R102" s="381"/>
      <c r="S102" s="2458">
        <f t="shared" si="48"/>
        <v>0</v>
      </c>
      <c r="T102" s="380"/>
      <c r="U102" s="381">
        <v>0.03</v>
      </c>
      <c r="V102" s="381"/>
      <c r="W102" s="2458" t="s">
        <v>1238</v>
      </c>
      <c r="X102" s="381"/>
      <c r="Y102" s="381"/>
      <c r="Z102" s="1929"/>
      <c r="AA102" s="381"/>
      <c r="AB102" s="381"/>
      <c r="AC102" s="381"/>
      <c r="AD102" s="381"/>
      <c r="AE102" s="382"/>
      <c r="AF102" s="6"/>
      <c r="AG102" s="6"/>
      <c r="AH102" s="6"/>
      <c r="AI102" s="6"/>
      <c r="AJ102" s="6"/>
      <c r="AK102" s="6"/>
      <c r="AL102" s="6"/>
      <c r="AM102" s="6"/>
      <c r="AN102" s="6"/>
      <c r="AO102" s="6"/>
      <c r="AP102" s="6"/>
      <c r="AQ102" s="6"/>
      <c r="AR102" s="6"/>
      <c r="AS102" s="6"/>
      <c r="AT102" s="6"/>
      <c r="AU102" s="6"/>
      <c r="AV102" s="6"/>
      <c r="AW102" s="6"/>
      <c r="AX102" s="6"/>
      <c r="AY102" s="6"/>
    </row>
    <row r="103" spans="1:51" ht="15.75" customHeight="1">
      <c r="A103" s="6"/>
      <c r="B103" s="378" t="s">
        <v>1905</v>
      </c>
      <c r="C103" s="2455" t="s">
        <v>1898</v>
      </c>
      <c r="D103" s="2456"/>
      <c r="E103" s="2463">
        <v>0</v>
      </c>
      <c r="F103" s="381"/>
      <c r="G103" s="1023">
        <v>2.7215E-2</v>
      </c>
      <c r="H103" s="381"/>
      <c r="I103" s="381">
        <v>1.4</v>
      </c>
      <c r="J103" s="381"/>
      <c r="K103" s="2458">
        <f t="shared" si="47"/>
        <v>0</v>
      </c>
      <c r="L103" s="380"/>
      <c r="M103" s="381">
        <v>0.89</v>
      </c>
      <c r="N103" s="381"/>
      <c r="O103" s="381">
        <v>0.89</v>
      </c>
      <c r="P103" s="381"/>
      <c r="Q103" s="381">
        <v>7.0000000000000001E-3</v>
      </c>
      <c r="R103" s="381"/>
      <c r="S103" s="2458">
        <f t="shared" si="48"/>
        <v>0</v>
      </c>
      <c r="T103" s="380"/>
      <c r="U103" s="381">
        <v>0.03</v>
      </c>
      <c r="V103" s="381"/>
      <c r="W103" s="2458" t="s">
        <v>1238</v>
      </c>
      <c r="X103" s="381"/>
      <c r="Y103" s="381"/>
      <c r="Z103" s="1240"/>
      <c r="AA103" s="381"/>
      <c r="AB103" s="381"/>
      <c r="AC103" s="381"/>
      <c r="AD103" s="381"/>
      <c r="AE103" s="382"/>
      <c r="AF103" s="6"/>
      <c r="AG103" s="6"/>
      <c r="AH103" s="6"/>
      <c r="AI103" s="6"/>
      <c r="AJ103" s="6"/>
      <c r="AK103" s="6"/>
      <c r="AL103" s="6"/>
      <c r="AM103" s="6"/>
      <c r="AN103" s="6"/>
      <c r="AO103" s="6"/>
      <c r="AP103" s="6"/>
      <c r="AQ103" s="6"/>
      <c r="AR103" s="6"/>
      <c r="AS103" s="6"/>
      <c r="AT103" s="6"/>
      <c r="AU103" s="6"/>
      <c r="AV103" s="6"/>
      <c r="AW103" s="6"/>
      <c r="AX103" s="6"/>
      <c r="AY103" s="6"/>
    </row>
    <row r="104" spans="1:51" ht="15.75" customHeight="1">
      <c r="A104" s="6"/>
      <c r="B104" s="378" t="s">
        <v>1906</v>
      </c>
      <c r="C104" s="2455" t="s">
        <v>1907</v>
      </c>
      <c r="D104" s="2456"/>
      <c r="E104" s="2457">
        <v>0</v>
      </c>
      <c r="F104" s="381"/>
      <c r="G104" s="1023" t="s">
        <v>1238</v>
      </c>
      <c r="H104" s="381"/>
      <c r="I104" s="381">
        <v>1.4</v>
      </c>
      <c r="J104" s="381"/>
      <c r="K104" s="2458">
        <f>(E104*0.454)*100</f>
        <v>0</v>
      </c>
      <c r="L104" s="2458"/>
      <c r="M104" s="381">
        <v>0.91</v>
      </c>
      <c r="N104" s="381"/>
      <c r="O104" s="381">
        <v>1</v>
      </c>
      <c r="P104" s="381"/>
      <c r="Q104" s="381">
        <v>7.1999999999999998E-3</v>
      </c>
      <c r="R104" s="381"/>
      <c r="S104" s="2458">
        <f t="shared" si="48"/>
        <v>0</v>
      </c>
      <c r="T104" s="380"/>
      <c r="U104" s="381">
        <v>0.03</v>
      </c>
      <c r="V104" s="381"/>
      <c r="W104" s="2458" t="s">
        <v>1238</v>
      </c>
      <c r="X104" s="381"/>
      <c r="Y104" s="381"/>
      <c r="Z104" s="1929"/>
      <c r="AA104" s="381"/>
      <c r="AB104" s="381"/>
      <c r="AC104" s="381"/>
      <c r="AD104" s="381"/>
      <c r="AE104" s="382"/>
      <c r="AF104" s="6"/>
      <c r="AG104" s="6"/>
      <c r="AH104" s="6"/>
      <c r="AI104" s="6"/>
      <c r="AJ104" s="6"/>
      <c r="AK104" s="6"/>
      <c r="AL104" s="6"/>
      <c r="AM104" s="6"/>
      <c r="AN104" s="6"/>
      <c r="AO104" s="6"/>
      <c r="AP104" s="6"/>
      <c r="AQ104" s="6"/>
      <c r="AR104" s="6"/>
      <c r="AS104" s="6"/>
      <c r="AT104" s="6"/>
      <c r="AU104" s="6"/>
      <c r="AV104" s="6"/>
      <c r="AW104" s="6"/>
      <c r="AX104" s="6"/>
      <c r="AY104" s="6"/>
    </row>
    <row r="105" spans="1:51" ht="15.75" customHeight="1">
      <c r="A105" s="6"/>
      <c r="B105" s="378" t="s">
        <v>1908</v>
      </c>
      <c r="C105" s="2455" t="s">
        <v>1898</v>
      </c>
      <c r="D105" s="2456"/>
      <c r="E105" s="2457">
        <v>17903</v>
      </c>
      <c r="F105" s="381"/>
      <c r="G105" s="1023">
        <v>2.7215692074999999E-2</v>
      </c>
      <c r="H105" s="381"/>
      <c r="I105" s="381">
        <v>2.1</v>
      </c>
      <c r="J105" s="381"/>
      <c r="K105" s="2458">
        <f>E105*1000*G105</f>
        <v>487242.53521872498</v>
      </c>
      <c r="L105" s="2458"/>
      <c r="M105" s="381">
        <v>0.87</v>
      </c>
      <c r="N105" s="381"/>
      <c r="O105" s="381">
        <v>0.9</v>
      </c>
      <c r="P105" s="381"/>
      <c r="Q105" s="381">
        <v>2.3E-2</v>
      </c>
      <c r="R105" s="381"/>
      <c r="S105" s="2458">
        <f t="shared" si="48"/>
        <v>18426976.715183441</v>
      </c>
      <c r="T105" s="380"/>
      <c r="U105" s="381">
        <v>0.03</v>
      </c>
      <c r="V105" s="381"/>
      <c r="W105" s="2458">
        <f t="shared" ref="W105:W116" si="49">(K105*1000)*(1+I105)*M105*U105</f>
        <v>39422793.524547033</v>
      </c>
      <c r="X105" s="381"/>
      <c r="Y105" s="381"/>
      <c r="Z105" s="1929"/>
      <c r="AA105" s="381"/>
      <c r="AB105" s="381"/>
      <c r="AC105" s="381"/>
      <c r="AD105" s="381"/>
      <c r="AE105" s="382"/>
      <c r="AF105" s="6"/>
      <c r="AG105" s="6"/>
      <c r="AH105" s="6"/>
      <c r="AI105" s="6"/>
      <c r="AJ105" s="6"/>
      <c r="AK105" s="6"/>
      <c r="AL105" s="6"/>
      <c r="AM105" s="6"/>
      <c r="AN105" s="6"/>
      <c r="AO105" s="6"/>
      <c r="AP105" s="6"/>
      <c r="AQ105" s="6"/>
      <c r="AR105" s="6"/>
      <c r="AS105" s="6"/>
      <c r="AT105" s="6"/>
      <c r="AU105" s="6"/>
      <c r="AV105" s="6"/>
      <c r="AW105" s="6"/>
      <c r="AX105" s="6"/>
      <c r="AY105" s="6"/>
    </row>
    <row r="106" spans="1:51" ht="15.75" customHeight="1">
      <c r="A106" s="6"/>
      <c r="B106" s="378" t="s">
        <v>1909</v>
      </c>
      <c r="C106" s="2455" t="s">
        <v>1910</v>
      </c>
      <c r="D106" s="2456"/>
      <c r="E106" s="2457">
        <v>0</v>
      </c>
      <c r="F106" s="381"/>
      <c r="G106" s="1023" t="s">
        <v>1238</v>
      </c>
      <c r="H106" s="381"/>
      <c r="I106" s="381">
        <v>1</v>
      </c>
      <c r="J106" s="381"/>
      <c r="K106" s="2458">
        <f>(E106*1000/2000*0.9072)</f>
        <v>0</v>
      </c>
      <c r="L106" s="2458"/>
      <c r="M106" s="381">
        <v>0.86</v>
      </c>
      <c r="N106" s="381"/>
      <c r="O106" s="381">
        <v>0.9</v>
      </c>
      <c r="P106" s="381"/>
      <c r="Q106" s="381">
        <v>1.06E-2</v>
      </c>
      <c r="R106" s="381"/>
      <c r="S106" s="2458">
        <f t="shared" si="48"/>
        <v>0</v>
      </c>
      <c r="T106" s="380"/>
      <c r="U106" s="381">
        <v>0.03</v>
      </c>
      <c r="V106" s="381"/>
      <c r="W106" s="2458">
        <f t="shared" si="49"/>
        <v>0</v>
      </c>
      <c r="X106" s="381"/>
      <c r="Y106" s="381"/>
      <c r="Z106" s="1929"/>
      <c r="AA106" s="381"/>
      <c r="AB106" s="381"/>
      <c r="AC106" s="381"/>
      <c r="AD106" s="381"/>
      <c r="AE106" s="382"/>
      <c r="AF106" s="6"/>
      <c r="AG106" s="6"/>
      <c r="AH106" s="6"/>
      <c r="AI106" s="6"/>
      <c r="AJ106" s="6"/>
      <c r="AK106" s="6"/>
      <c r="AL106" s="6"/>
      <c r="AM106" s="6"/>
      <c r="AN106" s="6"/>
      <c r="AO106" s="6"/>
      <c r="AP106" s="6"/>
      <c r="AQ106" s="6"/>
      <c r="AR106" s="6"/>
      <c r="AS106" s="6"/>
      <c r="AT106" s="6"/>
      <c r="AU106" s="6"/>
      <c r="AV106" s="6"/>
      <c r="AW106" s="6"/>
      <c r="AX106" s="6"/>
      <c r="AY106" s="6"/>
    </row>
    <row r="107" spans="1:51" ht="15.75" customHeight="1">
      <c r="A107" s="6"/>
      <c r="B107" s="378" t="s">
        <v>1911</v>
      </c>
      <c r="C107" s="2455" t="s">
        <v>1907</v>
      </c>
      <c r="D107" s="2456"/>
      <c r="E107" s="2457">
        <v>0</v>
      </c>
      <c r="F107" s="381"/>
      <c r="G107" s="1023" t="s">
        <v>1238</v>
      </c>
      <c r="H107" s="381"/>
      <c r="I107" s="381">
        <v>2.1</v>
      </c>
      <c r="J107" s="381"/>
      <c r="K107" s="2458">
        <f t="shared" ref="K107:K111" si="50">(E107*0.454)*100</f>
        <v>0</v>
      </c>
      <c r="L107" s="2458"/>
      <c r="M107" s="381">
        <v>0.87</v>
      </c>
      <c r="N107" s="381"/>
      <c r="O107" s="381">
        <v>1.55</v>
      </c>
      <c r="P107" s="381"/>
      <c r="Q107" s="381">
        <v>1.6799999999999999E-2</v>
      </c>
      <c r="R107" s="381"/>
      <c r="S107" s="2458">
        <f t="shared" si="48"/>
        <v>0</v>
      </c>
      <c r="T107" s="380"/>
      <c r="U107" s="381">
        <v>0.03</v>
      </c>
      <c r="V107" s="381"/>
      <c r="W107" s="2458">
        <f t="shared" si="49"/>
        <v>0</v>
      </c>
      <c r="X107" s="381"/>
      <c r="Y107" s="381"/>
      <c r="Z107" s="1929"/>
      <c r="AA107" s="381"/>
      <c r="AB107" s="381"/>
      <c r="AC107" s="381"/>
      <c r="AD107" s="381"/>
      <c r="AE107" s="382"/>
      <c r="AF107" s="6"/>
      <c r="AG107" s="6"/>
      <c r="AH107" s="6"/>
      <c r="AI107" s="6"/>
      <c r="AJ107" s="6"/>
      <c r="AK107" s="6"/>
      <c r="AL107" s="6"/>
      <c r="AM107" s="6"/>
      <c r="AN107" s="6"/>
      <c r="AO107" s="6"/>
      <c r="AP107" s="6"/>
      <c r="AQ107" s="6"/>
      <c r="AR107" s="6"/>
      <c r="AS107" s="6"/>
      <c r="AT107" s="6"/>
      <c r="AU107" s="6"/>
      <c r="AV107" s="6"/>
      <c r="AW107" s="6"/>
      <c r="AX107" s="6"/>
      <c r="AY107" s="6"/>
    </row>
    <row r="108" spans="1:51" ht="15.75" customHeight="1">
      <c r="A108" s="6"/>
      <c r="B108" s="378" t="s">
        <v>1912</v>
      </c>
      <c r="C108" s="2455" t="s">
        <v>1907</v>
      </c>
      <c r="D108" s="2456"/>
      <c r="E108" s="2457">
        <v>0</v>
      </c>
      <c r="F108" s="381"/>
      <c r="G108" s="1023" t="s">
        <v>1238</v>
      </c>
      <c r="H108" s="381"/>
      <c r="I108" s="381">
        <v>1.5</v>
      </c>
      <c r="J108" s="381"/>
      <c r="K108" s="2458">
        <f t="shared" si="50"/>
        <v>0</v>
      </c>
      <c r="L108" s="2458"/>
      <c r="M108" s="381">
        <v>0.87</v>
      </c>
      <c r="N108" s="381"/>
      <c r="O108" s="381">
        <v>0.9</v>
      </c>
      <c r="P108" s="381"/>
      <c r="Q108" s="381">
        <v>1.6799999999999999E-2</v>
      </c>
      <c r="R108" s="381"/>
      <c r="S108" s="2458">
        <f t="shared" si="48"/>
        <v>0</v>
      </c>
      <c r="T108" s="380"/>
      <c r="U108" s="381">
        <v>0.03</v>
      </c>
      <c r="V108" s="381"/>
      <c r="W108" s="2458">
        <f t="shared" si="49"/>
        <v>0</v>
      </c>
      <c r="X108" s="381"/>
      <c r="Y108" s="381"/>
      <c r="Z108" s="1929"/>
      <c r="AA108" s="381"/>
      <c r="AB108" s="381"/>
      <c r="AC108" s="381"/>
      <c r="AD108" s="381"/>
      <c r="AE108" s="382"/>
      <c r="AF108" s="6"/>
      <c r="AG108" s="6"/>
      <c r="AH108" s="6"/>
      <c r="AI108" s="6"/>
      <c r="AJ108" s="6"/>
      <c r="AK108" s="6"/>
      <c r="AL108" s="6"/>
      <c r="AM108" s="6"/>
      <c r="AN108" s="6"/>
      <c r="AO108" s="6"/>
      <c r="AP108" s="6"/>
      <c r="AQ108" s="6"/>
      <c r="AR108" s="6"/>
      <c r="AS108" s="6"/>
      <c r="AT108" s="6"/>
      <c r="AU108" s="6"/>
      <c r="AV108" s="6"/>
      <c r="AW108" s="6"/>
      <c r="AX108" s="6"/>
      <c r="AY108" s="6"/>
    </row>
    <row r="109" spans="1:51" ht="15.75" customHeight="1">
      <c r="A109" s="6"/>
      <c r="B109" s="819" t="s">
        <v>1913</v>
      </c>
      <c r="C109" s="2455" t="s">
        <v>1907</v>
      </c>
      <c r="D109" s="2456"/>
      <c r="E109" s="2457">
        <v>0</v>
      </c>
      <c r="F109" s="381"/>
      <c r="G109" s="1023" t="s">
        <v>1238</v>
      </c>
      <c r="H109" s="381"/>
      <c r="I109" s="381">
        <v>1.5</v>
      </c>
      <c r="J109" s="381"/>
      <c r="K109" s="2458">
        <f t="shared" si="50"/>
        <v>0</v>
      </c>
      <c r="L109" s="2458"/>
      <c r="M109" s="381">
        <v>0.87</v>
      </c>
      <c r="N109" s="381"/>
      <c r="O109" s="381">
        <v>0.9</v>
      </c>
      <c r="P109" s="381"/>
      <c r="Q109" s="381">
        <v>1.6799999999999999E-2</v>
      </c>
      <c r="R109" s="381"/>
      <c r="S109" s="2458">
        <f t="shared" si="48"/>
        <v>0</v>
      </c>
      <c r="T109" s="380"/>
      <c r="U109" s="381">
        <v>0.03</v>
      </c>
      <c r="V109" s="381"/>
      <c r="W109" s="2458">
        <f t="shared" si="49"/>
        <v>0</v>
      </c>
      <c r="X109" s="381"/>
      <c r="Y109" s="381"/>
      <c r="Z109" s="1929"/>
      <c r="AA109" s="381"/>
      <c r="AB109" s="381"/>
      <c r="AC109" s="381"/>
      <c r="AD109" s="381"/>
      <c r="AE109" s="382"/>
      <c r="AF109" s="6"/>
      <c r="AG109" s="6"/>
      <c r="AH109" s="6"/>
      <c r="AI109" s="6"/>
      <c r="AJ109" s="6"/>
      <c r="AK109" s="6"/>
      <c r="AL109" s="6"/>
      <c r="AM109" s="6"/>
      <c r="AN109" s="6"/>
      <c r="AO109" s="6"/>
      <c r="AP109" s="6"/>
      <c r="AQ109" s="6"/>
      <c r="AR109" s="6"/>
      <c r="AS109" s="6"/>
      <c r="AT109" s="6"/>
      <c r="AU109" s="6"/>
      <c r="AV109" s="6"/>
      <c r="AW109" s="6"/>
      <c r="AX109" s="6"/>
      <c r="AY109" s="6"/>
    </row>
    <row r="110" spans="1:51" ht="15.75" customHeight="1">
      <c r="A110" s="6"/>
      <c r="B110" s="819" t="s">
        <v>1914</v>
      </c>
      <c r="C110" s="2455" t="s">
        <v>1907</v>
      </c>
      <c r="D110" s="2456"/>
      <c r="E110" s="2457">
        <v>0</v>
      </c>
      <c r="F110" s="381"/>
      <c r="G110" s="1023" t="s">
        <v>1238</v>
      </c>
      <c r="H110" s="381"/>
      <c r="I110" s="381">
        <v>2.1</v>
      </c>
      <c r="J110" s="381"/>
      <c r="K110" s="2458">
        <f t="shared" si="50"/>
        <v>0</v>
      </c>
      <c r="L110" s="2458"/>
      <c r="M110" s="381">
        <v>0.87</v>
      </c>
      <c r="N110" s="381"/>
      <c r="O110" s="381">
        <v>1.55</v>
      </c>
      <c r="P110" s="381"/>
      <c r="Q110" s="381">
        <v>1.6799999999999999E-2</v>
      </c>
      <c r="R110" s="381"/>
      <c r="S110" s="2458">
        <f t="shared" si="48"/>
        <v>0</v>
      </c>
      <c r="T110" s="380"/>
      <c r="U110" s="381">
        <v>0.03</v>
      </c>
      <c r="V110" s="381"/>
      <c r="W110" s="2458">
        <f t="shared" si="49"/>
        <v>0</v>
      </c>
      <c r="X110" s="381"/>
      <c r="Y110" s="2464"/>
      <c r="Z110" s="1929"/>
      <c r="AA110" s="381"/>
      <c r="AB110" s="381"/>
      <c r="AC110" s="381"/>
      <c r="AD110" s="381"/>
      <c r="AE110" s="382"/>
      <c r="AF110" s="6"/>
      <c r="AG110" s="6"/>
      <c r="AH110" s="6"/>
      <c r="AI110" s="6"/>
      <c r="AJ110" s="6"/>
      <c r="AK110" s="6"/>
      <c r="AL110" s="6"/>
      <c r="AM110" s="6"/>
      <c r="AN110" s="6"/>
      <c r="AO110" s="6"/>
      <c r="AP110" s="6"/>
      <c r="AQ110" s="6"/>
      <c r="AR110" s="6"/>
      <c r="AS110" s="6"/>
      <c r="AT110" s="6"/>
      <c r="AU110" s="6"/>
      <c r="AV110" s="6"/>
      <c r="AW110" s="6"/>
      <c r="AX110" s="6"/>
      <c r="AY110" s="6"/>
    </row>
    <row r="111" spans="1:51" ht="15.75" customHeight="1">
      <c r="A111" s="6"/>
      <c r="B111" s="819" t="s">
        <v>1915</v>
      </c>
      <c r="C111" s="2455" t="s">
        <v>1907</v>
      </c>
      <c r="D111" s="2456"/>
      <c r="E111" s="2457">
        <v>0</v>
      </c>
      <c r="F111" s="381"/>
      <c r="G111" s="1023" t="s">
        <v>1238</v>
      </c>
      <c r="H111" s="381"/>
      <c r="I111" s="381">
        <v>1.5</v>
      </c>
      <c r="J111" s="381"/>
      <c r="K111" s="2458">
        <f t="shared" si="50"/>
        <v>0</v>
      </c>
      <c r="L111" s="2458"/>
      <c r="M111" s="381">
        <v>0.87</v>
      </c>
      <c r="N111" s="381"/>
      <c r="O111" s="381">
        <v>0.9</v>
      </c>
      <c r="P111" s="381"/>
      <c r="Q111" s="381">
        <v>1.6799999999999999E-2</v>
      </c>
      <c r="R111" s="381"/>
      <c r="S111" s="2458">
        <f t="shared" si="48"/>
        <v>0</v>
      </c>
      <c r="T111" s="380"/>
      <c r="U111" s="381">
        <v>0.03</v>
      </c>
      <c r="V111" s="381"/>
      <c r="W111" s="2458">
        <f t="shared" si="49"/>
        <v>0</v>
      </c>
      <c r="X111" s="381"/>
      <c r="Y111" s="2464"/>
      <c r="Z111" s="1929"/>
      <c r="AA111" s="381"/>
      <c r="AB111" s="381"/>
      <c r="AC111" s="381"/>
      <c r="AD111" s="381"/>
      <c r="AE111" s="382"/>
      <c r="AF111" s="6"/>
      <c r="AG111" s="6"/>
      <c r="AH111" s="6"/>
      <c r="AI111" s="6"/>
      <c r="AJ111" s="6"/>
      <c r="AK111" s="6"/>
      <c r="AL111" s="6"/>
      <c r="AM111" s="6"/>
      <c r="AN111" s="6"/>
      <c r="AO111" s="6"/>
      <c r="AP111" s="6"/>
      <c r="AQ111" s="6"/>
      <c r="AR111" s="6"/>
      <c r="AS111" s="6"/>
      <c r="AT111" s="6"/>
      <c r="AU111" s="6"/>
      <c r="AV111" s="6"/>
      <c r="AW111" s="6"/>
      <c r="AX111" s="6"/>
      <c r="AY111" s="6"/>
    </row>
    <row r="112" spans="1:51" ht="15.75" customHeight="1">
      <c r="A112" s="6"/>
      <c r="B112" s="819" t="s">
        <v>1916</v>
      </c>
      <c r="C112" s="2456" t="s">
        <v>1325</v>
      </c>
      <c r="D112" s="2456"/>
      <c r="E112" s="2463"/>
      <c r="F112" s="381"/>
      <c r="G112" s="1023" t="s">
        <v>1238</v>
      </c>
      <c r="H112" s="381"/>
      <c r="I112" s="381"/>
      <c r="J112" s="381"/>
      <c r="K112" s="2458">
        <f t="shared" ref="K112:K116" si="51">E112</f>
        <v>0</v>
      </c>
      <c r="L112" s="380"/>
      <c r="M112" s="381"/>
      <c r="N112" s="381"/>
      <c r="O112" s="381"/>
      <c r="P112" s="381"/>
      <c r="Q112" s="381"/>
      <c r="R112" s="381"/>
      <c r="S112" s="2458" t="s">
        <v>1238</v>
      </c>
      <c r="T112" s="380"/>
      <c r="U112" s="381">
        <v>0.03</v>
      </c>
      <c r="V112" s="381"/>
      <c r="W112" s="2458">
        <f t="shared" si="49"/>
        <v>0</v>
      </c>
      <c r="X112" s="381"/>
      <c r="Y112" s="2464"/>
      <c r="Z112" s="1929"/>
      <c r="AA112" s="381"/>
      <c r="AB112" s="381"/>
      <c r="AC112" s="381"/>
      <c r="AD112" s="381"/>
      <c r="AE112" s="382"/>
      <c r="AF112" s="6"/>
      <c r="AG112" s="6"/>
      <c r="AH112" s="6"/>
      <c r="AI112" s="6"/>
      <c r="AJ112" s="6"/>
      <c r="AK112" s="6"/>
      <c r="AL112" s="6"/>
      <c r="AM112" s="6"/>
      <c r="AN112" s="6"/>
      <c r="AO112" s="6"/>
      <c r="AP112" s="6"/>
      <c r="AQ112" s="6"/>
      <c r="AR112" s="6"/>
      <c r="AS112" s="6"/>
      <c r="AT112" s="6"/>
      <c r="AU112" s="6"/>
      <c r="AV112" s="6"/>
      <c r="AW112" s="6"/>
      <c r="AX112" s="6"/>
      <c r="AY112" s="6"/>
    </row>
    <row r="113" spans="1:51" ht="15.75" customHeight="1">
      <c r="A113" s="6"/>
      <c r="B113" s="819" t="s">
        <v>1917</v>
      </c>
      <c r="C113" s="2456" t="s">
        <v>1325</v>
      </c>
      <c r="D113" s="2456"/>
      <c r="E113" s="2463"/>
      <c r="F113" s="381"/>
      <c r="G113" s="1023" t="s">
        <v>1238</v>
      </c>
      <c r="H113" s="381"/>
      <c r="I113" s="381"/>
      <c r="J113" s="381"/>
      <c r="K113" s="2458">
        <f t="shared" si="51"/>
        <v>0</v>
      </c>
      <c r="L113" s="380"/>
      <c r="M113" s="381"/>
      <c r="N113" s="381"/>
      <c r="O113" s="381"/>
      <c r="P113" s="381"/>
      <c r="Q113" s="381"/>
      <c r="R113" s="381"/>
      <c r="S113" s="2458" t="s">
        <v>1238</v>
      </c>
      <c r="T113" s="380"/>
      <c r="U113" s="381">
        <v>0.03</v>
      </c>
      <c r="V113" s="381"/>
      <c r="W113" s="2458">
        <f t="shared" si="49"/>
        <v>0</v>
      </c>
      <c r="X113" s="381"/>
      <c r="Y113" s="2464"/>
      <c r="Z113" s="1929"/>
      <c r="AA113" s="381"/>
      <c r="AB113" s="381"/>
      <c r="AC113" s="381"/>
      <c r="AD113" s="381"/>
      <c r="AE113" s="382"/>
      <c r="AF113" s="6"/>
      <c r="AG113" s="6"/>
      <c r="AH113" s="6"/>
      <c r="AI113" s="6"/>
      <c r="AJ113" s="6"/>
      <c r="AK113" s="6"/>
      <c r="AL113" s="6"/>
      <c r="AM113" s="6"/>
      <c r="AN113" s="6"/>
      <c r="AO113" s="6"/>
      <c r="AP113" s="6"/>
      <c r="AQ113" s="6"/>
      <c r="AR113" s="6"/>
      <c r="AS113" s="6"/>
      <c r="AT113" s="6"/>
      <c r="AU113" s="6"/>
      <c r="AV113" s="6"/>
      <c r="AW113" s="6"/>
      <c r="AX113" s="6"/>
      <c r="AY113" s="6"/>
    </row>
    <row r="114" spans="1:51" ht="15.75" customHeight="1">
      <c r="A114" s="6"/>
      <c r="B114" s="819" t="s">
        <v>1918</v>
      </c>
      <c r="C114" s="2456" t="s">
        <v>1325</v>
      </c>
      <c r="D114" s="2456"/>
      <c r="E114" s="2463"/>
      <c r="F114" s="381"/>
      <c r="G114" s="1023" t="s">
        <v>1238</v>
      </c>
      <c r="H114" s="381"/>
      <c r="I114" s="381"/>
      <c r="J114" s="381"/>
      <c r="K114" s="2458">
        <f t="shared" si="51"/>
        <v>0</v>
      </c>
      <c r="L114" s="380"/>
      <c r="M114" s="381"/>
      <c r="N114" s="381"/>
      <c r="O114" s="381"/>
      <c r="P114" s="381"/>
      <c r="Q114" s="381"/>
      <c r="R114" s="381"/>
      <c r="S114" s="2458" t="s">
        <v>1238</v>
      </c>
      <c r="T114" s="380"/>
      <c r="U114" s="381">
        <v>0.03</v>
      </c>
      <c r="V114" s="381"/>
      <c r="W114" s="2458">
        <f t="shared" si="49"/>
        <v>0</v>
      </c>
      <c r="X114" s="381"/>
      <c r="Y114" s="2464"/>
      <c r="Z114" s="1929"/>
      <c r="AA114" s="381"/>
      <c r="AB114" s="381"/>
      <c r="AC114" s="381"/>
      <c r="AD114" s="381"/>
      <c r="AE114" s="382"/>
      <c r="AF114" s="6"/>
      <c r="AG114" s="6"/>
      <c r="AH114" s="6"/>
      <c r="AI114" s="6"/>
      <c r="AJ114" s="6"/>
      <c r="AK114" s="6"/>
      <c r="AL114" s="6"/>
      <c r="AM114" s="6"/>
      <c r="AN114" s="6"/>
      <c r="AO114" s="6"/>
      <c r="AP114" s="6"/>
      <c r="AQ114" s="6"/>
      <c r="AR114" s="6"/>
      <c r="AS114" s="6"/>
      <c r="AT114" s="6"/>
      <c r="AU114" s="6"/>
      <c r="AV114" s="6"/>
      <c r="AW114" s="6"/>
      <c r="AX114" s="6"/>
      <c r="AY114" s="6"/>
    </row>
    <row r="115" spans="1:51" ht="15.75" customHeight="1">
      <c r="A115" s="6"/>
      <c r="B115" s="819" t="s">
        <v>1919</v>
      </c>
      <c r="C115" s="2456" t="s">
        <v>1325</v>
      </c>
      <c r="D115" s="2456"/>
      <c r="E115" s="2463"/>
      <c r="F115" s="381"/>
      <c r="G115" s="1023" t="s">
        <v>1238</v>
      </c>
      <c r="H115" s="381"/>
      <c r="I115" s="381"/>
      <c r="J115" s="381"/>
      <c r="K115" s="2458">
        <f t="shared" si="51"/>
        <v>0</v>
      </c>
      <c r="L115" s="380"/>
      <c r="M115" s="381"/>
      <c r="N115" s="381"/>
      <c r="O115" s="381"/>
      <c r="P115" s="381"/>
      <c r="Q115" s="381"/>
      <c r="R115" s="381"/>
      <c r="S115" s="2458" t="s">
        <v>1238</v>
      </c>
      <c r="T115" s="380"/>
      <c r="U115" s="381">
        <v>0.03</v>
      </c>
      <c r="V115" s="381"/>
      <c r="W115" s="2458">
        <f t="shared" si="49"/>
        <v>0</v>
      </c>
      <c r="X115" s="381"/>
      <c r="Y115" s="2464"/>
      <c r="Z115" s="1929"/>
      <c r="AA115" s="381"/>
      <c r="AB115" s="381"/>
      <c r="AC115" s="381"/>
      <c r="AD115" s="381"/>
      <c r="AE115" s="382"/>
      <c r="AF115" s="6"/>
      <c r="AG115" s="6"/>
      <c r="AH115" s="6"/>
      <c r="AI115" s="6"/>
      <c r="AJ115" s="6"/>
      <c r="AK115" s="6"/>
      <c r="AL115" s="6"/>
      <c r="AM115" s="6"/>
      <c r="AN115" s="6"/>
      <c r="AO115" s="6"/>
      <c r="AP115" s="6"/>
      <c r="AQ115" s="6"/>
      <c r="AR115" s="6"/>
      <c r="AS115" s="6"/>
      <c r="AT115" s="6"/>
      <c r="AU115" s="6"/>
      <c r="AV115" s="6"/>
      <c r="AW115" s="6"/>
      <c r="AX115" s="6"/>
      <c r="AY115" s="6"/>
    </row>
    <row r="116" spans="1:51" ht="15.75" customHeight="1">
      <c r="A116" s="6"/>
      <c r="B116" s="819" t="s">
        <v>1920</v>
      </c>
      <c r="C116" s="2456" t="s">
        <v>1325</v>
      </c>
      <c r="D116" s="2456"/>
      <c r="E116" s="2463"/>
      <c r="F116" s="381"/>
      <c r="G116" s="1023" t="s">
        <v>1238</v>
      </c>
      <c r="H116" s="381"/>
      <c r="I116" s="381"/>
      <c r="J116" s="381"/>
      <c r="K116" s="2458">
        <f t="shared" si="51"/>
        <v>0</v>
      </c>
      <c r="L116" s="380"/>
      <c r="M116" s="381"/>
      <c r="N116" s="381"/>
      <c r="O116" s="381"/>
      <c r="P116" s="381"/>
      <c r="Q116" s="381"/>
      <c r="R116" s="381"/>
      <c r="S116" s="2458" t="s">
        <v>1238</v>
      </c>
      <c r="T116" s="380"/>
      <c r="U116" s="381">
        <v>0.03</v>
      </c>
      <c r="V116" s="381"/>
      <c r="W116" s="2458">
        <f t="shared" si="49"/>
        <v>0</v>
      </c>
      <c r="X116" s="381"/>
      <c r="Y116" s="2464"/>
      <c r="Z116" s="1929"/>
      <c r="AA116" s="381"/>
      <c r="AB116" s="381"/>
      <c r="AC116" s="381"/>
      <c r="AD116" s="381"/>
      <c r="AE116" s="382"/>
      <c r="AF116" s="6"/>
      <c r="AG116" s="6"/>
      <c r="AH116" s="6"/>
      <c r="AI116" s="6"/>
      <c r="AJ116" s="6"/>
      <c r="AK116" s="6"/>
      <c r="AL116" s="6"/>
      <c r="AM116" s="6"/>
      <c r="AN116" s="6"/>
      <c r="AO116" s="6"/>
      <c r="AP116" s="6"/>
      <c r="AQ116" s="6"/>
      <c r="AR116" s="6"/>
      <c r="AS116" s="6"/>
      <c r="AT116" s="6"/>
      <c r="AU116" s="6"/>
      <c r="AV116" s="6"/>
      <c r="AW116" s="6"/>
      <c r="AX116" s="6"/>
      <c r="AY116" s="6"/>
    </row>
    <row r="117" spans="1:51" ht="15.75" customHeight="1">
      <c r="A117" s="6"/>
      <c r="B117" s="2465" t="s">
        <v>1841</v>
      </c>
      <c r="C117" s="2466"/>
      <c r="D117" s="2466"/>
      <c r="E117" s="2467"/>
      <c r="F117" s="2467"/>
      <c r="G117" s="2467"/>
      <c r="H117" s="2467"/>
      <c r="I117" s="2467"/>
      <c r="J117" s="2467"/>
      <c r="K117" s="2468">
        <f>SUM(K96:K116)</f>
        <v>2208787.3135473048</v>
      </c>
      <c r="L117" s="2468"/>
      <c r="M117" s="2303"/>
      <c r="N117" s="2467"/>
      <c r="O117" s="2467"/>
      <c r="P117" s="2467"/>
      <c r="Q117" s="2467"/>
      <c r="R117" s="2467"/>
      <c r="S117" s="2468">
        <f>SUM(S96:S111)</f>
        <v>26869637.086537462</v>
      </c>
      <c r="T117" s="2469"/>
      <c r="U117" s="2467"/>
      <c r="V117" s="2467"/>
      <c r="W117" s="2470">
        <f>SUM(W96:W116)</f>
        <v>42661497.524547033</v>
      </c>
      <c r="X117" s="2467"/>
      <c r="Y117" s="2467"/>
      <c r="Z117" s="2471"/>
      <c r="AA117" s="2467"/>
      <c r="AB117" s="2467"/>
      <c r="AC117" s="2467"/>
      <c r="AD117" s="2467"/>
      <c r="AE117" s="2472"/>
      <c r="AF117" s="6"/>
      <c r="AG117" s="6"/>
      <c r="AH117" s="6"/>
      <c r="AI117" s="6"/>
      <c r="AJ117" s="6"/>
      <c r="AK117" s="6"/>
      <c r="AL117" s="6"/>
      <c r="AM117" s="6"/>
      <c r="AN117" s="6"/>
      <c r="AO117" s="6"/>
      <c r="AP117" s="6"/>
      <c r="AQ117" s="6"/>
      <c r="AR117" s="6"/>
      <c r="AS117" s="6"/>
      <c r="AT117" s="6"/>
      <c r="AU117" s="6"/>
      <c r="AV117" s="6"/>
      <c r="AW117" s="6"/>
      <c r="AX117" s="6"/>
      <c r="AY117" s="6"/>
    </row>
    <row r="118" spans="1:51" ht="15.75" customHeight="1">
      <c r="A118" s="6"/>
      <c r="B118" s="2214"/>
      <c r="C118" s="2214"/>
      <c r="D118" s="2214"/>
      <c r="E118" s="6"/>
      <c r="F118" s="6"/>
      <c r="G118" s="6"/>
      <c r="H118" s="6"/>
      <c r="I118" s="6"/>
      <c r="J118" s="6"/>
      <c r="K118" s="2473"/>
      <c r="L118" s="2473"/>
      <c r="M118" s="2309"/>
      <c r="N118" s="6"/>
      <c r="O118" s="6"/>
      <c r="P118" s="6"/>
      <c r="Q118" s="6"/>
      <c r="R118" s="6"/>
      <c r="S118" s="2473"/>
      <c r="T118" s="2474"/>
      <c r="U118" s="6"/>
      <c r="V118" s="6"/>
      <c r="W118" s="2475"/>
      <c r="X118" s="6"/>
      <c r="Y118" s="6"/>
      <c r="Z118" s="1818"/>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row>
    <row r="119" spans="1:51" ht="15.75" customHeight="1">
      <c r="A119" s="6"/>
      <c r="B119" s="2214"/>
      <c r="C119" s="2214"/>
      <c r="D119" s="2214"/>
      <c r="E119" s="6"/>
      <c r="F119" s="6"/>
      <c r="G119" s="6"/>
      <c r="H119" s="6"/>
      <c r="I119" s="6"/>
      <c r="J119" s="6"/>
      <c r="K119" s="2473"/>
      <c r="L119" s="2473"/>
      <c r="M119" s="2309"/>
      <c r="N119" s="6"/>
      <c r="O119" s="6"/>
      <c r="P119" s="6"/>
      <c r="Q119" s="6"/>
      <c r="R119" s="6"/>
      <c r="S119" s="2473"/>
      <c r="T119" s="2474"/>
      <c r="U119" s="6"/>
      <c r="V119" s="6"/>
      <c r="W119" s="2475"/>
      <c r="X119" s="6"/>
      <c r="Y119" s="6"/>
      <c r="Z119" s="1818"/>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row>
    <row r="120" spans="1:51" ht="15.75" customHeight="1">
      <c r="A120" s="1"/>
      <c r="B120" s="2310"/>
      <c r="C120" s="2311"/>
      <c r="D120" s="2312"/>
      <c r="E120" s="2312"/>
      <c r="F120" s="2312"/>
      <c r="G120" s="2313"/>
      <c r="H120" s="2314"/>
      <c r="I120" s="2315"/>
      <c r="J120" s="2314"/>
      <c r="K120" s="2316"/>
      <c r="L120" s="935"/>
      <c r="M120" s="2316"/>
      <c r="N120" s="935"/>
      <c r="O120" s="935"/>
      <c r="P120" s="935"/>
      <c r="Q120" s="935"/>
      <c r="R120" s="935"/>
      <c r="S120" s="935"/>
      <c r="T120" s="935"/>
      <c r="U120" s="935"/>
    </row>
    <row r="121" spans="1:51" ht="15.75" customHeight="1">
      <c r="A121" s="322"/>
      <c r="B121" s="2421" t="s">
        <v>1921</v>
      </c>
      <c r="C121" s="2422"/>
      <c r="D121" s="2423"/>
      <c r="E121" s="2423"/>
      <c r="F121" s="2424"/>
      <c r="G121" s="2425"/>
      <c r="H121" s="2426"/>
      <c r="I121" s="2427"/>
      <c r="J121" s="2426"/>
      <c r="K121" s="2428"/>
      <c r="L121" s="2429"/>
      <c r="M121" s="2428"/>
      <c r="N121" s="2429"/>
      <c r="O121" s="2429"/>
      <c r="P121" s="2429"/>
      <c r="Q121" s="2429"/>
      <c r="R121" s="2429"/>
      <c r="S121" s="2429"/>
      <c r="T121" s="2429"/>
      <c r="U121" s="2429"/>
      <c r="V121" s="2429"/>
      <c r="W121" s="2429"/>
      <c r="X121" s="2429"/>
      <c r="Y121" s="2430"/>
    </row>
    <row r="122" spans="1:51" ht="15.75" customHeight="1">
      <c r="A122" s="6"/>
      <c r="B122" s="2476" t="s">
        <v>1922</v>
      </c>
      <c r="C122" s="2477">
        <v>2017</v>
      </c>
      <c r="D122" s="2478"/>
      <c r="E122" s="2478"/>
      <c r="F122" s="2478"/>
      <c r="G122" s="2478"/>
      <c r="H122" s="2478"/>
      <c r="I122" s="2478"/>
      <c r="J122" s="2478"/>
      <c r="K122" s="2478"/>
      <c r="L122" s="2478"/>
      <c r="M122" s="2478"/>
      <c r="N122" s="6"/>
      <c r="O122" s="6"/>
      <c r="P122" s="6"/>
      <c r="Q122" s="6"/>
      <c r="R122" s="6"/>
      <c r="S122" s="6"/>
      <c r="T122" s="6"/>
      <c r="U122" s="6"/>
      <c r="V122" s="108"/>
      <c r="W122" s="108"/>
      <c r="X122" s="108"/>
      <c r="Y122" s="1871"/>
      <c r="Z122" s="6"/>
      <c r="AA122" s="6"/>
      <c r="AB122" s="6"/>
      <c r="AC122" s="6"/>
      <c r="AD122" s="6"/>
      <c r="AE122" s="2479"/>
      <c r="AF122" s="6"/>
      <c r="AG122" s="6"/>
      <c r="AH122" s="6"/>
      <c r="AI122" s="6"/>
      <c r="AJ122" s="6"/>
      <c r="AK122" s="6"/>
      <c r="AL122" s="6"/>
      <c r="AM122" s="6"/>
      <c r="AN122" s="6"/>
      <c r="AO122" s="6"/>
      <c r="AP122" s="6"/>
      <c r="AQ122" s="6"/>
      <c r="AR122" s="6"/>
      <c r="AS122" s="6"/>
      <c r="AT122" s="6"/>
      <c r="AU122" s="6"/>
      <c r="AV122" s="6"/>
      <c r="AW122" s="6"/>
      <c r="AX122" s="6"/>
      <c r="AY122" s="6"/>
    </row>
    <row r="123" spans="1:51" ht="15.75" customHeight="1">
      <c r="A123" s="2480"/>
      <c r="B123" s="2481" t="s">
        <v>1923</v>
      </c>
      <c r="C123" s="2482" t="s">
        <v>1924</v>
      </c>
      <c r="D123" s="2482"/>
      <c r="E123" s="2483" t="s">
        <v>1925</v>
      </c>
      <c r="F123" s="2484"/>
      <c r="G123" s="2485" t="s">
        <v>1926</v>
      </c>
      <c r="H123" s="2486"/>
      <c r="I123" s="2487" t="s">
        <v>1927</v>
      </c>
      <c r="J123" s="2486"/>
      <c r="K123" s="2482" t="s">
        <v>1928</v>
      </c>
      <c r="L123" s="2482"/>
      <c r="M123" s="2482" t="s">
        <v>1929</v>
      </c>
      <c r="N123" s="2482"/>
      <c r="O123" s="2485" t="s">
        <v>1930</v>
      </c>
      <c r="P123" s="2482"/>
      <c r="Q123" s="2485" t="s">
        <v>1931</v>
      </c>
      <c r="R123" s="2488"/>
      <c r="S123" s="2489" t="s">
        <v>1932</v>
      </c>
      <c r="T123" s="2488"/>
      <c r="U123" s="2489" t="s">
        <v>1933</v>
      </c>
      <c r="V123" s="2488"/>
      <c r="W123" s="2485" t="s">
        <v>1934</v>
      </c>
      <c r="X123" s="2486"/>
      <c r="Y123" s="2490" t="s">
        <v>1935</v>
      </c>
      <c r="Z123" s="2480"/>
      <c r="AA123" s="2480"/>
      <c r="AB123" s="2480"/>
      <c r="AC123" s="2480"/>
      <c r="AD123" s="2480"/>
      <c r="AE123" s="2480"/>
      <c r="AF123" s="2480"/>
      <c r="AG123" s="2480"/>
      <c r="AH123" s="2480"/>
      <c r="AI123" s="2480"/>
      <c r="AJ123" s="2480"/>
      <c r="AK123" s="2480"/>
      <c r="AL123" s="2480"/>
      <c r="AM123" s="2480"/>
      <c r="AN123" s="2480"/>
      <c r="AO123" s="2480"/>
      <c r="AP123" s="2480"/>
      <c r="AQ123" s="2480"/>
      <c r="AR123" s="2480"/>
      <c r="AS123" s="2480"/>
      <c r="AT123" s="2480"/>
      <c r="AU123" s="2480"/>
      <c r="AV123" s="2480"/>
      <c r="AW123" s="2480"/>
      <c r="AX123" s="2480"/>
      <c r="AY123" s="2480"/>
    </row>
    <row r="124" spans="1:51" ht="15.75" customHeight="1">
      <c r="A124" s="6"/>
      <c r="B124" s="2491" t="s">
        <v>1936</v>
      </c>
      <c r="C124" s="2492">
        <f>40158687</f>
        <v>40158687</v>
      </c>
      <c r="D124" s="2493"/>
      <c r="E124" s="2494">
        <f>26103147</f>
        <v>26103147</v>
      </c>
      <c r="F124" s="2495"/>
      <c r="G124" s="67">
        <v>0.1</v>
      </c>
      <c r="H124" s="2153"/>
      <c r="I124" s="2153"/>
      <c r="J124" s="2153"/>
      <c r="K124" s="2496">
        <f>($E124*(1-G124))</f>
        <v>23492832.300000001</v>
      </c>
      <c r="L124" s="2496"/>
      <c r="M124" s="2496">
        <f>$E124*G124</f>
        <v>2610314.7000000002</v>
      </c>
      <c r="N124" s="2496"/>
      <c r="O124" s="2497">
        <f>((K124+K125)/(1000))*0.01*(44/28)</f>
        <v>382.69698405714291</v>
      </c>
      <c r="P124" s="2496"/>
      <c r="Q124" s="2497">
        <f>((M124+M125)/(1000))*0.01*(44/28)</f>
        <v>44.400207264285719</v>
      </c>
      <c r="R124" s="2498"/>
      <c r="S124" s="2499">
        <f>O124*$Z$8*12/44*10^-6</f>
        <v>2.7658554756857148E-2</v>
      </c>
      <c r="T124" s="2500"/>
      <c r="U124" s="2499">
        <f>Q124*$Z$8*12/44*10^-6</f>
        <v>3.2089240704642865E-3</v>
      </c>
      <c r="V124" s="2498"/>
      <c r="W124" s="2501">
        <f>S124/(12/44)</f>
        <v>0.10141470077514289</v>
      </c>
      <c r="X124" s="2502"/>
      <c r="Y124" s="2503">
        <f>U124/(12/44)</f>
        <v>1.1766054925035718E-2</v>
      </c>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row>
    <row r="125" spans="1:51" ht="15.75" customHeight="1">
      <c r="A125" s="6"/>
      <c r="B125" s="2491" t="s">
        <v>1937</v>
      </c>
      <c r="C125" s="2144">
        <f>E125</f>
        <v>26724473</v>
      </c>
      <c r="D125" s="2144"/>
      <c r="E125" s="2494">
        <f>SUM(E126:E132)</f>
        <v>26724473</v>
      </c>
      <c r="F125" s="2504"/>
      <c r="G125" s="2505">
        <v>0.2</v>
      </c>
      <c r="H125" s="2164"/>
      <c r="I125" s="2164">
        <v>4.1000000000000002E-2</v>
      </c>
      <c r="J125" s="2164"/>
      <c r="K125" s="2506">
        <f>$E134*I125*(1-G125)</f>
        <v>860612.14000000013</v>
      </c>
      <c r="L125" s="2506"/>
      <c r="M125" s="2506">
        <f>$E134*G125*I125</f>
        <v>215153.035</v>
      </c>
      <c r="N125" s="2506"/>
      <c r="O125" s="2506"/>
      <c r="P125" s="2506"/>
      <c r="Q125" s="2506"/>
      <c r="R125" s="2507"/>
      <c r="S125" s="2507"/>
      <c r="T125" s="2507"/>
      <c r="U125" s="2507"/>
      <c r="V125" s="2507"/>
      <c r="W125" s="2507"/>
      <c r="X125" s="2164"/>
      <c r="Y125" s="2165"/>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row>
    <row r="126" spans="1:51" ht="15.75" customHeight="1">
      <c r="A126" s="6"/>
      <c r="B126" s="2508" t="s">
        <v>1938</v>
      </c>
      <c r="C126" s="2492"/>
      <c r="D126" s="2493"/>
      <c r="E126" s="2494">
        <f t="shared" ref="E126:E127" si="52">$C126*0.65+$C142*0.35</f>
        <v>0</v>
      </c>
      <c r="F126" s="2478"/>
      <c r="G126" s="2509"/>
      <c r="H126" s="2478"/>
      <c r="I126" s="6"/>
      <c r="J126" s="6"/>
      <c r="K126" s="2509"/>
      <c r="L126" s="2509"/>
      <c r="M126" s="2509"/>
      <c r="N126" s="2509"/>
      <c r="O126" s="2509"/>
      <c r="P126" s="2479"/>
      <c r="Q126" s="2479"/>
      <c r="R126" s="2479"/>
      <c r="S126" s="2479"/>
      <c r="T126" s="2479"/>
      <c r="U126" s="2479"/>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row>
    <row r="127" spans="1:51" ht="15.75" customHeight="1">
      <c r="A127" s="6"/>
      <c r="B127" s="2508" t="s">
        <v>1939</v>
      </c>
      <c r="C127" s="2492"/>
      <c r="D127" s="2493"/>
      <c r="E127" s="2494">
        <f t="shared" si="52"/>
        <v>0</v>
      </c>
      <c r="F127" s="2478"/>
      <c r="G127" s="2478"/>
      <c r="H127" s="2478"/>
      <c r="I127" s="2509"/>
      <c r="J127" s="2509"/>
      <c r="K127" s="2509"/>
      <c r="L127" s="2509"/>
      <c r="M127" s="2509"/>
      <c r="N127" s="2479"/>
      <c r="O127" s="2479"/>
      <c r="P127" s="2479"/>
      <c r="Q127" s="2479"/>
      <c r="R127" s="2479"/>
      <c r="S127" s="2479"/>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row>
    <row r="128" spans="1:51" ht="15.75" customHeight="1">
      <c r="A128" s="6"/>
      <c r="B128" s="2508" t="s">
        <v>1940</v>
      </c>
      <c r="C128" s="2492">
        <v>486298</v>
      </c>
      <c r="D128" s="2493"/>
      <c r="E128" s="2494">
        <f t="shared" ref="E128:E129" si="53">C128</f>
        <v>486298</v>
      </c>
      <c r="F128" s="2478"/>
      <c r="G128" s="2478"/>
      <c r="H128" s="2478"/>
      <c r="I128" s="2509"/>
      <c r="J128" s="2509"/>
      <c r="K128" s="2509"/>
      <c r="L128" s="2509"/>
      <c r="M128" s="2509"/>
      <c r="N128" s="2479"/>
      <c r="O128" s="2479"/>
      <c r="P128" s="2479"/>
      <c r="Q128" s="2479"/>
      <c r="R128" s="2479"/>
      <c r="S128" s="2479"/>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row>
    <row r="129" spans="1:51" ht="15.75" customHeight="1">
      <c r="A129" s="6"/>
      <c r="B129" s="2508" t="s">
        <v>1941</v>
      </c>
      <c r="C129" s="2492">
        <v>25853131</v>
      </c>
      <c r="D129" s="2493"/>
      <c r="E129" s="2494">
        <f t="shared" si="53"/>
        <v>25853131</v>
      </c>
      <c r="F129" s="2478"/>
      <c r="G129" s="2478"/>
      <c r="H129" s="2478"/>
      <c r="I129" s="2509"/>
      <c r="J129" s="2509"/>
      <c r="K129" s="2509"/>
      <c r="L129" s="2509"/>
      <c r="M129" s="2509"/>
      <c r="N129" s="2479"/>
      <c r="O129" s="2479"/>
      <c r="P129" s="2479"/>
      <c r="Q129" s="2479"/>
      <c r="R129" s="2479"/>
      <c r="S129" s="2479"/>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row>
    <row r="130" spans="1:51" ht="15.75" customHeight="1">
      <c r="A130" s="6"/>
      <c r="B130" s="2508" t="s">
        <v>1942</v>
      </c>
      <c r="C130" s="2492"/>
      <c r="D130" s="2493"/>
      <c r="E130" s="2494">
        <f t="shared" ref="E130:E131" si="54">$C130*0.65+$C146*0.35</f>
        <v>0</v>
      </c>
      <c r="F130" s="2478"/>
      <c r="G130" s="2478"/>
      <c r="H130" s="2478"/>
      <c r="I130" s="2509"/>
      <c r="J130" s="2509"/>
      <c r="K130" s="2509"/>
      <c r="L130" s="2509"/>
      <c r="M130" s="2509"/>
      <c r="N130" s="2479"/>
      <c r="O130" s="2479"/>
      <c r="P130" s="2479"/>
      <c r="Q130" s="2479"/>
      <c r="R130" s="2479"/>
      <c r="S130" s="2479"/>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row>
    <row r="131" spans="1:51" ht="15.75" customHeight="1">
      <c r="A131" s="6"/>
      <c r="B131" s="2508" t="s">
        <v>1943</v>
      </c>
      <c r="C131" s="2492"/>
      <c r="D131" s="2493"/>
      <c r="E131" s="2494">
        <f t="shared" si="54"/>
        <v>0</v>
      </c>
      <c r="F131" s="2478"/>
      <c r="G131" s="2478"/>
      <c r="H131" s="2478"/>
      <c r="I131" s="2509"/>
      <c r="J131" s="2509"/>
      <c r="K131" s="2509"/>
      <c r="L131" s="2509"/>
      <c r="M131" s="2509"/>
      <c r="N131" s="2479"/>
      <c r="O131" s="2479"/>
      <c r="P131" s="2479"/>
      <c r="Q131" s="2479"/>
      <c r="R131" s="2479"/>
      <c r="S131" s="2479"/>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row>
    <row r="132" spans="1:51" ht="15.75" customHeight="1">
      <c r="A132" s="6"/>
      <c r="B132" s="2508" t="s">
        <v>1944</v>
      </c>
      <c r="C132" s="2492">
        <v>385044</v>
      </c>
      <c r="D132" s="2493"/>
      <c r="E132" s="2494">
        <f>C132</f>
        <v>385044</v>
      </c>
      <c r="F132" s="2478"/>
      <c r="G132" s="2478"/>
      <c r="H132" s="2478"/>
      <c r="I132" s="2509"/>
      <c r="J132" s="2510"/>
      <c r="K132" s="2509"/>
      <c r="L132" s="2509"/>
      <c r="M132" s="2509"/>
      <c r="N132" s="2479"/>
      <c r="O132" s="2479"/>
      <c r="P132" s="2479"/>
      <c r="Q132" s="2479"/>
      <c r="R132" s="2479"/>
      <c r="S132" s="2479"/>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row>
    <row r="133" spans="1:51" ht="15.75" customHeight="1">
      <c r="A133" s="6"/>
      <c r="B133" s="2511" t="s">
        <v>1945</v>
      </c>
      <c r="C133" s="2512">
        <v>0.02</v>
      </c>
      <c r="D133" s="2493"/>
      <c r="E133" s="2513">
        <f>IF(E125=0,0,E128/E125)</f>
        <v>1.81967292675893E-2</v>
      </c>
      <c r="F133" s="2478"/>
      <c r="G133" s="2478"/>
      <c r="H133" s="2478"/>
      <c r="I133" s="2478"/>
      <c r="J133" s="2478"/>
      <c r="K133" s="2478"/>
      <c r="L133" s="2478"/>
      <c r="M133" s="2478"/>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row>
    <row r="134" spans="1:51" ht="15.75" customHeight="1">
      <c r="A134" s="6"/>
      <c r="B134" s="2511" t="s">
        <v>1946</v>
      </c>
      <c r="C134" s="2493">
        <v>26238175</v>
      </c>
      <c r="D134" s="2493"/>
      <c r="E134" s="2514">
        <f>E125*(1-E133)</f>
        <v>26238175</v>
      </c>
      <c r="F134" s="2478"/>
      <c r="G134" s="2478"/>
      <c r="H134" s="2478"/>
      <c r="I134" s="2478"/>
      <c r="J134" s="2478"/>
      <c r="K134" s="2478"/>
      <c r="L134" s="2478"/>
      <c r="M134" s="2478"/>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row>
    <row r="135" spans="1:51" ht="15.75" customHeight="1">
      <c r="A135" s="6"/>
      <c r="B135" s="2511" t="s">
        <v>1947</v>
      </c>
      <c r="C135" s="2493">
        <f>486298</f>
        <v>486298</v>
      </c>
      <c r="D135" s="2493"/>
      <c r="E135" s="2515">
        <f>E125*E133</f>
        <v>486298</v>
      </c>
      <c r="F135" s="2478"/>
      <c r="G135" s="2478"/>
      <c r="H135" s="2478"/>
      <c r="I135" s="2478"/>
      <c r="J135" s="2478"/>
      <c r="K135" s="2478"/>
      <c r="L135" s="2478"/>
      <c r="M135" s="2478"/>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row>
    <row r="136" spans="1:51" ht="15.75" customHeight="1">
      <c r="A136" s="6"/>
      <c r="B136" s="2152"/>
      <c r="C136" s="2493"/>
      <c r="D136" s="2493"/>
      <c r="E136" s="2515"/>
      <c r="F136" s="2478"/>
      <c r="G136" s="2478"/>
      <c r="H136" s="2478"/>
      <c r="I136" s="2478"/>
      <c r="J136" s="2478"/>
      <c r="K136" s="2478"/>
      <c r="L136" s="2478"/>
      <c r="M136" s="2478"/>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row>
    <row r="137" spans="1:51" ht="15.75" customHeight="1">
      <c r="A137" s="6"/>
      <c r="B137" s="2516"/>
      <c r="C137" s="2517"/>
      <c r="D137" s="2153"/>
      <c r="E137" s="2154"/>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row>
    <row r="138" spans="1:51" ht="15.75" customHeight="1">
      <c r="A138" s="6"/>
      <c r="B138" s="2518" t="s">
        <v>1922</v>
      </c>
      <c r="C138" s="2519">
        <v>2018</v>
      </c>
      <c r="D138" s="2520"/>
      <c r="E138" s="2521"/>
      <c r="F138" s="2479"/>
      <c r="G138" s="2479"/>
      <c r="H138" s="2479"/>
      <c r="I138" s="2479"/>
      <c r="J138" s="2479"/>
      <c r="K138" s="2479"/>
      <c r="L138" s="2479"/>
      <c r="M138" s="2479"/>
      <c r="N138" s="2479"/>
      <c r="O138" s="2479"/>
      <c r="P138" s="2479"/>
      <c r="Q138" s="2479"/>
      <c r="R138" s="2479"/>
      <c r="S138" s="2479"/>
      <c r="T138" s="2479"/>
      <c r="U138" s="2479"/>
      <c r="V138" s="2479"/>
      <c r="W138" s="2479"/>
      <c r="X138" s="2479"/>
      <c r="Y138" s="2479"/>
      <c r="Z138" s="2479"/>
      <c r="AA138" s="2479"/>
      <c r="AB138" s="2479"/>
      <c r="AC138" s="2479"/>
      <c r="AD138" s="2479"/>
      <c r="AE138" s="2479"/>
      <c r="AF138" s="6"/>
      <c r="AG138" s="6"/>
      <c r="AH138" s="6"/>
      <c r="AI138" s="6"/>
      <c r="AJ138" s="6"/>
      <c r="AK138" s="6"/>
      <c r="AL138" s="6"/>
      <c r="AM138" s="6"/>
      <c r="AN138" s="6"/>
      <c r="AO138" s="6"/>
      <c r="AP138" s="6"/>
      <c r="AQ138" s="6"/>
      <c r="AR138" s="6"/>
      <c r="AS138" s="6"/>
      <c r="AT138" s="6"/>
      <c r="AU138" s="6"/>
      <c r="AV138" s="6"/>
      <c r="AW138" s="6"/>
      <c r="AX138" s="6"/>
      <c r="AY138" s="6"/>
    </row>
    <row r="139" spans="1:51" ht="15.75" customHeight="1">
      <c r="A139" s="2480"/>
      <c r="B139" s="2522" t="s">
        <v>1923</v>
      </c>
      <c r="C139" s="2523" t="s">
        <v>1948</v>
      </c>
      <c r="D139" s="2524"/>
      <c r="E139" s="2525"/>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row>
    <row r="140" spans="1:51" ht="15.75" customHeight="1">
      <c r="A140" s="6"/>
      <c r="B140" s="2491" t="s">
        <v>1936</v>
      </c>
      <c r="C140" s="2492"/>
      <c r="D140" s="2493"/>
      <c r="E140" s="2515"/>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row>
    <row r="141" spans="1:51" ht="15.75" customHeight="1">
      <c r="A141" s="6"/>
      <c r="B141" s="2491" t="s">
        <v>1937</v>
      </c>
      <c r="C141" s="2144"/>
      <c r="D141" s="2144"/>
      <c r="E141" s="252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row>
    <row r="142" spans="1:51" ht="15.75" customHeight="1">
      <c r="A142" s="6"/>
      <c r="B142" s="2508" t="s">
        <v>1938</v>
      </c>
      <c r="C142" s="2492"/>
      <c r="D142" s="2493"/>
      <c r="E142" s="2515"/>
      <c r="F142" s="2478"/>
      <c r="G142" s="2478"/>
      <c r="H142" s="2509"/>
      <c r="I142" s="2509"/>
      <c r="J142" s="2509"/>
      <c r="K142" s="2509"/>
      <c r="L142" s="2509"/>
      <c r="M142" s="2479"/>
      <c r="N142" s="2479"/>
      <c r="O142" s="2479"/>
      <c r="P142" s="2479"/>
      <c r="Q142" s="2479"/>
      <c r="R142" s="2479"/>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row>
    <row r="143" spans="1:51" ht="15.75" customHeight="1">
      <c r="A143" s="6"/>
      <c r="B143" s="2508" t="s">
        <v>1939</v>
      </c>
      <c r="C143" s="2492"/>
      <c r="D143" s="2493"/>
      <c r="E143" s="2515"/>
      <c r="F143" s="2478"/>
      <c r="G143" s="2478"/>
      <c r="H143" s="2509"/>
      <c r="I143" s="2509"/>
      <c r="J143" s="2509"/>
      <c r="K143" s="2509"/>
      <c r="L143" s="2509"/>
      <c r="M143" s="2479"/>
      <c r="N143" s="2479"/>
      <c r="O143" s="2479"/>
      <c r="P143" s="2479"/>
      <c r="Q143" s="2479"/>
      <c r="R143" s="2479"/>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row>
    <row r="144" spans="1:51" ht="15.75" customHeight="1">
      <c r="A144" s="6"/>
      <c r="B144" s="2508" t="s">
        <v>1940</v>
      </c>
      <c r="C144" s="2492"/>
      <c r="D144" s="2493"/>
      <c r="E144" s="2515"/>
      <c r="F144" s="2478"/>
      <c r="G144" s="2478"/>
      <c r="H144" s="2509"/>
      <c r="I144" s="2509"/>
      <c r="J144" s="2509"/>
      <c r="K144" s="2509"/>
      <c r="L144" s="2509"/>
      <c r="M144" s="2479"/>
      <c r="N144" s="2479"/>
      <c r="O144" s="2479"/>
      <c r="P144" s="2479"/>
      <c r="Q144" s="2479"/>
      <c r="R144" s="2479"/>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row>
    <row r="145" spans="1:81" ht="15.75" customHeight="1">
      <c r="A145" s="6"/>
      <c r="B145" s="2508" t="s">
        <v>1941</v>
      </c>
      <c r="C145" s="2492"/>
      <c r="D145" s="2493"/>
      <c r="E145" s="2515"/>
      <c r="F145" s="2478"/>
      <c r="G145" s="2478"/>
      <c r="H145" s="2509"/>
      <c r="I145" s="2509"/>
      <c r="J145" s="2509"/>
      <c r="K145" s="2509"/>
      <c r="L145" s="2509"/>
      <c r="M145" s="2479"/>
      <c r="N145" s="2479"/>
      <c r="O145" s="2479"/>
      <c r="P145" s="2479"/>
      <c r="Q145" s="2479"/>
      <c r="R145" s="2479"/>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row>
    <row r="146" spans="1:81" ht="15.75" customHeight="1">
      <c r="A146" s="6"/>
      <c r="B146" s="2508" t="s">
        <v>1942</v>
      </c>
      <c r="C146" s="2492"/>
      <c r="D146" s="2493"/>
      <c r="E146" s="2515"/>
      <c r="F146" s="2478"/>
      <c r="G146" s="2478"/>
      <c r="H146" s="2509"/>
      <c r="I146" s="2509"/>
      <c r="J146" s="2509"/>
      <c r="K146" s="2509"/>
      <c r="L146" s="2509"/>
      <c r="M146" s="2479"/>
      <c r="N146" s="2479"/>
      <c r="O146" s="2479"/>
      <c r="P146" s="2479"/>
      <c r="Q146" s="2479"/>
      <c r="R146" s="2479"/>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row>
    <row r="147" spans="1:81" ht="15.75" customHeight="1">
      <c r="A147" s="6"/>
      <c r="B147" s="2508" t="s">
        <v>1943</v>
      </c>
      <c r="C147" s="2492"/>
      <c r="D147" s="2493"/>
      <c r="E147" s="2515"/>
      <c r="F147" s="2478"/>
      <c r="G147" s="2478"/>
      <c r="H147" s="2509"/>
      <c r="I147" s="2509"/>
      <c r="J147" s="2509"/>
      <c r="K147" s="2509"/>
      <c r="L147" s="2509"/>
      <c r="M147" s="2479"/>
      <c r="N147" s="2479"/>
      <c r="O147" s="2479"/>
      <c r="P147" s="2479"/>
      <c r="Q147" s="2479"/>
      <c r="R147" s="2479"/>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row>
    <row r="148" spans="1:81" ht="15.75" customHeight="1">
      <c r="A148" s="6"/>
      <c r="B148" s="2508" t="s">
        <v>1944</v>
      </c>
      <c r="C148" s="2492"/>
      <c r="D148" s="2493"/>
      <c r="E148" s="2515"/>
      <c r="F148" s="2478"/>
      <c r="G148" s="2478"/>
      <c r="H148" s="2509"/>
      <c r="I148" s="2510"/>
      <c r="J148" s="2509"/>
      <c r="K148" s="2509"/>
      <c r="L148" s="2509"/>
      <c r="M148" s="2479"/>
      <c r="N148" s="2479"/>
      <c r="O148" s="2479"/>
      <c r="P148" s="2479"/>
      <c r="Q148" s="2479"/>
      <c r="R148" s="2479"/>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row>
    <row r="149" spans="1:81" ht="15.75" customHeight="1">
      <c r="A149" s="6"/>
      <c r="B149" s="2511" t="s">
        <v>1945</v>
      </c>
      <c r="C149" s="2512">
        <v>5.0683858558632864E-3</v>
      </c>
      <c r="D149" s="2493"/>
      <c r="E149" s="2515"/>
      <c r="F149" s="2478"/>
      <c r="G149" s="2478"/>
      <c r="H149" s="2478"/>
      <c r="I149" s="2478"/>
      <c r="J149" s="2478"/>
      <c r="K149" s="2478"/>
      <c r="L149" s="2478"/>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row>
    <row r="150" spans="1:81" ht="15.75" customHeight="1">
      <c r="A150" s="6"/>
      <c r="B150" s="2511" t="s">
        <v>1946</v>
      </c>
      <c r="C150" s="2493"/>
      <c r="D150" s="2493"/>
      <c r="E150" s="2515"/>
      <c r="F150" s="2478"/>
      <c r="G150" s="2478"/>
      <c r="H150" s="2478"/>
      <c r="I150" s="2478"/>
      <c r="J150" s="2478"/>
      <c r="K150" s="2478"/>
      <c r="L150" s="2478"/>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row>
    <row r="151" spans="1:81" ht="15.75" customHeight="1">
      <c r="A151" s="6"/>
      <c r="B151" s="2527" t="s">
        <v>1947</v>
      </c>
      <c r="C151" s="2528"/>
      <c r="D151" s="2528"/>
      <c r="E151" s="2529"/>
      <c r="F151" s="2478"/>
      <c r="G151" s="2478"/>
      <c r="H151" s="2478"/>
      <c r="I151" s="2478"/>
      <c r="J151" s="2478"/>
      <c r="K151" s="2478"/>
      <c r="L151" s="2478"/>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row>
    <row r="152" spans="1:81" ht="15.75" customHeight="1">
      <c r="A152" s="1"/>
      <c r="B152" s="2310"/>
      <c r="C152" s="2311"/>
      <c r="D152" s="2312"/>
      <c r="E152" s="2312"/>
      <c r="F152" s="2312"/>
      <c r="G152" s="2313"/>
      <c r="H152" s="2314"/>
      <c r="I152" s="2315"/>
      <c r="J152" s="2314"/>
      <c r="K152" s="2316"/>
      <c r="L152" s="935"/>
      <c r="M152" s="2316"/>
      <c r="N152" s="935"/>
      <c r="O152" s="935"/>
      <c r="P152" s="935"/>
      <c r="Q152" s="935"/>
      <c r="R152" s="935"/>
      <c r="S152" s="935"/>
      <c r="T152" s="935"/>
      <c r="U152" s="935"/>
    </row>
    <row r="153" spans="1:81" ht="15.75" customHeight="1">
      <c r="A153" s="322"/>
      <c r="B153" s="2530" t="s">
        <v>1949</v>
      </c>
      <c r="C153" s="2531"/>
      <c r="D153" s="2532"/>
      <c r="E153" s="2532"/>
      <c r="F153" s="2532"/>
      <c r="G153" s="2533"/>
      <c r="H153" s="2426"/>
      <c r="I153" s="2427"/>
      <c r="J153" s="2426"/>
      <c r="K153" s="2428"/>
      <c r="L153" s="2429"/>
      <c r="M153" s="2428"/>
      <c r="N153" s="2429"/>
      <c r="O153" s="2429"/>
      <c r="P153" s="2429"/>
      <c r="Q153" s="2429"/>
      <c r="R153" s="2429"/>
      <c r="S153" s="2429"/>
      <c r="T153" s="2429"/>
      <c r="U153" s="2429"/>
      <c r="V153" s="2429"/>
      <c r="W153" s="2429"/>
      <c r="X153" s="2429"/>
      <c r="Y153" s="2429"/>
      <c r="Z153" s="2429"/>
      <c r="AA153" s="2430"/>
      <c r="AH153" s="2230" t="s">
        <v>1950</v>
      </c>
    </row>
    <row r="154" spans="1:81" ht="15.75" customHeight="1">
      <c r="A154" s="6"/>
      <c r="B154" s="2534"/>
      <c r="C154" s="2535"/>
      <c r="D154" s="2536"/>
      <c r="E154" s="2537"/>
      <c r="F154" s="2537"/>
      <c r="G154" s="2537"/>
      <c r="H154" s="2537"/>
      <c r="I154" s="2536"/>
      <c r="J154" s="2536"/>
      <c r="K154" s="2538"/>
      <c r="L154" s="2539"/>
      <c r="M154" s="2540" t="s">
        <v>1951</v>
      </c>
      <c r="N154" s="2540"/>
      <c r="O154" s="2541"/>
      <c r="P154" s="2542"/>
      <c r="Q154" s="2543"/>
      <c r="R154" s="2439"/>
      <c r="S154" s="2437" t="s">
        <v>1952</v>
      </c>
      <c r="T154" s="2437"/>
      <c r="U154" s="2437"/>
      <c r="V154" s="2439"/>
      <c r="W154" s="2544"/>
      <c r="X154" s="2537"/>
      <c r="Y154" s="2537"/>
      <c r="Z154" s="2537"/>
      <c r="AA154" s="2545"/>
      <c r="AB154" s="6"/>
      <c r="AC154" s="6"/>
      <c r="AD154" s="6"/>
      <c r="AE154" s="6"/>
      <c r="AF154" s="6"/>
      <c r="AG154" s="6"/>
      <c r="AH154" s="2546" t="s">
        <v>1953</v>
      </c>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row>
    <row r="155" spans="1:81" ht="15.75" customHeight="1">
      <c r="A155" s="6"/>
      <c r="B155" s="2547"/>
      <c r="C155" s="2548" t="s">
        <v>1954</v>
      </c>
      <c r="D155" s="2549"/>
      <c r="E155" s="2549" t="s">
        <v>1955</v>
      </c>
      <c r="F155" s="2550"/>
      <c r="G155" s="2549" t="s">
        <v>1956</v>
      </c>
      <c r="H155" s="2550"/>
      <c r="I155" s="2549" t="s">
        <v>1957</v>
      </c>
      <c r="J155" s="2551"/>
      <c r="K155" s="2552" t="s">
        <v>1958</v>
      </c>
      <c r="L155" s="2553"/>
      <c r="M155" s="2435" t="s">
        <v>1959</v>
      </c>
      <c r="N155" s="2435"/>
      <c r="O155" s="2442" t="s">
        <v>1960</v>
      </c>
      <c r="P155" s="2554"/>
      <c r="Q155" s="2552" t="s">
        <v>1961</v>
      </c>
      <c r="R155" s="2553"/>
      <c r="S155" s="2435" t="s">
        <v>1962</v>
      </c>
      <c r="T155" s="2435"/>
      <c r="U155" s="2435" t="s">
        <v>1963</v>
      </c>
      <c r="V155" s="2553"/>
      <c r="W155" s="2442" t="s">
        <v>1964</v>
      </c>
      <c r="X155" s="2555"/>
      <c r="Y155" s="2556"/>
      <c r="Z155" s="2550"/>
      <c r="AA155" s="2557"/>
      <c r="AB155" s="6"/>
      <c r="AC155" s="6"/>
      <c r="AD155" s="6"/>
      <c r="AE155" s="6"/>
      <c r="AF155" s="6"/>
      <c r="AG155" s="6"/>
      <c r="AH155" s="2894" t="s">
        <v>1965</v>
      </c>
      <c r="AI155" s="2895"/>
      <c r="AJ155" s="2895"/>
      <c r="AK155" s="2895"/>
      <c r="AL155" s="2895"/>
      <c r="AM155" s="2895"/>
      <c r="AN155" s="2895"/>
      <c r="AO155" s="144"/>
      <c r="AP155" s="2894" t="s">
        <v>1966</v>
      </c>
      <c r="AQ155" s="2895"/>
      <c r="AR155" s="2895"/>
      <c r="AS155" s="2895"/>
      <c r="AT155" s="144"/>
      <c r="AU155" s="2894" t="s">
        <v>1967</v>
      </c>
      <c r="AV155" s="2895"/>
      <c r="AW155" s="144"/>
      <c r="AX155" s="2894" t="s">
        <v>1968</v>
      </c>
      <c r="AY155" s="2895"/>
      <c r="AZ155" s="144"/>
      <c r="BA155" s="2896" t="s">
        <v>1839</v>
      </c>
      <c r="BB155" s="2863"/>
      <c r="BC155" s="2863"/>
      <c r="BD155" s="2863"/>
      <c r="BE155" s="2863"/>
      <c r="BF155" s="2863"/>
      <c r="BG155" s="1"/>
      <c r="BH155" s="2896" t="s">
        <v>1860</v>
      </c>
      <c r="BI155" s="2863"/>
      <c r="BJ155" s="2863"/>
      <c r="BK155" s="2863"/>
      <c r="BL155" s="2863"/>
      <c r="BM155" s="1"/>
      <c r="BN155" s="2897" t="s">
        <v>1864</v>
      </c>
      <c r="BO155" s="2895"/>
      <c r="BP155" s="2558"/>
      <c r="BQ155" s="2898" t="s">
        <v>1865</v>
      </c>
      <c r="BR155" s="2863"/>
      <c r="BS155" s="2863"/>
      <c r="BT155" s="1"/>
      <c r="BU155" s="2897" t="s">
        <v>1837</v>
      </c>
      <c r="BV155" s="2895"/>
      <c r="BW155" s="2895"/>
      <c r="BX155" s="2558"/>
      <c r="BY155" s="2897" t="s">
        <v>1838</v>
      </c>
      <c r="BZ155" s="2895"/>
      <c r="CA155" s="1"/>
      <c r="CB155" s="2890" t="s">
        <v>1840</v>
      </c>
      <c r="CC155" s="2891"/>
    </row>
    <row r="156" spans="1:81" ht="15.75" customHeight="1">
      <c r="A156" s="6"/>
      <c r="B156" s="2559" t="s">
        <v>1824</v>
      </c>
      <c r="C156" s="2560"/>
      <c r="D156" s="2561"/>
      <c r="E156" s="2562"/>
      <c r="F156" s="2562"/>
      <c r="G156" s="2562"/>
      <c r="H156" s="2562"/>
      <c r="I156" s="2563"/>
      <c r="J156" s="2564"/>
      <c r="K156" s="2563"/>
      <c r="L156" s="2564"/>
      <c r="M156" s="2565"/>
      <c r="N156" s="2565"/>
      <c r="O156" s="2564"/>
      <c r="P156" s="2564"/>
      <c r="Q156" s="2566"/>
      <c r="R156" s="2566"/>
      <c r="S156" s="2567"/>
      <c r="T156" s="2567"/>
      <c r="U156" s="2566"/>
      <c r="V156" s="2566"/>
      <c r="W156" s="20"/>
      <c r="X156" s="2568"/>
      <c r="Y156" s="2568"/>
      <c r="Z156" s="2568"/>
      <c r="AA156" s="2569"/>
      <c r="AB156" s="6"/>
      <c r="AC156" s="6"/>
      <c r="AD156" s="6"/>
      <c r="AE156" s="6"/>
      <c r="AF156" s="6"/>
      <c r="AG156" s="6"/>
      <c r="AH156" s="2570" t="s">
        <v>1969</v>
      </c>
      <c r="AI156" s="2571" t="s">
        <v>1970</v>
      </c>
      <c r="AJ156" s="2571" t="s">
        <v>1971</v>
      </c>
      <c r="AK156" s="2571" t="s">
        <v>1972</v>
      </c>
      <c r="AL156" s="2571" t="s">
        <v>1973</v>
      </c>
      <c r="AM156" s="2571" t="s">
        <v>1974</v>
      </c>
      <c r="AN156" s="2572" t="s">
        <v>1975</v>
      </c>
      <c r="AO156" s="144"/>
      <c r="AP156" s="2573" t="s">
        <v>1969</v>
      </c>
      <c r="AQ156" s="2571" t="s">
        <v>1976</v>
      </c>
      <c r="AR156" s="2571" t="s">
        <v>1977</v>
      </c>
      <c r="AS156" s="2572" t="s">
        <v>1972</v>
      </c>
      <c r="AT156" s="144"/>
      <c r="AU156" s="2573" t="s">
        <v>1978</v>
      </c>
      <c r="AV156" s="2572" t="s">
        <v>1979</v>
      </c>
      <c r="AW156" s="144"/>
      <c r="AX156" s="2573" t="s">
        <v>1978</v>
      </c>
      <c r="AY156" s="2572" t="s">
        <v>1974</v>
      </c>
      <c r="AZ156" s="144"/>
      <c r="BA156" s="2574" t="s">
        <v>1969</v>
      </c>
      <c r="BB156" s="2571" t="s">
        <v>1974</v>
      </c>
      <c r="BC156" s="2571" t="s">
        <v>1973</v>
      </c>
      <c r="BD156" s="2571" t="s">
        <v>1971</v>
      </c>
      <c r="BE156" s="2571" t="s">
        <v>1970</v>
      </c>
      <c r="BF156" s="2572" t="s">
        <v>1975</v>
      </c>
      <c r="BG156" s="2230"/>
      <c r="BH156" s="2574" t="s">
        <v>1969</v>
      </c>
      <c r="BI156" s="2571" t="s">
        <v>1973</v>
      </c>
      <c r="BJ156" s="2571" t="s">
        <v>1971</v>
      </c>
      <c r="BK156" s="2571" t="s">
        <v>1970</v>
      </c>
      <c r="BL156" s="2572" t="s">
        <v>1980</v>
      </c>
      <c r="BM156" s="2230"/>
      <c r="BN156" s="2573" t="s">
        <v>64</v>
      </c>
      <c r="BO156" s="2572" t="s">
        <v>68</v>
      </c>
      <c r="BP156" s="2575"/>
      <c r="BQ156" s="2573" t="s">
        <v>64</v>
      </c>
      <c r="BR156" s="2576" t="s">
        <v>68</v>
      </c>
      <c r="BS156" s="2577" t="s">
        <v>1981</v>
      </c>
      <c r="BT156" s="1"/>
      <c r="BU156" s="2570" t="s">
        <v>1969</v>
      </c>
      <c r="BV156" s="2578" t="s">
        <v>1982</v>
      </c>
      <c r="BW156" s="2579" t="s">
        <v>1983</v>
      </c>
      <c r="BX156" s="2580"/>
      <c r="BY156" s="2581" t="s">
        <v>1978</v>
      </c>
      <c r="BZ156" s="2582" t="s">
        <v>1984</v>
      </c>
      <c r="CA156" s="1"/>
      <c r="CB156" s="2573" t="s">
        <v>1978</v>
      </c>
      <c r="CC156" s="2577" t="s">
        <v>1984</v>
      </c>
    </row>
    <row r="157" spans="1:81" ht="15.75" customHeight="1">
      <c r="A157" s="6"/>
      <c r="B157" s="2583" t="s">
        <v>1825</v>
      </c>
      <c r="C157" s="2337">
        <v>53</v>
      </c>
      <c r="D157" s="62"/>
      <c r="E157" s="2153">
        <v>680</v>
      </c>
      <c r="F157" s="2153"/>
      <c r="G157" s="2153">
        <v>0.44</v>
      </c>
      <c r="H157" s="2153"/>
      <c r="I157" s="2144">
        <f t="shared" ref="I157:I158" si="55">C157*E157*G157*365</f>
        <v>5788024</v>
      </c>
      <c r="J157" s="62"/>
      <c r="K157" s="2144">
        <f t="shared" ref="K157:K158" si="56">(I157*0.2*0.01)/1000</f>
        <v>11.576048</v>
      </c>
      <c r="L157" s="2153"/>
      <c r="M157" s="2493">
        <f>C157*(AI157+AJ157+AL157+AN157)*E157*G157*365</f>
        <v>2837470.2705451539</v>
      </c>
      <c r="N157" s="2153"/>
      <c r="O157" s="2493">
        <f>C157*(AM157)*E157*G157*365</f>
        <v>381780.39119424886</v>
      </c>
      <c r="P157" s="2493"/>
      <c r="Q157" s="2493">
        <f>C157*(AK157)*E157*G157*365</f>
        <v>2568773.3382605966</v>
      </c>
      <c r="R157" s="2493"/>
      <c r="S157" s="65">
        <f t="shared" ref="S157:S158" si="57">((M157+Q157)*(1-0.2)*0.0125)/1000</f>
        <v>54.062436088057503</v>
      </c>
      <c r="T157" s="2493"/>
      <c r="U157" s="2515">
        <f t="shared" ref="U157:U158" si="58">(O157*0.02)/1000</f>
        <v>7.6356078238849774</v>
      </c>
      <c r="V157" s="2152"/>
      <c r="W157" s="2584">
        <f>K125</f>
        <v>860612.14000000013</v>
      </c>
      <c r="X157" s="2153" t="s">
        <v>1985</v>
      </c>
      <c r="Y157" s="2153"/>
      <c r="Z157" s="2153"/>
      <c r="AA157" s="2154"/>
      <c r="AB157" s="6"/>
      <c r="AC157" s="6"/>
      <c r="AD157" s="6"/>
      <c r="AE157" s="6"/>
      <c r="AF157" s="6"/>
      <c r="AG157" s="6"/>
      <c r="AH157" s="2585" t="s">
        <v>1986</v>
      </c>
      <c r="AI157" s="2586">
        <v>7.6488535055593554E-2</v>
      </c>
      <c r="AJ157" s="2586">
        <v>0.15472472257238745</v>
      </c>
      <c r="AK157" s="2586">
        <v>0.44380834258126728</v>
      </c>
      <c r="AL157" s="2586">
        <v>0.22861605738914034</v>
      </c>
      <c r="AM157" s="2586">
        <v>6.5960402236453913E-2</v>
      </c>
      <c r="AN157" s="2587">
        <v>3.0401940165157418E-2</v>
      </c>
      <c r="AO157" s="144"/>
      <c r="AP157" s="2585" t="s">
        <v>1986</v>
      </c>
      <c r="AQ157" s="2586">
        <f>1-SUM(AR157:AS157)</f>
        <v>0.49023125518227884</v>
      </c>
      <c r="AR157" s="2586">
        <v>6.5960402236453913E-2</v>
      </c>
      <c r="AS157" s="2587">
        <v>0.44380834258126728</v>
      </c>
      <c r="AT157" s="144"/>
      <c r="AU157" s="2585" t="s">
        <v>1986</v>
      </c>
      <c r="AV157" s="2588">
        <v>1</v>
      </c>
      <c r="AW157" s="144"/>
      <c r="AX157" s="2585" t="s">
        <v>1986</v>
      </c>
      <c r="AY157" s="2588">
        <v>1</v>
      </c>
      <c r="AZ157" s="144"/>
      <c r="BA157" s="2585" t="s">
        <v>1986</v>
      </c>
      <c r="BB157" s="2589">
        <v>0.21140679400000001</v>
      </c>
      <c r="BC157" s="2586">
        <v>3.7602905999999998E-2</v>
      </c>
      <c r="BD157" s="2586">
        <v>0.214504853</v>
      </c>
      <c r="BE157" s="2586">
        <v>0.15671048400000001</v>
      </c>
      <c r="BF157" s="2587">
        <v>0.37977496300000002</v>
      </c>
      <c r="BG157" s="1"/>
      <c r="BH157" s="2590" t="s">
        <v>1986</v>
      </c>
      <c r="BI157" s="2586">
        <v>0</v>
      </c>
      <c r="BJ157" s="2586">
        <v>0</v>
      </c>
      <c r="BK157" s="2586">
        <v>0.05</v>
      </c>
      <c r="BL157" s="2587">
        <v>0.95</v>
      </c>
      <c r="BM157" s="6"/>
      <c r="BN157" s="2591" t="s">
        <v>1987</v>
      </c>
      <c r="BO157" s="2592">
        <v>1</v>
      </c>
      <c r="BP157" s="6"/>
      <c r="BQ157" s="2593" t="s">
        <v>1987</v>
      </c>
      <c r="BR157" s="2594">
        <v>0.9</v>
      </c>
      <c r="BS157" s="2595">
        <v>0.1</v>
      </c>
      <c r="BT157" s="6"/>
      <c r="BU157" s="2593" t="s">
        <v>1987</v>
      </c>
      <c r="BV157" s="2596">
        <v>0</v>
      </c>
      <c r="BW157" s="2592">
        <v>1</v>
      </c>
      <c r="BX157" s="6"/>
      <c r="BY157" s="2591" t="s">
        <v>1987</v>
      </c>
      <c r="BZ157" s="2592">
        <v>1</v>
      </c>
      <c r="CA157" s="6"/>
      <c r="CB157" s="2593" t="s">
        <v>1987</v>
      </c>
      <c r="CC157" s="2592">
        <v>1</v>
      </c>
    </row>
    <row r="158" spans="1:81" ht="15.75" customHeight="1">
      <c r="A158" s="6"/>
      <c r="B158" s="2508" t="s">
        <v>1826</v>
      </c>
      <c r="C158" s="2337">
        <v>28</v>
      </c>
      <c r="D158" s="62"/>
      <c r="E158" s="2153">
        <v>476</v>
      </c>
      <c r="F158" s="2153"/>
      <c r="G158" s="2153">
        <v>0.31</v>
      </c>
      <c r="H158" s="2153"/>
      <c r="I158" s="2144">
        <f t="shared" si="55"/>
        <v>1508063.2000000002</v>
      </c>
      <c r="J158" s="62"/>
      <c r="K158" s="2144">
        <f t="shared" si="56"/>
        <v>3.0161264000000005</v>
      </c>
      <c r="L158" s="2153"/>
      <c r="M158" s="2493">
        <f>C158*(AQ157)*E158*G158*365</f>
        <v>739299.71543020394</v>
      </c>
      <c r="N158" s="2153"/>
      <c r="O158" s="2493">
        <f>C158*(AR157)*E158*G158*365</f>
        <v>99472.45526999385</v>
      </c>
      <c r="P158" s="2153"/>
      <c r="Q158" s="2493">
        <f>C158*(AK157)*E158*G158*365</f>
        <v>669291.02929980226</v>
      </c>
      <c r="R158" s="2493"/>
      <c r="S158" s="65">
        <f t="shared" si="57"/>
        <v>14.085907447300064</v>
      </c>
      <c r="T158" s="2493"/>
      <c r="U158" s="2515">
        <f t="shared" si="58"/>
        <v>1.9894491053998771</v>
      </c>
      <c r="V158" s="2152"/>
      <c r="W158" s="2597">
        <f>K124</f>
        <v>23492832.300000001</v>
      </c>
      <c r="X158" s="2517" t="s">
        <v>1988</v>
      </c>
      <c r="Y158" s="2598"/>
      <c r="Z158" s="2517"/>
      <c r="AA158" s="2599"/>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row>
    <row r="159" spans="1:81" ht="15.75" customHeight="1">
      <c r="A159" s="6"/>
      <c r="B159" s="2600" t="s">
        <v>1829</v>
      </c>
      <c r="C159" s="2601"/>
      <c r="D159" s="2602"/>
      <c r="E159" s="2568"/>
      <c r="F159" s="2568"/>
      <c r="G159" s="2568"/>
      <c r="H159" s="2568"/>
      <c r="I159" s="2603"/>
      <c r="J159" s="2602"/>
      <c r="K159" s="2603"/>
      <c r="L159" s="2568"/>
      <c r="M159" s="2604"/>
      <c r="N159" s="2568"/>
      <c r="O159" s="2568"/>
      <c r="P159" s="2568"/>
      <c r="Q159" s="2568"/>
      <c r="R159" s="2604"/>
      <c r="S159" s="2605"/>
      <c r="T159" s="2568"/>
      <c r="U159" s="2569"/>
      <c r="V159" s="2152"/>
      <c r="W159" s="2606">
        <f>SUM(W157:W158)/1000*0.3</f>
        <v>7306.0333320000009</v>
      </c>
      <c r="X159" s="2436" t="s">
        <v>1989</v>
      </c>
      <c r="Y159" s="2439"/>
      <c r="Z159" s="2439"/>
      <c r="AA159" s="2544"/>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row>
    <row r="160" spans="1:81" ht="15.75" customHeight="1">
      <c r="A160" s="6"/>
      <c r="B160" s="2508" t="s">
        <v>1834</v>
      </c>
      <c r="C160" s="2295">
        <v>3.9119999999999999</v>
      </c>
      <c r="D160" s="62"/>
      <c r="E160" s="2153">
        <v>420</v>
      </c>
      <c r="F160" s="2153"/>
      <c r="G160" s="2153">
        <v>0.3</v>
      </c>
      <c r="H160" s="2153"/>
      <c r="I160" s="2144">
        <f t="shared" ref="I160:I166" si="59">C160*E160*G160*365</f>
        <v>179912.88</v>
      </c>
      <c r="J160" s="62"/>
      <c r="K160" s="2144">
        <f t="shared" ref="K160:K166" si="60">(I160*0.2*0.01)/1000</f>
        <v>0.35982575999999999</v>
      </c>
      <c r="L160" s="2153"/>
      <c r="M160" s="2493">
        <f>C160*(AV157)*E160*G160*365</f>
        <v>179912.88</v>
      </c>
      <c r="N160" s="2153"/>
      <c r="O160" s="62" t="s">
        <v>1238</v>
      </c>
      <c r="P160" s="2607"/>
      <c r="Q160" s="62" t="s">
        <v>1238</v>
      </c>
      <c r="R160" s="2493"/>
      <c r="S160" s="65">
        <f t="shared" ref="S160:S161" si="61">((M160)*(1-0.2)*0.0125)/1000</f>
        <v>1.7991288000000001</v>
      </c>
      <c r="T160" s="2493"/>
      <c r="U160" s="2521" t="s">
        <v>1238</v>
      </c>
      <c r="V160" s="2608"/>
      <c r="W160" s="2609"/>
      <c r="X160" s="2097"/>
      <c r="Y160" s="2097"/>
      <c r="Z160" s="2097"/>
      <c r="AA160" s="2099"/>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row>
    <row r="161" spans="1:81" ht="15.75" customHeight="1">
      <c r="A161" s="6"/>
      <c r="B161" s="2508" t="s">
        <v>1835</v>
      </c>
      <c r="C161" s="2295">
        <v>7.3949999999999996</v>
      </c>
      <c r="D161" s="62"/>
      <c r="E161" s="2153">
        <v>420</v>
      </c>
      <c r="F161" s="2153"/>
      <c r="G161" s="2153">
        <v>0.3</v>
      </c>
      <c r="H161" s="2153"/>
      <c r="I161" s="2144">
        <f t="shared" si="59"/>
        <v>340096.04999999993</v>
      </c>
      <c r="J161" s="62"/>
      <c r="K161" s="2144">
        <f t="shared" si="60"/>
        <v>0.68019209999999997</v>
      </c>
      <c r="L161" s="2153"/>
      <c r="M161" s="2493">
        <f>C161*AV157*E161*G161*365</f>
        <v>340096.04999999993</v>
      </c>
      <c r="N161" s="2153"/>
      <c r="O161" s="62" t="s">
        <v>1238</v>
      </c>
      <c r="P161" s="2607"/>
      <c r="Q161" s="62" t="s">
        <v>1238</v>
      </c>
      <c r="R161" s="2493"/>
      <c r="S161" s="65">
        <f t="shared" si="61"/>
        <v>3.4009604999999996</v>
      </c>
      <c r="T161" s="2493"/>
      <c r="U161" s="2521" t="s">
        <v>1238</v>
      </c>
      <c r="V161" s="2608"/>
      <c r="W161" s="2597">
        <f>I185</f>
        <v>38991101.859000005</v>
      </c>
      <c r="X161" s="2517" t="s">
        <v>1990</v>
      </c>
      <c r="Y161" s="2598"/>
      <c r="Z161" s="2517"/>
      <c r="AA161" s="2599"/>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row>
    <row r="162" spans="1:81" ht="15.75" customHeight="1">
      <c r="A162" s="6"/>
      <c r="B162" s="2508" t="s">
        <v>1836</v>
      </c>
      <c r="C162" s="2337">
        <v>4</v>
      </c>
      <c r="D162" s="62"/>
      <c r="E162" s="2153">
        <v>750</v>
      </c>
      <c r="F162" s="2153"/>
      <c r="G162" s="2153">
        <v>0.31</v>
      </c>
      <c r="H162" s="2153"/>
      <c r="I162" s="2144">
        <f t="shared" si="59"/>
        <v>339450</v>
      </c>
      <c r="J162" s="62"/>
      <c r="K162" s="2144">
        <f t="shared" si="60"/>
        <v>0.67889999999999995</v>
      </c>
      <c r="L162" s="2153"/>
      <c r="M162" s="2144" t="s">
        <v>1238</v>
      </c>
      <c r="N162" s="2153"/>
      <c r="O162" s="2584">
        <f t="shared" ref="O162:O166" si="62">C162*(AY$157)*E162*G162*365</f>
        <v>339450</v>
      </c>
      <c r="P162" s="2607"/>
      <c r="Q162" s="62" t="s">
        <v>1238</v>
      </c>
      <c r="R162" s="2493"/>
      <c r="S162" s="2144" t="s">
        <v>1238</v>
      </c>
      <c r="T162" s="2493"/>
      <c r="U162" s="2515">
        <f t="shared" ref="U162:U166" si="63">(O162*0.02)/1000</f>
        <v>6.7889999999999997</v>
      </c>
      <c r="V162" s="2152"/>
      <c r="W162" s="2606">
        <f>(W161*(1-0)/1000*0.3)</f>
        <v>11697.330557700001</v>
      </c>
      <c r="X162" s="2436" t="s">
        <v>1991</v>
      </c>
      <c r="Y162" s="2439"/>
      <c r="Z162" s="2439"/>
      <c r="AA162" s="2544"/>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row>
    <row r="163" spans="1:81" ht="15.75" customHeight="1">
      <c r="A163" s="6"/>
      <c r="B163" s="2508" t="s">
        <v>1854</v>
      </c>
      <c r="C163" s="2337">
        <v>36</v>
      </c>
      <c r="D163" s="62"/>
      <c r="E163" s="2153">
        <v>118</v>
      </c>
      <c r="F163" s="2153"/>
      <c r="G163" s="2153">
        <v>0.3</v>
      </c>
      <c r="H163" s="2153"/>
      <c r="I163" s="2144">
        <f t="shared" si="59"/>
        <v>465155.99999999994</v>
      </c>
      <c r="J163" s="62"/>
      <c r="K163" s="2144">
        <f t="shared" si="60"/>
        <v>0.93031200000000003</v>
      </c>
      <c r="L163" s="2153"/>
      <c r="M163" s="2144" t="s">
        <v>1238</v>
      </c>
      <c r="N163" s="2153"/>
      <c r="O163" s="2584">
        <f t="shared" si="62"/>
        <v>465155.99999999994</v>
      </c>
      <c r="P163" s="2607"/>
      <c r="Q163" s="62" t="s">
        <v>1238</v>
      </c>
      <c r="R163" s="2493"/>
      <c r="S163" s="2144" t="s">
        <v>1238</v>
      </c>
      <c r="T163" s="2493"/>
      <c r="U163" s="2515">
        <f t="shared" si="63"/>
        <v>9.3031199999999998</v>
      </c>
      <c r="V163" s="2152"/>
      <c r="W163" s="2610"/>
      <c r="X163" s="2611"/>
      <c r="Y163" s="2612"/>
      <c r="Z163" s="2611"/>
      <c r="AA163" s="2613"/>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row>
    <row r="164" spans="1:81" ht="15.75" customHeight="1">
      <c r="A164" s="6"/>
      <c r="B164" s="2508" t="s">
        <v>1830</v>
      </c>
      <c r="C164" s="2337">
        <v>42</v>
      </c>
      <c r="D164" s="62"/>
      <c r="E164" s="2153">
        <v>533</v>
      </c>
      <c r="F164" s="2153"/>
      <c r="G164" s="2153">
        <v>0.33</v>
      </c>
      <c r="H164" s="2153"/>
      <c r="I164" s="2144">
        <f t="shared" si="59"/>
        <v>2696393.7</v>
      </c>
      <c r="J164" s="62"/>
      <c r="K164" s="2144">
        <f t="shared" si="60"/>
        <v>5.3927874000000013</v>
      </c>
      <c r="L164" s="2153"/>
      <c r="M164" s="2144" t="s">
        <v>1238</v>
      </c>
      <c r="N164" s="2153"/>
      <c r="O164" s="2584">
        <f t="shared" si="62"/>
        <v>2696393.7</v>
      </c>
      <c r="P164" s="2607"/>
      <c r="Q164" s="62" t="s">
        <v>1238</v>
      </c>
      <c r="R164" s="2493"/>
      <c r="S164" s="2144" t="s">
        <v>1238</v>
      </c>
      <c r="T164" s="2493"/>
      <c r="U164" s="2515">
        <f t="shared" si="63"/>
        <v>53.927874000000003</v>
      </c>
      <c r="V164" s="2152"/>
      <c r="W164" s="2606">
        <f>SUM(W159,W162)*0.0075</f>
        <v>142.52522917275002</v>
      </c>
      <c r="X164" s="2436" t="s">
        <v>1992</v>
      </c>
      <c r="Y164" s="2439"/>
      <c r="Z164" s="2439"/>
      <c r="AA164" s="2544"/>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row>
    <row r="165" spans="1:81" ht="15.75" customHeight="1">
      <c r="A165" s="6"/>
      <c r="B165" s="2508" t="s">
        <v>1833</v>
      </c>
      <c r="C165" s="2337">
        <v>15</v>
      </c>
      <c r="D165" s="62"/>
      <c r="E165" s="2153">
        <v>318</v>
      </c>
      <c r="F165" s="2153"/>
      <c r="G165" s="2153">
        <v>0.31</v>
      </c>
      <c r="H165" s="2153"/>
      <c r="I165" s="2144">
        <f t="shared" si="59"/>
        <v>539725.5</v>
      </c>
      <c r="J165" s="62"/>
      <c r="K165" s="2144">
        <f t="shared" si="60"/>
        <v>1.0794509999999999</v>
      </c>
      <c r="L165" s="2153"/>
      <c r="M165" s="2144" t="s">
        <v>1238</v>
      </c>
      <c r="N165" s="2153"/>
      <c r="O165" s="2584">
        <f t="shared" si="62"/>
        <v>539725.5</v>
      </c>
      <c r="P165" s="2607"/>
      <c r="Q165" s="62" t="s">
        <v>1238</v>
      </c>
      <c r="R165" s="2493"/>
      <c r="S165" s="2144" t="s">
        <v>1238</v>
      </c>
      <c r="T165" s="2493"/>
      <c r="U165" s="2515">
        <f t="shared" si="63"/>
        <v>10.794510000000001</v>
      </c>
      <c r="V165" s="2152"/>
      <c r="W165" s="2614"/>
      <c r="X165" s="2615"/>
      <c r="Y165" s="2615"/>
      <c r="Z165" s="2615"/>
      <c r="AA165" s="261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row>
    <row r="166" spans="1:81" ht="15.75" customHeight="1">
      <c r="A166" s="6"/>
      <c r="B166" s="2508" t="s">
        <v>1993</v>
      </c>
      <c r="C166" s="2617">
        <v>17</v>
      </c>
      <c r="D166" s="62"/>
      <c r="E166" s="2153">
        <v>420</v>
      </c>
      <c r="F166" s="2153"/>
      <c r="G166" s="2153">
        <v>0.31</v>
      </c>
      <c r="H166" s="2153"/>
      <c r="I166" s="2144">
        <f t="shared" si="59"/>
        <v>807891</v>
      </c>
      <c r="J166" s="62"/>
      <c r="K166" s="2144">
        <f t="shared" si="60"/>
        <v>1.6157820000000001</v>
      </c>
      <c r="L166" s="2153"/>
      <c r="M166" s="2144" t="s">
        <v>1238</v>
      </c>
      <c r="N166" s="2153"/>
      <c r="O166" s="2584">
        <f t="shared" si="62"/>
        <v>807891</v>
      </c>
      <c r="P166" s="2607"/>
      <c r="Q166" s="62" t="s">
        <v>1238</v>
      </c>
      <c r="R166" s="2493"/>
      <c r="S166" s="2144" t="s">
        <v>1238</v>
      </c>
      <c r="T166" s="2493"/>
      <c r="U166" s="2515">
        <f t="shared" si="63"/>
        <v>16.157820000000001</v>
      </c>
      <c r="V166" s="1861"/>
      <c r="W166" s="2618"/>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row>
    <row r="167" spans="1:81" ht="15.75" customHeight="1">
      <c r="A167" s="6"/>
      <c r="B167" s="2600" t="s">
        <v>1839</v>
      </c>
      <c r="C167" s="2601"/>
      <c r="D167" s="2602"/>
      <c r="E167" s="2568"/>
      <c r="F167" s="2568"/>
      <c r="G167" s="2568"/>
      <c r="H167" s="2568"/>
      <c r="I167" s="2603"/>
      <c r="J167" s="2602"/>
      <c r="K167" s="2603"/>
      <c r="L167" s="2568"/>
      <c r="M167" s="2568"/>
      <c r="N167" s="2568"/>
      <c r="O167" s="2568"/>
      <c r="P167" s="2568"/>
      <c r="Q167" s="2568"/>
      <c r="R167" s="2604"/>
      <c r="S167" s="2602"/>
      <c r="T167" s="2568"/>
      <c r="U167" s="2569"/>
      <c r="V167" s="1861"/>
      <c r="W167" s="2618"/>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row>
    <row r="168" spans="1:81" ht="15.75" customHeight="1">
      <c r="A168" s="6"/>
      <c r="B168" s="2508" t="s">
        <v>1855</v>
      </c>
      <c r="C168" s="2337">
        <v>2</v>
      </c>
      <c r="D168" s="62"/>
      <c r="E168" s="2153">
        <v>198</v>
      </c>
      <c r="F168" s="2153"/>
      <c r="G168" s="2153">
        <v>0.23499999999999999</v>
      </c>
      <c r="H168" s="2153"/>
      <c r="I168" s="2144">
        <f t="shared" ref="I168:I172" si="64">C168*E168*G168*365</f>
        <v>33966.899999999994</v>
      </c>
      <c r="J168" s="62"/>
      <c r="K168" s="2144">
        <f t="shared" ref="K168:K172" si="65">(I168*0.2*0.01)/1000</f>
        <v>6.7933799999999989E-2</v>
      </c>
      <c r="L168" s="2153"/>
      <c r="M168" s="2493">
        <f>C168*(BC157+BD157+BE157+BF157)*E168*G168*365</f>
        <v>26786.066568881401</v>
      </c>
      <c r="N168" s="2153"/>
      <c r="O168" s="2493">
        <f t="shared" ref="O168:O172" si="66">C168*(BB$157)*E168*G168*365</f>
        <v>7180.8334311185999</v>
      </c>
      <c r="P168" s="2153"/>
      <c r="Q168" s="62" t="s">
        <v>1238</v>
      </c>
      <c r="R168" s="2493"/>
      <c r="S168" s="65">
        <f t="shared" ref="S168:S172" si="67">((M168)*(1-0.2)*0.0125)/1000</f>
        <v>0.26786066568881406</v>
      </c>
      <c r="T168" s="2493"/>
      <c r="U168" s="2515">
        <f t="shared" ref="U168:U172" si="68">(O168*0.02)/1000</f>
        <v>0.14361666862237199</v>
      </c>
      <c r="V168" s="2619"/>
      <c r="W168" s="2618"/>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row>
    <row r="169" spans="1:81" ht="15.75" customHeight="1">
      <c r="A169" s="6"/>
      <c r="B169" s="2508" t="s">
        <v>1856</v>
      </c>
      <c r="C169" s="2337">
        <v>9</v>
      </c>
      <c r="D169" s="62"/>
      <c r="E169" s="2153">
        <v>15.88</v>
      </c>
      <c r="F169" s="2153"/>
      <c r="G169" s="2153">
        <v>0.6</v>
      </c>
      <c r="H169" s="2153"/>
      <c r="I169" s="2144">
        <f t="shared" si="64"/>
        <v>31299.480000000003</v>
      </c>
      <c r="J169" s="62"/>
      <c r="K169" s="2144">
        <f t="shared" si="65"/>
        <v>6.2598960000000009E-2</v>
      </c>
      <c r="L169" s="2153"/>
      <c r="M169" s="2493">
        <f>C169*(BC157+BD157+BE157+BF157)*E169*G169*365</f>
        <v>24682.557279332883</v>
      </c>
      <c r="N169" s="2153"/>
      <c r="O169" s="2493">
        <f t="shared" si="66"/>
        <v>6616.9227206671203</v>
      </c>
      <c r="P169" s="2153"/>
      <c r="Q169" s="62" t="s">
        <v>1238</v>
      </c>
      <c r="R169" s="2493"/>
      <c r="S169" s="65">
        <f t="shared" si="67"/>
        <v>0.2468255727933289</v>
      </c>
      <c r="T169" s="2493"/>
      <c r="U169" s="2515">
        <f t="shared" si="68"/>
        <v>0.13233845441334241</v>
      </c>
      <c r="V169" s="2620"/>
      <c r="W169" s="2618"/>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row>
    <row r="170" spans="1:81" ht="15.75" customHeight="1">
      <c r="A170" s="6"/>
      <c r="B170" s="2508" t="s">
        <v>1857</v>
      </c>
      <c r="C170" s="2357">
        <v>7</v>
      </c>
      <c r="D170" s="62"/>
      <c r="E170" s="2153">
        <v>40.6</v>
      </c>
      <c r="F170" s="2153"/>
      <c r="G170" s="2153">
        <v>0.42</v>
      </c>
      <c r="H170" s="2153"/>
      <c r="I170" s="2144">
        <f t="shared" si="64"/>
        <v>43567.859999999993</v>
      </c>
      <c r="J170" s="62"/>
      <c r="K170" s="2144">
        <f t="shared" si="65"/>
        <v>8.7135719999999972E-2</v>
      </c>
      <c r="L170" s="2153"/>
      <c r="M170" s="2493">
        <f>C170*(BC157+BD157+BE157+BF157)*E170*G170*365</f>
        <v>34357.318395959162</v>
      </c>
      <c r="N170" s="2153"/>
      <c r="O170" s="2493">
        <f t="shared" si="66"/>
        <v>9210.54160404084</v>
      </c>
      <c r="P170" s="2153"/>
      <c r="Q170" s="62" t="s">
        <v>1238</v>
      </c>
      <c r="R170" s="2493"/>
      <c r="S170" s="65">
        <f t="shared" si="67"/>
        <v>0.34357318395959169</v>
      </c>
      <c r="T170" s="2493"/>
      <c r="U170" s="2515">
        <f t="shared" si="68"/>
        <v>0.18421083208081679</v>
      </c>
      <c r="V170" s="2619"/>
      <c r="W170" s="2618"/>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row>
    <row r="171" spans="1:81" ht="15.75" customHeight="1">
      <c r="A171" s="6"/>
      <c r="B171" s="2508" t="s">
        <v>1858</v>
      </c>
      <c r="C171" s="2337">
        <v>4</v>
      </c>
      <c r="D171" s="62"/>
      <c r="E171" s="2153">
        <v>67.819999999999993</v>
      </c>
      <c r="F171" s="2153"/>
      <c r="G171" s="2153">
        <v>0.42</v>
      </c>
      <c r="H171" s="2153"/>
      <c r="I171" s="2144">
        <f t="shared" si="64"/>
        <v>41587.223999999995</v>
      </c>
      <c r="J171" s="62"/>
      <c r="K171" s="2144">
        <f t="shared" si="65"/>
        <v>8.3174447999999998E-2</v>
      </c>
      <c r="L171" s="2153"/>
      <c r="M171" s="2493">
        <f>C171*(BC157+BD157+BE157+BF157)*E171*G171*365</f>
        <v>32795.402302800147</v>
      </c>
      <c r="N171" s="2153"/>
      <c r="O171" s="2493">
        <f t="shared" si="66"/>
        <v>8791.8216971998554</v>
      </c>
      <c r="P171" s="2153"/>
      <c r="Q171" s="62" t="s">
        <v>1238</v>
      </c>
      <c r="R171" s="2493"/>
      <c r="S171" s="65">
        <f t="shared" si="67"/>
        <v>0.32795402302800153</v>
      </c>
      <c r="T171" s="2493"/>
      <c r="U171" s="2515">
        <f t="shared" si="68"/>
        <v>0.17583643394399712</v>
      </c>
      <c r="V171" s="1861"/>
      <c r="W171" s="2618"/>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row>
    <row r="172" spans="1:81" ht="15.75" customHeight="1">
      <c r="A172" s="6"/>
      <c r="B172" s="2508" t="s">
        <v>1859</v>
      </c>
      <c r="C172" s="2337">
        <v>4</v>
      </c>
      <c r="D172" s="62"/>
      <c r="E172" s="2153">
        <v>90.75</v>
      </c>
      <c r="F172" s="2153"/>
      <c r="G172" s="2153">
        <v>0.42</v>
      </c>
      <c r="H172" s="2153"/>
      <c r="I172" s="2144">
        <f t="shared" si="64"/>
        <v>55647.9</v>
      </c>
      <c r="J172" s="62"/>
      <c r="K172" s="2144">
        <f t="shared" si="65"/>
        <v>0.11129580000000001</v>
      </c>
      <c r="L172" s="2153"/>
      <c r="M172" s="2493">
        <f>C172*(BC157+BD157+BE157+BF157)*E172*G172*365</f>
        <v>43883.555868167401</v>
      </c>
      <c r="N172" s="2153"/>
      <c r="O172" s="2493">
        <f t="shared" si="66"/>
        <v>11764.3441318326</v>
      </c>
      <c r="P172" s="2153"/>
      <c r="Q172" s="62" t="s">
        <v>1238</v>
      </c>
      <c r="R172" s="2493"/>
      <c r="S172" s="65">
        <f t="shared" si="67"/>
        <v>0.43883555868167406</v>
      </c>
      <c r="T172" s="2493"/>
      <c r="U172" s="2515">
        <f t="shared" si="68"/>
        <v>0.23528688263665201</v>
      </c>
      <c r="V172" s="1861"/>
      <c r="W172" s="2618"/>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row>
    <row r="173" spans="1:81" ht="15.75" customHeight="1">
      <c r="A173" s="6"/>
      <c r="B173" s="2600" t="s">
        <v>1814</v>
      </c>
      <c r="C173" s="2601"/>
      <c r="D173" s="2602"/>
      <c r="E173" s="2568"/>
      <c r="F173" s="2568"/>
      <c r="G173" s="2568"/>
      <c r="H173" s="2568"/>
      <c r="I173" s="2603"/>
      <c r="J173" s="2602"/>
      <c r="K173" s="2603"/>
      <c r="L173" s="2568"/>
      <c r="M173" s="2568"/>
      <c r="N173" s="2568"/>
      <c r="O173" s="2568"/>
      <c r="P173" s="2568"/>
      <c r="Q173" s="2568"/>
      <c r="R173" s="2604"/>
      <c r="S173" s="2605"/>
      <c r="T173" s="2568"/>
      <c r="U173" s="2568"/>
      <c r="V173" s="1861"/>
      <c r="W173" s="2478"/>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row>
    <row r="174" spans="1:81" ht="15.75" customHeight="1">
      <c r="A174" s="6"/>
      <c r="B174" s="2508" t="s">
        <v>1860</v>
      </c>
      <c r="C174" s="2621"/>
      <c r="D174" s="62"/>
      <c r="E174" s="2153"/>
      <c r="F174" s="2153"/>
      <c r="G174" s="2153"/>
      <c r="H174" s="2153"/>
      <c r="I174" s="2144"/>
      <c r="J174" s="62"/>
      <c r="K174" s="2144"/>
      <c r="L174" s="2153"/>
      <c r="M174" s="2153"/>
      <c r="N174" s="2153"/>
      <c r="O174" s="2153"/>
      <c r="P174" s="2153"/>
      <c r="Q174" s="2153"/>
      <c r="R174" s="2493"/>
      <c r="S174" s="65"/>
      <c r="T174" s="2153"/>
      <c r="U174" s="2154"/>
      <c r="V174" s="2620"/>
      <c r="W174" s="2618"/>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row>
    <row r="175" spans="1:81" ht="15.75" customHeight="1">
      <c r="A175" s="6"/>
      <c r="B175" s="2508" t="s">
        <v>1861</v>
      </c>
      <c r="C175" s="2337">
        <v>2292</v>
      </c>
      <c r="D175" s="62"/>
      <c r="E175" s="2153">
        <v>1.8</v>
      </c>
      <c r="F175" s="2153"/>
      <c r="G175" s="2153">
        <v>0.83</v>
      </c>
      <c r="H175" s="2153"/>
      <c r="I175" s="2144">
        <f t="shared" ref="I175:I179" si="69">C175*E175*G175*365</f>
        <v>1249850.52</v>
      </c>
      <c r="J175" s="62"/>
      <c r="K175" s="2144">
        <f t="shared" ref="K175:K179" si="70">(I175*0.2*0.01)/1000</f>
        <v>2.4997010400000006</v>
      </c>
      <c r="L175" s="2153"/>
      <c r="M175" s="2493">
        <f t="shared" ref="M175:M179" si="71">C175*(BI$157+BJ$157+BK$157+BL$157)*E175*G175*365</f>
        <v>1249850.52</v>
      </c>
      <c r="N175" s="2153"/>
      <c r="O175" s="62" t="s">
        <v>1238</v>
      </c>
      <c r="P175" s="2153"/>
      <c r="Q175" s="62" t="s">
        <v>1238</v>
      </c>
      <c r="R175" s="2493"/>
      <c r="S175" s="65">
        <f t="shared" ref="S175:S176" si="72">((M175)*(1-0.042)*(1-0.2)*0.0125)/1000</f>
        <v>11.9735679816</v>
      </c>
      <c r="T175" s="2493"/>
      <c r="U175" s="2521" t="s">
        <v>1238</v>
      </c>
      <c r="V175" s="2620"/>
      <c r="W175" s="2618"/>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row>
    <row r="176" spans="1:81" ht="15.75" customHeight="1">
      <c r="A176" s="6"/>
      <c r="B176" s="2508" t="s">
        <v>1862</v>
      </c>
      <c r="C176" s="2337">
        <v>184</v>
      </c>
      <c r="D176" s="62"/>
      <c r="E176" s="2153">
        <v>1.8</v>
      </c>
      <c r="F176" s="2153"/>
      <c r="G176" s="2153">
        <v>0.62</v>
      </c>
      <c r="H176" s="2153"/>
      <c r="I176" s="2144">
        <f t="shared" si="69"/>
        <v>74950.559999999998</v>
      </c>
      <c r="J176" s="62"/>
      <c r="K176" s="2144">
        <f t="shared" si="70"/>
        <v>0.14990112000000003</v>
      </c>
      <c r="L176" s="2153"/>
      <c r="M176" s="2493">
        <f t="shared" si="71"/>
        <v>74950.559999999998</v>
      </c>
      <c r="N176" s="2153"/>
      <c r="O176" s="62" t="s">
        <v>1238</v>
      </c>
      <c r="P176" s="2153"/>
      <c r="Q176" s="62" t="s">
        <v>1238</v>
      </c>
      <c r="R176" s="2493"/>
      <c r="S176" s="65">
        <f t="shared" si="72"/>
        <v>0.71802636480000004</v>
      </c>
      <c r="T176" s="2493"/>
      <c r="U176" s="2521" t="s">
        <v>1238</v>
      </c>
      <c r="V176" s="2620"/>
      <c r="W176" s="2618"/>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row>
    <row r="177" spans="1:81" ht="15.75" customHeight="1">
      <c r="A177" s="6"/>
      <c r="B177" s="2508" t="s">
        <v>1863</v>
      </c>
      <c r="C177" s="2337">
        <v>12</v>
      </c>
      <c r="D177" s="62"/>
      <c r="E177" s="2153">
        <v>1.8</v>
      </c>
      <c r="F177" s="2153"/>
      <c r="G177" s="2153">
        <v>0.83</v>
      </c>
      <c r="H177" s="2153"/>
      <c r="I177" s="2144">
        <f t="shared" si="69"/>
        <v>6543.72</v>
      </c>
      <c r="J177" s="62"/>
      <c r="K177" s="2144">
        <f t="shared" si="70"/>
        <v>1.3087440000000001E-2</v>
      </c>
      <c r="L177" s="2153"/>
      <c r="M177" s="2493">
        <f t="shared" si="71"/>
        <v>6543.72</v>
      </c>
      <c r="N177" s="2153"/>
      <c r="O177" s="62" t="s">
        <v>1238</v>
      </c>
      <c r="P177" s="2153"/>
      <c r="Q177" s="62" t="s">
        <v>1238</v>
      </c>
      <c r="R177" s="2493"/>
      <c r="S177" s="65">
        <f t="shared" ref="S177:S179" si="73">(((M177)*(0.958)*(1-0.2)*0.0125))/1000</f>
        <v>6.2688837600000005E-2</v>
      </c>
      <c r="T177" s="2493"/>
      <c r="U177" s="2521" t="s">
        <v>1238</v>
      </c>
      <c r="V177" s="2620"/>
      <c r="W177" s="2618"/>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row>
    <row r="178" spans="1:81" ht="15.75" customHeight="1">
      <c r="A178" s="6"/>
      <c r="B178" s="2508" t="s">
        <v>1864</v>
      </c>
      <c r="C178" s="2337">
        <v>53072.7</v>
      </c>
      <c r="D178" s="62"/>
      <c r="E178" s="2153">
        <v>0.9</v>
      </c>
      <c r="F178" s="2153"/>
      <c r="G178" s="2153">
        <v>1.1000000000000001</v>
      </c>
      <c r="H178" s="2153"/>
      <c r="I178" s="2144">
        <f t="shared" si="69"/>
        <v>19177820.145000003</v>
      </c>
      <c r="J178" s="62"/>
      <c r="K178" s="2144">
        <f t="shared" si="70"/>
        <v>38.355640290000011</v>
      </c>
      <c r="L178" s="2153"/>
      <c r="M178" s="2493">
        <f t="shared" si="71"/>
        <v>19177820.145000003</v>
      </c>
      <c r="N178" s="2153"/>
      <c r="O178" s="62" t="s">
        <v>1238</v>
      </c>
      <c r="P178" s="2153"/>
      <c r="Q178" s="62" t="s">
        <v>1238</v>
      </c>
      <c r="R178" s="2493"/>
      <c r="S178" s="65">
        <f t="shared" si="73"/>
        <v>183.72351698910003</v>
      </c>
      <c r="T178" s="2493"/>
      <c r="U178" s="2521" t="s">
        <v>1238</v>
      </c>
      <c r="V178" s="1861"/>
      <c r="W178" s="2618"/>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row>
    <row r="179" spans="1:81" ht="15.75" customHeight="1">
      <c r="A179" s="6"/>
      <c r="B179" s="2508" t="s">
        <v>1865</v>
      </c>
      <c r="C179" s="2337">
        <v>704</v>
      </c>
      <c r="D179" s="62"/>
      <c r="E179" s="2153">
        <v>6.8</v>
      </c>
      <c r="F179" s="2153"/>
      <c r="G179" s="2153">
        <v>0.74</v>
      </c>
      <c r="H179" s="2153"/>
      <c r="I179" s="2144">
        <f t="shared" si="69"/>
        <v>1293022.72</v>
      </c>
      <c r="J179" s="62"/>
      <c r="K179" s="2144">
        <f t="shared" si="70"/>
        <v>2.5860454399999999</v>
      </c>
      <c r="L179" s="2153"/>
      <c r="M179" s="2493">
        <f t="shared" si="71"/>
        <v>1293022.72</v>
      </c>
      <c r="N179" s="2153"/>
      <c r="O179" s="2144">
        <f>C179*(BS157)*E179*G179*365</f>
        <v>129302.27200000001</v>
      </c>
      <c r="P179" s="2153"/>
      <c r="Q179" s="62" t="s">
        <v>1238</v>
      </c>
      <c r="R179" s="2493"/>
      <c r="S179" s="2493">
        <f t="shared" si="73"/>
        <v>12.387157657600001</v>
      </c>
      <c r="T179" s="2493"/>
      <c r="U179" s="2515">
        <f>(O179*0.02)/1000</f>
        <v>2.5860454400000004</v>
      </c>
      <c r="V179" s="1861"/>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row>
    <row r="180" spans="1:81" ht="15.75" customHeight="1">
      <c r="A180" s="6"/>
      <c r="B180" s="2600" t="s">
        <v>719</v>
      </c>
      <c r="C180" s="2621"/>
      <c r="D180" s="62"/>
      <c r="E180" s="2153"/>
      <c r="F180" s="2153"/>
      <c r="G180" s="2153"/>
      <c r="H180" s="2153"/>
      <c r="I180" s="2144"/>
      <c r="J180" s="62"/>
      <c r="K180" s="2144"/>
      <c r="L180" s="2153"/>
      <c r="M180" s="2153"/>
      <c r="N180" s="2153"/>
      <c r="O180" s="2153"/>
      <c r="P180" s="2153"/>
      <c r="Q180" s="2153"/>
      <c r="R180" s="2493"/>
      <c r="S180" s="2153"/>
      <c r="T180" s="2153"/>
      <c r="U180" s="2154"/>
      <c r="V180" s="1861"/>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row>
    <row r="181" spans="1:81" ht="15.75" customHeight="1">
      <c r="A181" s="6"/>
      <c r="B181" s="2508" t="s">
        <v>1866</v>
      </c>
      <c r="C181" s="2337">
        <v>0</v>
      </c>
      <c r="D181" s="62"/>
      <c r="E181" s="2153">
        <v>25</v>
      </c>
      <c r="F181" s="2153"/>
      <c r="G181" s="2153">
        <v>0.42</v>
      </c>
      <c r="H181" s="2153"/>
      <c r="I181" s="2144">
        <f t="shared" ref="I181:I184" si="74">C181*E181*G181*365</f>
        <v>0</v>
      </c>
      <c r="J181" s="62"/>
      <c r="K181" s="2144">
        <f t="shared" ref="K181:K184" si="75">(I181*0.2*0.01)/1000</f>
        <v>0</v>
      </c>
      <c r="L181" s="62"/>
      <c r="M181" s="2493">
        <f>C181*(1-BV157)*E181*G181*365</f>
        <v>0</v>
      </c>
      <c r="N181" s="62"/>
      <c r="O181" s="2144">
        <f>C181*(BV157)*E181*G181*365</f>
        <v>0</v>
      </c>
      <c r="P181" s="62"/>
      <c r="Q181" s="62" t="s">
        <v>1238</v>
      </c>
      <c r="R181" s="2493"/>
      <c r="S181" s="2493">
        <f t="shared" ref="S181:S182" si="76">((M181)*(1-0.2)*0.0125)/1000</f>
        <v>0</v>
      </c>
      <c r="T181" s="2493"/>
      <c r="U181" s="2515">
        <f t="shared" ref="U181:U184" si="77">(O181*0.02)/1000</f>
        <v>0</v>
      </c>
      <c r="V181" s="1861"/>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row>
    <row r="182" spans="1:81" ht="15.75" customHeight="1">
      <c r="A182" s="6"/>
      <c r="B182" s="2508" t="s">
        <v>1867</v>
      </c>
      <c r="C182" s="2295">
        <v>24</v>
      </c>
      <c r="D182" s="62"/>
      <c r="E182" s="2153">
        <v>80</v>
      </c>
      <c r="F182" s="2153"/>
      <c r="G182" s="2153">
        <v>0.42</v>
      </c>
      <c r="H182" s="2153"/>
      <c r="I182" s="2144">
        <f t="shared" si="74"/>
        <v>294336</v>
      </c>
      <c r="J182" s="62"/>
      <c r="K182" s="2144">
        <f t="shared" si="75"/>
        <v>0.58867199999999997</v>
      </c>
      <c r="L182" s="62"/>
      <c r="M182" s="2493">
        <f>C182*(1-BW157)*E182*G182*365</f>
        <v>0</v>
      </c>
      <c r="N182" s="62"/>
      <c r="O182" s="2144">
        <f>C182*(BW157)*E182*G182*365</f>
        <v>294336</v>
      </c>
      <c r="P182" s="62"/>
      <c r="Q182" s="62" t="s">
        <v>1238</v>
      </c>
      <c r="R182" s="2493"/>
      <c r="S182" s="2493">
        <f t="shared" si="76"/>
        <v>0</v>
      </c>
      <c r="T182" s="2493"/>
      <c r="U182" s="2515">
        <f t="shared" si="77"/>
        <v>5.8867200000000004</v>
      </c>
      <c r="V182" s="1861"/>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row>
    <row r="183" spans="1:81" ht="15.75" customHeight="1">
      <c r="A183" s="6"/>
      <c r="B183" s="2508" t="s">
        <v>1838</v>
      </c>
      <c r="C183" s="2337">
        <v>12</v>
      </c>
      <c r="D183" s="62"/>
      <c r="E183" s="2153">
        <v>64</v>
      </c>
      <c r="F183" s="2153"/>
      <c r="G183" s="2153">
        <v>0.45</v>
      </c>
      <c r="H183" s="2153"/>
      <c r="I183" s="2144">
        <f t="shared" si="74"/>
        <v>126144.00000000001</v>
      </c>
      <c r="J183" s="62"/>
      <c r="K183" s="2144">
        <f t="shared" si="75"/>
        <v>0.25228800000000001</v>
      </c>
      <c r="L183" s="62"/>
      <c r="M183" s="2144" t="s">
        <v>1238</v>
      </c>
      <c r="N183" s="62"/>
      <c r="O183" s="2144">
        <f>C183*(BZ157)*E183*G183*365</f>
        <v>126144.00000000001</v>
      </c>
      <c r="P183" s="62"/>
      <c r="Q183" s="62" t="s">
        <v>1238</v>
      </c>
      <c r="R183" s="2493"/>
      <c r="S183" s="2144" t="s">
        <v>1238</v>
      </c>
      <c r="T183" s="2493"/>
      <c r="U183" s="2515">
        <f t="shared" si="77"/>
        <v>2.5228800000000007</v>
      </c>
      <c r="V183" s="1861"/>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row>
    <row r="184" spans="1:81" ht="15.75" customHeight="1">
      <c r="A184" s="6"/>
      <c r="B184" s="2508" t="s">
        <v>1840</v>
      </c>
      <c r="C184" s="2295">
        <v>79.099999999999994</v>
      </c>
      <c r="D184" s="62"/>
      <c r="E184" s="2153">
        <v>450</v>
      </c>
      <c r="F184" s="2153"/>
      <c r="G184" s="2153">
        <v>0.3</v>
      </c>
      <c r="H184" s="2153"/>
      <c r="I184" s="2144">
        <f t="shared" si="74"/>
        <v>3897652.5</v>
      </c>
      <c r="J184" s="62"/>
      <c r="K184" s="2144">
        <f t="shared" si="75"/>
        <v>7.7953049999999999</v>
      </c>
      <c r="L184" s="62"/>
      <c r="M184" s="2144" t="s">
        <v>1238</v>
      </c>
      <c r="N184" s="62"/>
      <c r="O184" s="2144">
        <f>C184*CC157*E184*G184*365</f>
        <v>3897652.5</v>
      </c>
      <c r="P184" s="62"/>
      <c r="Q184" s="62" t="s">
        <v>1238</v>
      </c>
      <c r="R184" s="2493"/>
      <c r="S184" s="2144" t="s">
        <v>1238</v>
      </c>
      <c r="T184" s="2493"/>
      <c r="U184" s="2515">
        <f t="shared" si="77"/>
        <v>77.953050000000005</v>
      </c>
      <c r="V184" s="1861"/>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row>
    <row r="185" spans="1:81" ht="15.75" customHeight="1">
      <c r="A185" s="6"/>
      <c r="B185" s="2465" t="s">
        <v>1841</v>
      </c>
      <c r="C185" s="2622"/>
      <c r="D185" s="2623"/>
      <c r="E185" s="2467"/>
      <c r="F185" s="2467"/>
      <c r="G185" s="2467"/>
      <c r="H185" s="2467"/>
      <c r="I185" s="2624">
        <f>SUM(I157:I184)</f>
        <v>38991101.859000005</v>
      </c>
      <c r="J185" s="2623"/>
      <c r="K185" s="2624">
        <f>SUM(K157:K184)</f>
        <v>77.982203718000008</v>
      </c>
      <c r="L185" s="2467"/>
      <c r="M185" s="2624">
        <f>SUM(M157:M184)</f>
        <v>26061471.481390499</v>
      </c>
      <c r="N185" s="2623"/>
      <c r="O185" s="2624">
        <f>SUM(O157:O184)</f>
        <v>9820868.2820491008</v>
      </c>
      <c r="P185" s="2467"/>
      <c r="Q185" s="2624">
        <f>SUM(Q157:Q184)</f>
        <v>3238064.3675603988</v>
      </c>
      <c r="R185" s="2623"/>
      <c r="S185" s="2625">
        <f>SUM(S157:S184)</f>
        <v>283.83843967020903</v>
      </c>
      <c r="T185" s="2624"/>
      <c r="U185" s="2626">
        <f>SUM(U157:U184)</f>
        <v>196.41736564098204</v>
      </c>
      <c r="V185" s="2627"/>
      <c r="W185" s="6"/>
      <c r="X185" s="6"/>
      <c r="Y185" s="181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row>
    <row r="186" spans="1:81" ht="15.75" customHeight="1">
      <c r="A186" s="6"/>
      <c r="B186" s="2628"/>
      <c r="C186" s="2629"/>
      <c r="D186" s="2630"/>
      <c r="E186" s="2631"/>
      <c r="F186" s="2630"/>
      <c r="G186" s="2631"/>
      <c r="H186" s="2611"/>
      <c r="I186" s="2611"/>
      <c r="J186" s="2611"/>
      <c r="K186" s="2611"/>
      <c r="L186" s="2611"/>
      <c r="M186" s="2611"/>
      <c r="N186" s="2632"/>
      <c r="O186" s="6"/>
      <c r="P186" s="6"/>
      <c r="Q186" s="6"/>
      <c r="R186" s="6"/>
      <c r="S186" s="6"/>
      <c r="T186" s="6"/>
      <c r="U186" s="6"/>
      <c r="V186" s="1857"/>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row>
    <row r="187" spans="1:81" ht="15.75" customHeight="1">
      <c r="A187" s="6"/>
      <c r="B187" s="2633" t="s">
        <v>1994</v>
      </c>
      <c r="C187" s="2634"/>
      <c r="D187" s="2635"/>
      <c r="E187" s="2635"/>
      <c r="F187" s="2635"/>
      <c r="G187" s="2635"/>
      <c r="H187" s="2635"/>
      <c r="I187" s="2635"/>
      <c r="J187" s="2635"/>
      <c r="K187" s="2635"/>
      <c r="L187" s="2635"/>
      <c r="M187" s="2635"/>
      <c r="N187" s="2635"/>
      <c r="O187" s="2636"/>
      <c r="P187" s="2635"/>
      <c r="Q187" s="2637"/>
      <c r="R187" s="2638"/>
      <c r="S187" s="2639"/>
      <c r="T187" s="1865"/>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row>
    <row r="188" spans="1:81" ht="15.75" customHeight="1">
      <c r="A188" s="6"/>
      <c r="B188" s="2134"/>
      <c r="C188" s="2640"/>
      <c r="D188" s="2641"/>
      <c r="E188" s="2097"/>
      <c r="F188" s="2096"/>
      <c r="G188" s="2642" t="s">
        <v>1995</v>
      </c>
      <c r="H188" s="2643"/>
      <c r="I188" s="2642" t="s">
        <v>1996</v>
      </c>
      <c r="J188" s="2643"/>
      <c r="K188" s="2642" t="s">
        <v>1997</v>
      </c>
      <c r="L188" s="2643"/>
      <c r="M188" s="2643"/>
      <c r="N188" s="2644"/>
      <c r="O188" s="2645" t="s">
        <v>1998</v>
      </c>
      <c r="P188" s="2646"/>
      <c r="Q188" s="2647" t="s">
        <v>1999</v>
      </c>
      <c r="R188" s="2648"/>
      <c r="S188" s="2649" t="s">
        <v>2000</v>
      </c>
      <c r="T188" s="1865"/>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row>
    <row r="189" spans="1:81" ht="15.75" customHeight="1">
      <c r="A189" s="6"/>
      <c r="B189" s="2491"/>
      <c r="C189" s="2892" t="s">
        <v>2001</v>
      </c>
      <c r="D189" s="2877"/>
      <c r="E189" s="2880"/>
      <c r="F189" s="2650"/>
      <c r="G189" s="2651">
        <f>K185*44/28</f>
        <v>122.54346298542859</v>
      </c>
      <c r="H189" s="2652"/>
      <c r="I189" s="2653">
        <f>G189*$Z$8*12/44*10^-6</f>
        <v>8.8565502794014303E-3</v>
      </c>
      <c r="J189" s="2652"/>
      <c r="K189" s="2653">
        <f t="shared" ref="K189:K192" si="78">I189/(12/44)</f>
        <v>3.2474017691138578E-2</v>
      </c>
      <c r="L189" s="2153"/>
      <c r="M189" s="2654"/>
      <c r="N189" s="2655" t="s">
        <v>2002</v>
      </c>
      <c r="O189" s="2656">
        <f>W164*44/28</f>
        <v>223.96821727146431</v>
      </c>
      <c r="P189" s="2654"/>
      <c r="Q189" s="2657">
        <f>O189*$Z$8*12/44*10^-6</f>
        <v>1.6186793884619466E-2</v>
      </c>
      <c r="R189" s="2654"/>
      <c r="S189" s="2658">
        <f t="shared" ref="S189:S191" si="79">Q189/(12/44)</f>
        <v>5.9351577576938049E-2</v>
      </c>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row>
    <row r="190" spans="1:81" ht="15.75" customHeight="1">
      <c r="A190" s="6"/>
      <c r="B190" s="2608"/>
      <c r="C190" s="2225"/>
      <c r="D190" s="2225"/>
      <c r="E190" s="2269" t="s">
        <v>2003</v>
      </c>
      <c r="F190" s="62"/>
      <c r="G190" s="2144">
        <f>(U185+S185)*44/28</f>
        <v>754.68769406044316</v>
      </c>
      <c r="H190" s="2153"/>
      <c r="I190" s="2499">
        <f>G190*$Z$8*12/44*10^-6</f>
        <v>5.4543337888913836E-2</v>
      </c>
      <c r="J190" s="2153"/>
      <c r="K190" s="2659">
        <f t="shared" si="78"/>
        <v>0.19999223892601742</v>
      </c>
      <c r="L190" s="2153"/>
      <c r="M190" s="2153"/>
      <c r="N190" s="2660" t="s">
        <v>2004</v>
      </c>
      <c r="O190" s="2661">
        <f>SUM(W159)*0.0075*44/28</f>
        <v>86.106821412857144</v>
      </c>
      <c r="P190" s="2153"/>
      <c r="Q190" s="2603">
        <f>O190*$Z$8*12/44*10^-6</f>
        <v>6.2231748202928568E-3</v>
      </c>
      <c r="R190" s="2153"/>
      <c r="S190" s="2662">
        <f t="shared" si="79"/>
        <v>2.2818307674407144E-2</v>
      </c>
      <c r="T190" s="1865"/>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row>
    <row r="191" spans="1:81" ht="15.75" customHeight="1">
      <c r="A191" s="6"/>
      <c r="B191" s="2608"/>
      <c r="C191" s="2225"/>
      <c r="D191" s="2225"/>
      <c r="E191" s="2269" t="s">
        <v>2005</v>
      </c>
      <c r="F191" s="62"/>
      <c r="G191" s="2144">
        <f>U185*44/28</f>
        <v>308.65586029297179</v>
      </c>
      <c r="H191" s="2153"/>
      <c r="I191" s="2499">
        <f>G191*$Z$8*12/44*10^-6</f>
        <v>2.2307400812082958E-2</v>
      </c>
      <c r="J191" s="2153"/>
      <c r="K191" s="2659">
        <f t="shared" si="78"/>
        <v>8.1793802977637525E-2</v>
      </c>
      <c r="L191" s="2153"/>
      <c r="M191" s="2153"/>
      <c r="N191" s="2660" t="s">
        <v>2006</v>
      </c>
      <c r="O191" s="2661">
        <f>SUM(W162)*0.0075*44/28</f>
        <v>137.86139585860715</v>
      </c>
      <c r="P191" s="2153"/>
      <c r="Q191" s="2603">
        <f>O191*$Z$8*12/44*10^-6</f>
        <v>9.9636190643266082E-3</v>
      </c>
      <c r="R191" s="2153"/>
      <c r="S191" s="2662">
        <f t="shared" si="79"/>
        <v>3.6533269902530897E-2</v>
      </c>
      <c r="T191" s="1865"/>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row>
    <row r="192" spans="1:81" ht="15.75" customHeight="1">
      <c r="A192" s="6"/>
      <c r="B192" s="2491"/>
      <c r="C192" s="2892" t="s">
        <v>2007</v>
      </c>
      <c r="D192" s="2877"/>
      <c r="E192" s="2880"/>
      <c r="F192" s="2663"/>
      <c r="G192" s="2651">
        <f>SUM(G190:G191)</f>
        <v>1063.3435543534149</v>
      </c>
      <c r="H192" s="2654"/>
      <c r="I192" s="2653">
        <f>G192*$Z$8*12/44*10^-6</f>
        <v>7.685073870099679E-2</v>
      </c>
      <c r="J192" s="2663"/>
      <c r="K192" s="2653">
        <f t="shared" si="78"/>
        <v>0.28178604190365492</v>
      </c>
      <c r="L192" s="2153"/>
      <c r="M192" s="62"/>
      <c r="N192" s="2153"/>
      <c r="O192" s="2568"/>
      <c r="P192" s="62"/>
      <c r="Q192" s="2602"/>
      <c r="R192" s="2153"/>
      <c r="S192" s="2569"/>
      <c r="T192" s="1865"/>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row>
    <row r="193" spans="1:81" ht="15.75" customHeight="1">
      <c r="A193" s="6"/>
      <c r="B193" s="2664"/>
      <c r="C193" s="2665"/>
      <c r="D193" s="2665"/>
      <c r="E193" s="2665"/>
      <c r="F193" s="2129"/>
      <c r="G193" s="2666"/>
      <c r="H193" s="2164"/>
      <c r="I193" s="2667"/>
      <c r="J193" s="2129"/>
      <c r="K193" s="2667"/>
      <c r="L193" s="2164"/>
      <c r="M193" s="2129"/>
      <c r="N193" s="2164"/>
      <c r="O193" s="108"/>
      <c r="P193" s="2668"/>
      <c r="Q193" s="2669"/>
      <c r="R193" s="2615"/>
      <c r="S193" s="1871"/>
      <c r="T193" s="1865"/>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row>
    <row r="194" spans="1:81" ht="15.75" customHeight="1">
      <c r="A194" s="6"/>
      <c r="B194" s="2670"/>
      <c r="C194" s="2671"/>
      <c r="D194" s="2671"/>
      <c r="E194" s="2671"/>
      <c r="F194" s="2479"/>
      <c r="G194" s="2672"/>
      <c r="H194" s="6"/>
      <c r="I194" s="2673"/>
      <c r="J194" s="2479"/>
      <c r="K194" s="2673"/>
      <c r="L194" s="6"/>
      <c r="M194" s="2479"/>
      <c r="N194" s="6"/>
      <c r="O194" s="6"/>
      <c r="P194" s="2479"/>
      <c r="Q194" s="2479"/>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row>
    <row r="195" spans="1:81" ht="15.75" customHeight="1">
      <c r="A195" s="1"/>
      <c r="B195" s="2310"/>
      <c r="C195" s="2311"/>
      <c r="D195" s="2312"/>
      <c r="E195" s="2312"/>
      <c r="F195" s="2312"/>
      <c r="G195" s="2313"/>
      <c r="H195" s="298"/>
      <c r="I195" s="2308"/>
      <c r="J195" s="298"/>
      <c r="K195" s="2309"/>
      <c r="L195" s="1"/>
      <c r="M195" s="2309"/>
      <c r="N195" s="1"/>
      <c r="O195" s="1"/>
      <c r="P195" s="1"/>
      <c r="Q195" s="1"/>
      <c r="R195" s="1"/>
      <c r="S195" s="1"/>
      <c r="T195" s="1"/>
      <c r="U195" s="1"/>
    </row>
    <row r="196" spans="1:81" ht="15.75" customHeight="1">
      <c r="A196" s="1"/>
      <c r="B196" s="2674" t="s">
        <v>2008</v>
      </c>
      <c r="C196" s="2317"/>
      <c r="D196" s="2318"/>
      <c r="E196" s="2318"/>
      <c r="F196" s="2318"/>
      <c r="G196" s="2319"/>
      <c r="H196" s="2320"/>
      <c r="I196" s="2321"/>
      <c r="J196" s="2320"/>
      <c r="K196" s="2322"/>
      <c r="L196" s="2279"/>
      <c r="M196" s="2322"/>
      <c r="N196" s="2279"/>
      <c r="O196" s="2279"/>
      <c r="P196" s="2279"/>
      <c r="Q196" s="2279"/>
      <c r="R196" s="2279"/>
      <c r="S196" s="2279"/>
      <c r="T196" s="2279"/>
      <c r="U196" s="2279"/>
      <c r="V196" s="2279"/>
      <c r="W196" s="2279"/>
      <c r="X196" s="2279"/>
      <c r="Y196" s="2279"/>
      <c r="Z196" s="2279"/>
      <c r="AA196" s="2279"/>
      <c r="AB196" s="2279"/>
      <c r="AC196" s="2675"/>
      <c r="AD196" s="321"/>
      <c r="AH196" s="2230" t="s">
        <v>1950</v>
      </c>
    </row>
    <row r="197" spans="1:81" ht="15.75" customHeight="1">
      <c r="A197" s="2676"/>
      <c r="B197" s="2677" t="s">
        <v>2009</v>
      </c>
      <c r="C197" s="2678" t="s">
        <v>185</v>
      </c>
      <c r="D197" s="2502"/>
      <c r="E197" s="2679" t="s">
        <v>2010</v>
      </c>
      <c r="F197" s="2679"/>
      <c r="G197" s="2679" t="s">
        <v>2011</v>
      </c>
      <c r="H197" s="2502"/>
      <c r="I197" s="2679" t="s">
        <v>2012</v>
      </c>
      <c r="J197" s="2679"/>
      <c r="K197" s="2679" t="s">
        <v>2013</v>
      </c>
      <c r="L197" s="2680"/>
      <c r="M197" s="2679" t="s">
        <v>2014</v>
      </c>
      <c r="N197" s="2680"/>
      <c r="O197" s="2679" t="s">
        <v>2015</v>
      </c>
      <c r="P197" s="2680"/>
      <c r="Q197" s="2679" t="s">
        <v>2016</v>
      </c>
      <c r="R197" s="2502"/>
      <c r="S197" s="2679" t="s">
        <v>2017</v>
      </c>
      <c r="T197" s="2502"/>
      <c r="U197" s="2681" t="s">
        <v>2018</v>
      </c>
      <c r="V197" s="2502"/>
      <c r="W197" s="2681" t="s">
        <v>2019</v>
      </c>
      <c r="X197" s="2502"/>
      <c r="Y197" s="2679" t="s">
        <v>2020</v>
      </c>
      <c r="Z197" s="2502"/>
      <c r="AA197" s="2679" t="s">
        <v>2021</v>
      </c>
      <c r="AB197" s="2680"/>
      <c r="AC197" s="2682" t="s">
        <v>2022</v>
      </c>
      <c r="AD197" s="186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row>
    <row r="198" spans="1:81" ht="15.75" customHeight="1">
      <c r="A198" s="2676"/>
      <c r="B198" s="2152"/>
      <c r="C198" s="2153"/>
      <c r="D198" s="2153"/>
      <c r="E198" s="62"/>
      <c r="F198" s="62"/>
      <c r="G198" s="2153"/>
      <c r="H198" s="2153"/>
      <c r="I198" s="2153"/>
      <c r="J198" s="2153"/>
      <c r="K198" s="2153"/>
      <c r="L198" s="2153"/>
      <c r="M198" s="2153"/>
      <c r="N198" s="2153"/>
      <c r="O198" s="2153"/>
      <c r="P198" s="2153"/>
      <c r="Q198" s="2153"/>
      <c r="R198" s="2153"/>
      <c r="S198" s="2153"/>
      <c r="T198" s="2153"/>
      <c r="U198" s="2493"/>
      <c r="V198" s="2153"/>
      <c r="W198" s="2493"/>
      <c r="X198" s="2153"/>
      <c r="Y198" s="2153"/>
      <c r="Z198" s="2153"/>
      <c r="AA198" s="2153"/>
      <c r="AB198" s="2153"/>
      <c r="AC198" s="2683"/>
      <c r="AD198" s="1865"/>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row>
    <row r="199" spans="1:81" ht="15.75" customHeight="1">
      <c r="A199" s="2676"/>
      <c r="B199" s="2508" t="s">
        <v>2023</v>
      </c>
      <c r="C199" s="2684" t="s">
        <v>1898</v>
      </c>
      <c r="D199" s="2153"/>
      <c r="E199" s="2685">
        <v>2880</v>
      </c>
      <c r="F199" s="62" t="s">
        <v>1105</v>
      </c>
      <c r="G199" s="62">
        <v>2.1772E-2</v>
      </c>
      <c r="H199" s="2153"/>
      <c r="I199" s="2144">
        <f t="shared" ref="I199:I200" si="80">E199*G199*1000</f>
        <v>62703.359999999993</v>
      </c>
      <c r="J199" s="62" t="s">
        <v>1141</v>
      </c>
      <c r="K199" s="2686">
        <v>1.2</v>
      </c>
      <c r="L199" s="62" t="s">
        <v>1141</v>
      </c>
      <c r="M199" s="2158">
        <v>0.03</v>
      </c>
      <c r="N199" s="62" t="s">
        <v>1141</v>
      </c>
      <c r="O199" s="62">
        <v>0.93</v>
      </c>
      <c r="P199" s="62" t="s">
        <v>1141</v>
      </c>
      <c r="Q199" s="2687">
        <v>0.93</v>
      </c>
      <c r="R199" s="62" t="s">
        <v>1141</v>
      </c>
      <c r="S199" s="2687">
        <v>0.88</v>
      </c>
      <c r="T199" s="62" t="s">
        <v>1105</v>
      </c>
      <c r="U199" s="2688">
        <v>0.44850000000000001</v>
      </c>
      <c r="V199" s="62" t="s">
        <v>1105</v>
      </c>
      <c r="W199" s="2144">
        <f t="shared" ref="W199:W207" si="81">I199*K199*M199*O199*Q199*S199*U199</f>
        <v>770.55622062262273</v>
      </c>
      <c r="X199" s="62" t="s">
        <v>1105</v>
      </c>
      <c r="Y199" s="2689">
        <f t="shared" ref="Y199:Y207" si="82">W199*0.005*(16/12)</f>
        <v>5.1370414708174845</v>
      </c>
      <c r="Z199" s="2690" t="s">
        <v>1105</v>
      </c>
      <c r="AA199" s="2691">
        <f t="shared" ref="AA199:AA207" si="83">Y199/(10^6)*$Z$7*12/44</f>
        <v>3.9228316686242603E-5</v>
      </c>
      <c r="AB199" s="2690" t="s">
        <v>1105</v>
      </c>
      <c r="AC199" s="2692">
        <f t="shared" ref="AC199:AC207" si="84">AA199/(12/44)</f>
        <v>1.4383716118288956E-4</v>
      </c>
      <c r="AD199" s="186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row>
    <row r="200" spans="1:81" ht="15.75" customHeight="1">
      <c r="A200" s="2676"/>
      <c r="B200" s="2508" t="s">
        <v>2024</v>
      </c>
      <c r="C200" s="2684" t="s">
        <v>1898</v>
      </c>
      <c r="D200" s="2153"/>
      <c r="E200" s="2685">
        <v>46870</v>
      </c>
      <c r="F200" s="62" t="s">
        <v>1105</v>
      </c>
      <c r="G200" s="62">
        <v>2.5401147108E-2</v>
      </c>
      <c r="H200" s="2153"/>
      <c r="I200" s="2144">
        <f t="shared" si="80"/>
        <v>1190551.76495196</v>
      </c>
      <c r="J200" s="62" t="s">
        <v>1141</v>
      </c>
      <c r="K200" s="2686">
        <v>1</v>
      </c>
      <c r="L200" s="62" t="s">
        <v>1141</v>
      </c>
      <c r="M200" s="2158">
        <v>0.03</v>
      </c>
      <c r="N200" s="62" t="s">
        <v>1141</v>
      </c>
      <c r="O200" s="62">
        <v>0.91</v>
      </c>
      <c r="P200" s="62" t="s">
        <v>1141</v>
      </c>
      <c r="Q200" s="2687">
        <v>0.93</v>
      </c>
      <c r="R200" s="62" t="s">
        <v>1141</v>
      </c>
      <c r="S200" s="2687">
        <v>0.88</v>
      </c>
      <c r="T200" s="62" t="s">
        <v>1105</v>
      </c>
      <c r="U200" s="2688">
        <v>0.44779999999999998</v>
      </c>
      <c r="V200" s="62" t="s">
        <v>1105</v>
      </c>
      <c r="W200" s="2144">
        <f t="shared" si="81"/>
        <v>11911.340514384598</v>
      </c>
      <c r="X200" s="62" t="s">
        <v>1105</v>
      </c>
      <c r="Y200" s="2689">
        <f t="shared" si="82"/>
        <v>79.408936762563982</v>
      </c>
      <c r="Z200" s="2690" t="s">
        <v>1105</v>
      </c>
      <c r="AA200" s="2691">
        <f t="shared" si="83"/>
        <v>6.0639551709594324E-4</v>
      </c>
      <c r="AB200" s="2690" t="s">
        <v>1105</v>
      </c>
      <c r="AC200" s="2692">
        <f t="shared" si="84"/>
        <v>2.223450229351792E-3</v>
      </c>
      <c r="AD200" s="1865"/>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row>
    <row r="201" spans="1:81" ht="15.75" customHeight="1">
      <c r="A201" s="2676"/>
      <c r="B201" s="2508" t="s">
        <v>1909</v>
      </c>
      <c r="C201" s="2684" t="s">
        <v>2025</v>
      </c>
      <c r="D201" s="2153"/>
      <c r="E201" s="2685">
        <v>0</v>
      </c>
      <c r="F201" s="62" t="s">
        <v>1105</v>
      </c>
      <c r="G201" s="62" t="s">
        <v>1238</v>
      </c>
      <c r="H201" s="2153"/>
      <c r="I201" s="2144">
        <f>(E201*1000/2000*0.9072)</f>
        <v>0</v>
      </c>
      <c r="J201" s="62" t="s">
        <v>1141</v>
      </c>
      <c r="K201" s="2686">
        <v>1</v>
      </c>
      <c r="L201" s="62" t="s">
        <v>1141</v>
      </c>
      <c r="M201" s="2158">
        <v>0.03</v>
      </c>
      <c r="N201" s="62" t="s">
        <v>1141</v>
      </c>
      <c r="O201" s="62">
        <v>0.86</v>
      </c>
      <c r="P201" s="62" t="s">
        <v>1141</v>
      </c>
      <c r="Q201" s="2687">
        <v>0.93</v>
      </c>
      <c r="R201" s="62" t="s">
        <v>1141</v>
      </c>
      <c r="S201" s="2687">
        <v>0.88</v>
      </c>
      <c r="T201" s="62" t="s">
        <v>1105</v>
      </c>
      <c r="U201" s="2688">
        <v>0.45</v>
      </c>
      <c r="V201" s="62" t="s">
        <v>1105</v>
      </c>
      <c r="W201" s="2144">
        <f t="shared" si="81"/>
        <v>0</v>
      </c>
      <c r="X201" s="62" t="s">
        <v>1105</v>
      </c>
      <c r="Y201" s="2689">
        <f t="shared" si="82"/>
        <v>0</v>
      </c>
      <c r="Z201" s="2690" t="s">
        <v>1105</v>
      </c>
      <c r="AA201" s="2691">
        <f t="shared" si="83"/>
        <v>0</v>
      </c>
      <c r="AB201" s="2690" t="s">
        <v>1105</v>
      </c>
      <c r="AC201" s="2692">
        <f t="shared" si="84"/>
        <v>0</v>
      </c>
      <c r="AD201" s="186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row>
    <row r="202" spans="1:81" ht="15.75" customHeight="1">
      <c r="A202" s="2676"/>
      <c r="B202" s="2508" t="s">
        <v>1906</v>
      </c>
      <c r="C202" s="2684" t="s">
        <v>2026</v>
      </c>
      <c r="D202" s="2153"/>
      <c r="E202" s="2685">
        <v>0</v>
      </c>
      <c r="F202" s="62" t="s">
        <v>1105</v>
      </c>
      <c r="G202" s="62" t="s">
        <v>1238</v>
      </c>
      <c r="H202" s="2153"/>
      <c r="I202" s="2144">
        <v>0</v>
      </c>
      <c r="J202" s="62" t="s">
        <v>1141</v>
      </c>
      <c r="K202" s="2686">
        <v>1.4</v>
      </c>
      <c r="L202" s="62" t="s">
        <v>1141</v>
      </c>
      <c r="M202" s="2158">
        <v>0</v>
      </c>
      <c r="N202" s="62" t="s">
        <v>1141</v>
      </c>
      <c r="O202" s="62">
        <v>0.91</v>
      </c>
      <c r="P202" s="62" t="s">
        <v>1141</v>
      </c>
      <c r="Q202" s="2687">
        <v>0.93</v>
      </c>
      <c r="R202" s="62" t="s">
        <v>1141</v>
      </c>
      <c r="S202" s="2687">
        <v>0.88</v>
      </c>
      <c r="T202" s="62" t="s">
        <v>1105</v>
      </c>
      <c r="U202" s="2688">
        <v>0.38059999999999999</v>
      </c>
      <c r="V202" s="62" t="s">
        <v>1105</v>
      </c>
      <c r="W202" s="2144">
        <f t="shared" si="81"/>
        <v>0</v>
      </c>
      <c r="X202" s="62" t="s">
        <v>1105</v>
      </c>
      <c r="Y202" s="2689">
        <f t="shared" si="82"/>
        <v>0</v>
      </c>
      <c r="Z202" s="2690" t="s">
        <v>1105</v>
      </c>
      <c r="AA202" s="2691">
        <f t="shared" si="83"/>
        <v>0</v>
      </c>
      <c r="AB202" s="2690" t="s">
        <v>1105</v>
      </c>
      <c r="AC202" s="2692">
        <f t="shared" si="84"/>
        <v>0</v>
      </c>
      <c r="AD202" s="1865"/>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row>
    <row r="203" spans="1:81" ht="15.75" customHeight="1">
      <c r="A203" s="2676"/>
      <c r="B203" s="2508" t="s">
        <v>2027</v>
      </c>
      <c r="C203" s="2684" t="s">
        <v>1898</v>
      </c>
      <c r="D203" s="2153"/>
      <c r="E203" s="2685">
        <v>17903</v>
      </c>
      <c r="F203" s="62" t="s">
        <v>1105</v>
      </c>
      <c r="G203" s="62">
        <v>2.7215692074999999E-2</v>
      </c>
      <c r="H203" s="2153"/>
      <c r="I203" s="2144">
        <f>E203*G203*1000</f>
        <v>487242.53521872498</v>
      </c>
      <c r="J203" s="62" t="s">
        <v>1141</v>
      </c>
      <c r="K203" s="2686">
        <v>2.1</v>
      </c>
      <c r="L203" s="62" t="s">
        <v>1141</v>
      </c>
      <c r="M203" s="2158">
        <v>0.03</v>
      </c>
      <c r="N203" s="62" t="s">
        <v>1141</v>
      </c>
      <c r="O203" s="62">
        <v>0.87</v>
      </c>
      <c r="P203" s="62" t="s">
        <v>1141</v>
      </c>
      <c r="Q203" s="2687">
        <v>0.93</v>
      </c>
      <c r="R203" s="62" t="s">
        <v>1141</v>
      </c>
      <c r="S203" s="2687">
        <v>0.88</v>
      </c>
      <c r="T203" s="62" t="s">
        <v>1105</v>
      </c>
      <c r="U203" s="2688">
        <v>0.45</v>
      </c>
      <c r="V203" s="62" t="s">
        <v>1105</v>
      </c>
      <c r="W203" s="2144">
        <f t="shared" si="81"/>
        <v>9835.1985285039955</v>
      </c>
      <c r="X203" s="62" t="s">
        <v>1105</v>
      </c>
      <c r="Y203" s="2689">
        <f t="shared" si="82"/>
        <v>65.567990190026634</v>
      </c>
      <c r="Z203" s="2690" t="s">
        <v>1105</v>
      </c>
      <c r="AA203" s="2691">
        <f t="shared" si="83"/>
        <v>5.0070101599656691E-4</v>
      </c>
      <c r="AB203" s="2690" t="s">
        <v>1105</v>
      </c>
      <c r="AC203" s="2692">
        <f t="shared" si="84"/>
        <v>1.8359037253207454E-3</v>
      </c>
      <c r="AD203" s="1865"/>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row>
    <row r="204" spans="1:81" ht="15.75" customHeight="1">
      <c r="A204" s="2676"/>
      <c r="B204" s="2508" t="s">
        <v>2028</v>
      </c>
      <c r="C204" s="2684" t="s">
        <v>1895</v>
      </c>
      <c r="D204" s="2153"/>
      <c r="E204" s="2685">
        <v>0</v>
      </c>
      <c r="F204" s="62" t="s">
        <v>1105</v>
      </c>
      <c r="G204" s="62" t="s">
        <v>1238</v>
      </c>
      <c r="H204" s="2153"/>
      <c r="I204" s="2144">
        <f>E204*0.9072*1000</f>
        <v>0</v>
      </c>
      <c r="J204" s="62" t="s">
        <v>1141</v>
      </c>
      <c r="K204" s="2686">
        <v>0.2</v>
      </c>
      <c r="L204" s="62" t="s">
        <v>1141</v>
      </c>
      <c r="M204" s="2158">
        <v>0.03</v>
      </c>
      <c r="N204" s="62" t="s">
        <v>1141</v>
      </c>
      <c r="O204" s="62">
        <v>0.62</v>
      </c>
      <c r="P204" s="62" t="s">
        <v>1141</v>
      </c>
      <c r="Q204" s="2687">
        <v>0.93</v>
      </c>
      <c r="R204" s="62" t="s">
        <v>1141</v>
      </c>
      <c r="S204" s="2687">
        <v>0.88</v>
      </c>
      <c r="T204" s="62" t="s">
        <v>1105</v>
      </c>
      <c r="U204" s="2688">
        <v>0.42349999999999999</v>
      </c>
      <c r="V204" s="62" t="s">
        <v>1105</v>
      </c>
      <c r="W204" s="2144">
        <f t="shared" si="81"/>
        <v>0</v>
      </c>
      <c r="X204" s="62" t="s">
        <v>1105</v>
      </c>
      <c r="Y204" s="2689">
        <f t="shared" si="82"/>
        <v>0</v>
      </c>
      <c r="Z204" s="2690" t="s">
        <v>1105</v>
      </c>
      <c r="AA204" s="2691">
        <f t="shared" si="83"/>
        <v>0</v>
      </c>
      <c r="AB204" s="2690" t="s">
        <v>1105</v>
      </c>
      <c r="AC204" s="2692">
        <f t="shared" si="84"/>
        <v>0</v>
      </c>
      <c r="AD204" s="1865"/>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row>
    <row r="205" spans="1:81" ht="15.75" customHeight="1">
      <c r="A205" s="2676"/>
      <c r="B205" s="2508" t="s">
        <v>2029</v>
      </c>
      <c r="C205" s="2684" t="s">
        <v>1898</v>
      </c>
      <c r="D205" s="2153"/>
      <c r="E205" s="2685">
        <v>12540</v>
      </c>
      <c r="F205" s="62" t="s">
        <v>1105</v>
      </c>
      <c r="G205" s="62">
        <v>2.7215442853E-2</v>
      </c>
      <c r="H205" s="2153"/>
      <c r="I205" s="2144">
        <f>E205*G205*1000</f>
        <v>341281.65337661997</v>
      </c>
      <c r="J205" s="62" t="s">
        <v>1141</v>
      </c>
      <c r="K205" s="2686">
        <v>1.3</v>
      </c>
      <c r="L205" s="62" t="s">
        <v>1141</v>
      </c>
      <c r="M205" s="2158">
        <v>0.03</v>
      </c>
      <c r="N205" s="62" t="s">
        <v>1141</v>
      </c>
      <c r="O205" s="62">
        <v>0.93</v>
      </c>
      <c r="P205" s="62" t="s">
        <v>1141</v>
      </c>
      <c r="Q205" s="2687">
        <v>0.93</v>
      </c>
      <c r="R205" s="62" t="s">
        <v>1141</v>
      </c>
      <c r="S205" s="2687">
        <v>0.88</v>
      </c>
      <c r="T205" s="62" t="s">
        <v>1105</v>
      </c>
      <c r="U205" s="2688">
        <v>0.44280000000000003</v>
      </c>
      <c r="V205" s="62" t="s">
        <v>1105</v>
      </c>
      <c r="W205" s="2144">
        <f t="shared" si="81"/>
        <v>4485.7362088284426</v>
      </c>
      <c r="X205" s="62" t="s">
        <v>1105</v>
      </c>
      <c r="Y205" s="2689">
        <f t="shared" si="82"/>
        <v>29.904908058856282</v>
      </c>
      <c r="Z205" s="2690" t="s">
        <v>1105</v>
      </c>
      <c r="AA205" s="2691">
        <f t="shared" si="83"/>
        <v>2.2836475244944799E-4</v>
      </c>
      <c r="AB205" s="2690" t="s">
        <v>1105</v>
      </c>
      <c r="AC205" s="2692">
        <f t="shared" si="84"/>
        <v>8.3733742564797602E-4</v>
      </c>
      <c r="AD205" s="186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row>
    <row r="206" spans="1:81" ht="15.75" customHeight="1">
      <c r="A206" s="2676"/>
      <c r="B206" s="2508" t="s">
        <v>719</v>
      </c>
      <c r="C206" s="2153" t="s">
        <v>1325</v>
      </c>
      <c r="D206" s="2153"/>
      <c r="E206" s="2685"/>
      <c r="F206" s="62" t="s">
        <v>1105</v>
      </c>
      <c r="G206" s="62" t="s">
        <v>1238</v>
      </c>
      <c r="H206" s="2153"/>
      <c r="I206" s="2144">
        <f t="shared" ref="I206:I207" si="85">E206</f>
        <v>0</v>
      </c>
      <c r="J206" s="62" t="s">
        <v>1141</v>
      </c>
      <c r="K206" s="2693"/>
      <c r="L206" s="62" t="s">
        <v>1141</v>
      </c>
      <c r="M206" s="2694"/>
      <c r="N206" s="62" t="s">
        <v>1141</v>
      </c>
      <c r="O206" s="2695"/>
      <c r="P206" s="62" t="s">
        <v>1141</v>
      </c>
      <c r="Q206" s="2696"/>
      <c r="R206" s="62" t="s">
        <v>1141</v>
      </c>
      <c r="S206" s="2697"/>
      <c r="T206" s="62" t="s">
        <v>1105</v>
      </c>
      <c r="U206" s="2698"/>
      <c r="V206" s="62" t="s">
        <v>1105</v>
      </c>
      <c r="W206" s="2144">
        <f t="shared" si="81"/>
        <v>0</v>
      </c>
      <c r="X206" s="62" t="s">
        <v>1105</v>
      </c>
      <c r="Y206" s="2689">
        <f t="shared" si="82"/>
        <v>0</v>
      </c>
      <c r="Z206" s="2690" t="s">
        <v>1105</v>
      </c>
      <c r="AA206" s="2691">
        <f t="shared" si="83"/>
        <v>0</v>
      </c>
      <c r="AB206" s="2690" t="s">
        <v>1105</v>
      </c>
      <c r="AC206" s="2692">
        <f t="shared" si="84"/>
        <v>0</v>
      </c>
      <c r="AD206" s="1865"/>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row>
    <row r="207" spans="1:81" ht="15.75" customHeight="1">
      <c r="A207" s="2676"/>
      <c r="B207" s="2508"/>
      <c r="C207" s="2153" t="s">
        <v>1325</v>
      </c>
      <c r="D207" s="2153"/>
      <c r="E207" s="2685"/>
      <c r="F207" s="62" t="s">
        <v>1105</v>
      </c>
      <c r="G207" s="62" t="s">
        <v>1238</v>
      </c>
      <c r="H207" s="2153"/>
      <c r="I207" s="2144">
        <f t="shared" si="85"/>
        <v>0</v>
      </c>
      <c r="J207" s="62" t="s">
        <v>1141</v>
      </c>
      <c r="K207" s="2693"/>
      <c r="L207" s="62" t="s">
        <v>1141</v>
      </c>
      <c r="M207" s="2694"/>
      <c r="N207" s="62" t="s">
        <v>1141</v>
      </c>
      <c r="O207" s="2695"/>
      <c r="P207" s="62" t="s">
        <v>1141</v>
      </c>
      <c r="Q207" s="2696"/>
      <c r="R207" s="62" t="s">
        <v>1141</v>
      </c>
      <c r="S207" s="2697"/>
      <c r="T207" s="62" t="s">
        <v>1105</v>
      </c>
      <c r="U207" s="2698"/>
      <c r="V207" s="62" t="s">
        <v>1105</v>
      </c>
      <c r="W207" s="2144">
        <f t="shared" si="81"/>
        <v>0</v>
      </c>
      <c r="X207" s="62" t="s">
        <v>1105</v>
      </c>
      <c r="Y207" s="2689">
        <f t="shared" si="82"/>
        <v>0</v>
      </c>
      <c r="Z207" s="2690" t="s">
        <v>1105</v>
      </c>
      <c r="AA207" s="2691">
        <f t="shared" si="83"/>
        <v>0</v>
      </c>
      <c r="AB207" s="2690" t="s">
        <v>1105</v>
      </c>
      <c r="AC207" s="2692">
        <f t="shared" si="84"/>
        <v>0</v>
      </c>
      <c r="AD207" s="186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row>
    <row r="208" spans="1:81" ht="15.75" customHeight="1">
      <c r="A208" s="2676"/>
      <c r="B208" s="2600"/>
      <c r="C208" s="2225"/>
      <c r="D208" s="2153"/>
      <c r="E208" s="65"/>
      <c r="F208" s="62"/>
      <c r="G208" s="2153"/>
      <c r="H208" s="2153"/>
      <c r="I208" s="62"/>
      <c r="J208" s="62"/>
      <c r="K208" s="2493"/>
      <c r="L208" s="62"/>
      <c r="M208" s="2699"/>
      <c r="N208" s="62"/>
      <c r="O208" s="2687"/>
      <c r="P208" s="2153"/>
      <c r="Q208" s="2153"/>
      <c r="R208" s="2153"/>
      <c r="S208" s="2153"/>
      <c r="T208" s="2153"/>
      <c r="U208" s="2493"/>
      <c r="V208" s="2153"/>
      <c r="W208" s="2493"/>
      <c r="X208" s="2153"/>
      <c r="Y208" s="2153"/>
      <c r="Z208" s="2153"/>
      <c r="AA208" s="2153"/>
      <c r="AB208" s="2153"/>
      <c r="AC208" s="2683"/>
      <c r="AD208" s="1865"/>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row>
    <row r="209" spans="1:81" ht="15.75" customHeight="1">
      <c r="A209" s="2676"/>
      <c r="B209" s="2465" t="s">
        <v>1841</v>
      </c>
      <c r="C209" s="2466"/>
      <c r="D209" s="2467"/>
      <c r="E209" s="2623"/>
      <c r="F209" s="2623"/>
      <c r="G209" s="2467"/>
      <c r="H209" s="2467"/>
      <c r="I209" s="2623"/>
      <c r="J209" s="2623"/>
      <c r="K209" s="2700"/>
      <c r="L209" s="2701"/>
      <c r="M209" s="2700"/>
      <c r="N209" s="2701"/>
      <c r="O209" s="2702"/>
      <c r="P209" s="2467"/>
      <c r="Q209" s="2702"/>
      <c r="R209" s="2467"/>
      <c r="S209" s="2702"/>
      <c r="T209" s="2467"/>
      <c r="U209" s="2700"/>
      <c r="V209" s="2467"/>
      <c r="W209" s="2700">
        <f>SUM(W199:W207)</f>
        <v>27002.831472339658</v>
      </c>
      <c r="X209" s="2467"/>
      <c r="Y209" s="2702">
        <f>SUM(Y199:Y207)</f>
        <v>180.01887648226437</v>
      </c>
      <c r="Z209" s="2467"/>
      <c r="AA209" s="2702">
        <f>SUM(AA199:AA207)</f>
        <v>1.3746896022282008E-3</v>
      </c>
      <c r="AB209" s="2467"/>
      <c r="AC209" s="2703">
        <f>SUM(AC199:AC207)</f>
        <v>5.0405285415034027E-3</v>
      </c>
      <c r="AD209" s="186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row>
    <row r="210" spans="1:81" ht="15.75" customHeight="1">
      <c r="A210" s="1"/>
      <c r="B210" s="2306"/>
      <c r="C210" s="1302"/>
      <c r="D210" s="1496"/>
      <c r="E210" s="1496"/>
      <c r="F210" s="1496"/>
      <c r="G210" s="2307"/>
      <c r="H210" s="298"/>
      <c r="I210" s="2308"/>
      <c r="J210" s="298"/>
      <c r="K210" s="2309"/>
      <c r="L210" s="1"/>
      <c r="M210" s="2309"/>
      <c r="N210" s="1"/>
      <c r="O210" s="1"/>
      <c r="P210" s="1"/>
      <c r="Q210" s="1"/>
      <c r="R210" s="1"/>
      <c r="S210" s="1"/>
      <c r="T210" s="1"/>
      <c r="U210" s="1"/>
    </row>
    <row r="211" spans="1:81" ht="15.75" customHeight="1">
      <c r="A211" s="322"/>
      <c r="B211" s="2704" t="s">
        <v>2030</v>
      </c>
      <c r="C211" s="2317"/>
      <c r="D211" s="2318"/>
      <c r="E211" s="2318"/>
      <c r="F211" s="2318"/>
      <c r="G211" s="2319"/>
      <c r="H211" s="2320"/>
      <c r="I211" s="2321"/>
      <c r="J211" s="2320"/>
      <c r="K211" s="2322"/>
      <c r="L211" s="2279"/>
      <c r="M211" s="2322"/>
      <c r="N211" s="2279"/>
      <c r="O211" s="2279"/>
      <c r="P211" s="2279"/>
      <c r="Q211" s="2279"/>
      <c r="R211" s="2279"/>
      <c r="S211" s="2279"/>
      <c r="T211" s="2279"/>
      <c r="U211" s="2279"/>
      <c r="V211" s="2279"/>
      <c r="W211" s="2279"/>
      <c r="X211" s="2279"/>
      <c r="Y211" s="2279"/>
      <c r="Z211" s="2279"/>
      <c r="AA211" s="2279"/>
      <c r="AB211" s="2279"/>
      <c r="AC211" s="2280"/>
      <c r="AD211" s="2705"/>
      <c r="AH211" s="2230" t="s">
        <v>1950</v>
      </c>
    </row>
    <row r="212" spans="1:81" ht="15.75" customHeight="1">
      <c r="A212" s="2706"/>
      <c r="B212" s="2707" t="s">
        <v>2009</v>
      </c>
      <c r="C212" s="2678" t="s">
        <v>185</v>
      </c>
      <c r="D212" s="2502"/>
      <c r="E212" s="2679" t="s">
        <v>2010</v>
      </c>
      <c r="F212" s="2679"/>
      <c r="G212" s="2502" t="s">
        <v>2011</v>
      </c>
      <c r="H212" s="2502"/>
      <c r="I212" s="2679" t="s">
        <v>2012</v>
      </c>
      <c r="J212" s="2679"/>
      <c r="K212" s="2679" t="s">
        <v>2013</v>
      </c>
      <c r="L212" s="2680"/>
      <c r="M212" s="2679" t="s">
        <v>2031</v>
      </c>
      <c r="N212" s="2680"/>
      <c r="O212" s="2679" t="s">
        <v>2015</v>
      </c>
      <c r="P212" s="2680"/>
      <c r="Q212" s="2679" t="s">
        <v>2016</v>
      </c>
      <c r="R212" s="2502"/>
      <c r="S212" s="2679" t="s">
        <v>2017</v>
      </c>
      <c r="T212" s="2502"/>
      <c r="U212" s="2681" t="s">
        <v>2032</v>
      </c>
      <c r="V212" s="2502"/>
      <c r="W212" s="2679" t="s">
        <v>2033</v>
      </c>
      <c r="X212" s="2502"/>
      <c r="Y212" s="2679" t="s">
        <v>2034</v>
      </c>
      <c r="Z212" s="2502"/>
      <c r="AA212" s="2679" t="s">
        <v>2035</v>
      </c>
      <c r="AB212" s="2502"/>
      <c r="AC212" s="2708" t="s">
        <v>2036</v>
      </c>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row>
    <row r="213" spans="1:81" ht="15.75" customHeight="1">
      <c r="A213" s="2706"/>
      <c r="B213" s="2709"/>
      <c r="C213" s="2153"/>
      <c r="D213" s="2153"/>
      <c r="E213" s="62"/>
      <c r="F213" s="62"/>
      <c r="G213" s="2153"/>
      <c r="H213" s="2153"/>
      <c r="I213" s="2153"/>
      <c r="J213" s="2153"/>
      <c r="K213" s="2153"/>
      <c r="L213" s="2153"/>
      <c r="M213" s="2153"/>
      <c r="N213" s="2153"/>
      <c r="O213" s="2153"/>
      <c r="P213" s="2153"/>
      <c r="Q213" s="2153"/>
      <c r="R213" s="2153"/>
      <c r="S213" s="2153"/>
      <c r="T213" s="2153"/>
      <c r="U213" s="2493"/>
      <c r="V213" s="2153"/>
      <c r="W213" s="2153"/>
      <c r="X213" s="2153"/>
      <c r="Y213" s="2153"/>
      <c r="Z213" s="2153"/>
      <c r="AA213" s="2153"/>
      <c r="AB213" s="2153"/>
      <c r="AC213" s="2154"/>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row>
    <row r="214" spans="1:81" ht="15.75" customHeight="1">
      <c r="A214" s="2706"/>
      <c r="B214" s="2710" t="s">
        <v>2023</v>
      </c>
      <c r="C214" s="2684" t="s">
        <v>1898</v>
      </c>
      <c r="D214" s="2153"/>
      <c r="E214" s="2711">
        <v>2880</v>
      </c>
      <c r="F214" s="62" t="s">
        <v>1105</v>
      </c>
      <c r="G214" s="62">
        <v>2.1772E-2</v>
      </c>
      <c r="H214" s="2153"/>
      <c r="I214" s="2144">
        <f t="shared" ref="I214:I215" si="86">E214*G214*1000</f>
        <v>62703.359999999993</v>
      </c>
      <c r="J214" s="62" t="s">
        <v>1141</v>
      </c>
      <c r="K214" s="2686">
        <v>1.2</v>
      </c>
      <c r="L214" s="62" t="s">
        <v>1141</v>
      </c>
      <c r="M214" s="2158">
        <v>0.03</v>
      </c>
      <c r="N214" s="62" t="s">
        <v>1141</v>
      </c>
      <c r="O214" s="62">
        <v>0.93</v>
      </c>
      <c r="P214" s="62" t="s">
        <v>1141</v>
      </c>
      <c r="Q214" s="2687">
        <v>0.93</v>
      </c>
      <c r="R214" s="62" t="s">
        <v>1141</v>
      </c>
      <c r="S214" s="2687">
        <v>0.88</v>
      </c>
      <c r="T214" s="62" t="s">
        <v>1105</v>
      </c>
      <c r="U214" s="2688">
        <v>7.7000000000000002E-3</v>
      </c>
      <c r="V214" s="62" t="s">
        <v>1105</v>
      </c>
      <c r="W214" s="2158">
        <f t="shared" ref="W214:W222" si="87">I214*K214*M214*O214*Q214*S214*U214</f>
        <v>13.229170342907905</v>
      </c>
      <c r="X214" s="62" t="s">
        <v>1105</v>
      </c>
      <c r="Y214" s="2712">
        <f t="shared" ref="Y214:Y222" si="88">W214*0.007*(44/28)</f>
        <v>0.14552087377198694</v>
      </c>
      <c r="Z214" s="62" t="s">
        <v>1105</v>
      </c>
      <c r="AA214" s="2713">
        <f t="shared" ref="AA214:AA222" si="89">Y214/(10^6)*$Z$8*12/44</f>
        <v>1.0517190422611784E-5</v>
      </c>
      <c r="AB214" s="62" t="s">
        <v>1105</v>
      </c>
      <c r="AC214" s="2714">
        <f t="shared" ref="AC214:AC222" si="90">AA214/(12/44)</f>
        <v>3.8563031549576546E-5</v>
      </c>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row>
    <row r="215" spans="1:81" ht="15.75" customHeight="1">
      <c r="A215" s="2706"/>
      <c r="B215" s="2710" t="s">
        <v>2024</v>
      </c>
      <c r="C215" s="2684" t="s">
        <v>1898</v>
      </c>
      <c r="D215" s="2153"/>
      <c r="E215" s="2711">
        <v>46870</v>
      </c>
      <c r="F215" s="62" t="s">
        <v>1105</v>
      </c>
      <c r="G215" s="62">
        <v>2.5401147108E-2</v>
      </c>
      <c r="H215" s="2153"/>
      <c r="I215" s="2144">
        <f t="shared" si="86"/>
        <v>1190551.76495196</v>
      </c>
      <c r="J215" s="62" t="s">
        <v>1141</v>
      </c>
      <c r="K215" s="2686">
        <v>1</v>
      </c>
      <c r="L215" s="62" t="s">
        <v>1141</v>
      </c>
      <c r="M215" s="2158">
        <v>0.03</v>
      </c>
      <c r="N215" s="62" t="s">
        <v>1141</v>
      </c>
      <c r="O215" s="62">
        <v>0.91</v>
      </c>
      <c r="P215" s="62" t="s">
        <v>1141</v>
      </c>
      <c r="Q215" s="2687">
        <v>0.93</v>
      </c>
      <c r="R215" s="62" t="s">
        <v>1141</v>
      </c>
      <c r="S215" s="2687">
        <v>0.88</v>
      </c>
      <c r="T215" s="62" t="s">
        <v>1105</v>
      </c>
      <c r="U215" s="2688">
        <v>5.7999999999999996E-3</v>
      </c>
      <c r="V215" s="62" t="s">
        <v>1105</v>
      </c>
      <c r="W215" s="2158">
        <f t="shared" si="87"/>
        <v>154.27819335290457</v>
      </c>
      <c r="X215" s="62" t="s">
        <v>1105</v>
      </c>
      <c r="Y215" s="2712">
        <f t="shared" si="88"/>
        <v>1.6970601268819501</v>
      </c>
      <c r="Z215" s="62" t="s">
        <v>1105</v>
      </c>
      <c r="AA215" s="2713">
        <f t="shared" si="89"/>
        <v>1.2265116371555911E-4</v>
      </c>
      <c r="AB215" s="62" t="s">
        <v>1105</v>
      </c>
      <c r="AC215" s="2714">
        <f t="shared" si="90"/>
        <v>4.4972093362371677E-4</v>
      </c>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row>
    <row r="216" spans="1:81" ht="15.75" customHeight="1">
      <c r="A216" s="2706"/>
      <c r="B216" s="2710" t="s">
        <v>1909</v>
      </c>
      <c r="C216" s="2684" t="s">
        <v>2025</v>
      </c>
      <c r="D216" s="2153"/>
      <c r="E216" s="2715">
        <v>0</v>
      </c>
      <c r="F216" s="62" t="s">
        <v>1105</v>
      </c>
      <c r="G216" s="62" t="s">
        <v>1238</v>
      </c>
      <c r="H216" s="2153"/>
      <c r="I216" s="2144">
        <f>(E216*1000/2000*0.9072)</f>
        <v>0</v>
      </c>
      <c r="J216" s="62" t="s">
        <v>1141</v>
      </c>
      <c r="K216" s="2686">
        <v>1</v>
      </c>
      <c r="L216" s="62" t="s">
        <v>1141</v>
      </c>
      <c r="M216" s="2158">
        <v>0.03</v>
      </c>
      <c r="N216" s="62" t="s">
        <v>1141</v>
      </c>
      <c r="O216" s="62">
        <v>0.86</v>
      </c>
      <c r="P216" s="62" t="s">
        <v>1141</v>
      </c>
      <c r="Q216" s="2687">
        <v>0.93</v>
      </c>
      <c r="R216" s="62" t="s">
        <v>1141</v>
      </c>
      <c r="S216" s="2687">
        <v>0.88</v>
      </c>
      <c r="T216" s="62" t="s">
        <v>1105</v>
      </c>
      <c r="U216" s="2688">
        <v>1.06E-2</v>
      </c>
      <c r="V216" s="62" t="s">
        <v>1105</v>
      </c>
      <c r="W216" s="2158">
        <f t="shared" si="87"/>
        <v>0</v>
      </c>
      <c r="X216" s="62" t="s">
        <v>1105</v>
      </c>
      <c r="Y216" s="2712">
        <f t="shared" si="88"/>
        <v>0</v>
      </c>
      <c r="Z216" s="62" t="s">
        <v>1105</v>
      </c>
      <c r="AA216" s="2713">
        <f t="shared" si="89"/>
        <v>0</v>
      </c>
      <c r="AB216" s="62" t="s">
        <v>1105</v>
      </c>
      <c r="AC216" s="2714">
        <f t="shared" si="90"/>
        <v>0</v>
      </c>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row>
    <row r="217" spans="1:81" ht="15.75" customHeight="1">
      <c r="A217" s="2706"/>
      <c r="B217" s="2710" t="s">
        <v>1906</v>
      </c>
      <c r="C217" s="2684" t="s">
        <v>2026</v>
      </c>
      <c r="D217" s="2153"/>
      <c r="E217" s="2715">
        <v>0</v>
      </c>
      <c r="F217" s="62" t="s">
        <v>1105</v>
      </c>
      <c r="G217" s="62" t="s">
        <v>1238</v>
      </c>
      <c r="H217" s="2153"/>
      <c r="I217" s="2144">
        <v>0</v>
      </c>
      <c r="J217" s="62" t="s">
        <v>1141</v>
      </c>
      <c r="K217" s="2686">
        <v>1.4</v>
      </c>
      <c r="L217" s="62" t="s">
        <v>1141</v>
      </c>
      <c r="M217" s="2158">
        <v>0</v>
      </c>
      <c r="N217" s="62" t="s">
        <v>1141</v>
      </c>
      <c r="O217" s="62">
        <v>0.91</v>
      </c>
      <c r="P217" s="62" t="s">
        <v>1141</v>
      </c>
      <c r="Q217" s="2687">
        <v>0.93</v>
      </c>
      <c r="R217" s="62" t="s">
        <v>1141</v>
      </c>
      <c r="S217" s="2687">
        <v>0.88</v>
      </c>
      <c r="T217" s="62" t="s">
        <v>1105</v>
      </c>
      <c r="U217" s="2688">
        <v>7.1999999999999998E-3</v>
      </c>
      <c r="V217" s="62" t="s">
        <v>1105</v>
      </c>
      <c r="W217" s="2158">
        <f t="shared" si="87"/>
        <v>0</v>
      </c>
      <c r="X217" s="62" t="s">
        <v>1105</v>
      </c>
      <c r="Y217" s="2712">
        <f t="shared" si="88"/>
        <v>0</v>
      </c>
      <c r="Z217" s="62" t="s">
        <v>1105</v>
      </c>
      <c r="AA217" s="2713">
        <f t="shared" si="89"/>
        <v>0</v>
      </c>
      <c r="AB217" s="62" t="s">
        <v>1105</v>
      </c>
      <c r="AC217" s="2714">
        <f t="shared" si="90"/>
        <v>0</v>
      </c>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row>
    <row r="218" spans="1:81" ht="15.75" customHeight="1">
      <c r="A218" s="2706"/>
      <c r="B218" s="2710" t="s">
        <v>2027</v>
      </c>
      <c r="C218" s="2684" t="s">
        <v>1898</v>
      </c>
      <c r="D218" s="2153"/>
      <c r="E218" s="2711">
        <v>17903</v>
      </c>
      <c r="F218" s="62" t="s">
        <v>1105</v>
      </c>
      <c r="G218" s="62">
        <v>2.7215692074999999E-2</v>
      </c>
      <c r="H218" s="2153"/>
      <c r="I218" s="2144">
        <f>E218*G218*1000</f>
        <v>487242.53521872498</v>
      </c>
      <c r="J218" s="62" t="s">
        <v>1141</v>
      </c>
      <c r="K218" s="2686">
        <v>2.1</v>
      </c>
      <c r="L218" s="62" t="s">
        <v>1141</v>
      </c>
      <c r="M218" s="2158">
        <v>0.03</v>
      </c>
      <c r="N218" s="62" t="s">
        <v>1141</v>
      </c>
      <c r="O218" s="62">
        <v>0.87</v>
      </c>
      <c r="P218" s="62" t="s">
        <v>1141</v>
      </c>
      <c r="Q218" s="2687">
        <v>0.93</v>
      </c>
      <c r="R218" s="62" t="s">
        <v>1141</v>
      </c>
      <c r="S218" s="2687">
        <v>0.88</v>
      </c>
      <c r="T218" s="62" t="s">
        <v>1105</v>
      </c>
      <c r="U218" s="2688">
        <v>2.3E-2</v>
      </c>
      <c r="V218" s="62" t="s">
        <v>1105</v>
      </c>
      <c r="W218" s="2158">
        <f t="shared" si="87"/>
        <v>502.68792479020419</v>
      </c>
      <c r="X218" s="62" t="s">
        <v>1105</v>
      </c>
      <c r="Y218" s="2712">
        <f t="shared" si="88"/>
        <v>5.5295671726922455</v>
      </c>
      <c r="Z218" s="62" t="s">
        <v>1105</v>
      </c>
      <c r="AA218" s="2713">
        <f t="shared" si="89"/>
        <v>3.9963690020821226E-4</v>
      </c>
      <c r="AB218" s="62" t="s">
        <v>1105</v>
      </c>
      <c r="AC218" s="2714">
        <f t="shared" si="90"/>
        <v>1.4653353007634451E-3</v>
      </c>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row>
    <row r="219" spans="1:81" ht="15.75" customHeight="1">
      <c r="A219" s="2706"/>
      <c r="B219" s="2710" t="s">
        <v>2028</v>
      </c>
      <c r="C219" s="2684" t="s">
        <v>1895</v>
      </c>
      <c r="D219" s="2153"/>
      <c r="E219" s="2715">
        <v>0</v>
      </c>
      <c r="F219" s="62" t="s">
        <v>1105</v>
      </c>
      <c r="G219" s="62" t="s">
        <v>1238</v>
      </c>
      <c r="H219" s="2153"/>
      <c r="I219" s="2144">
        <f>E219*0.9072*1000</f>
        <v>0</v>
      </c>
      <c r="J219" s="62" t="s">
        <v>1141</v>
      </c>
      <c r="K219" s="2686">
        <v>0.2</v>
      </c>
      <c r="L219" s="62" t="s">
        <v>1141</v>
      </c>
      <c r="M219" s="2158">
        <v>0.03</v>
      </c>
      <c r="N219" s="62" t="s">
        <v>1141</v>
      </c>
      <c r="O219" s="62">
        <v>0.62</v>
      </c>
      <c r="P219" s="62" t="s">
        <v>1141</v>
      </c>
      <c r="Q219" s="2687">
        <v>0.93</v>
      </c>
      <c r="R219" s="62" t="s">
        <v>1141</v>
      </c>
      <c r="S219" s="2687">
        <v>0.88</v>
      </c>
      <c r="T219" s="62" t="s">
        <v>1105</v>
      </c>
      <c r="U219" s="2688">
        <v>4.0000000000000001E-3</v>
      </c>
      <c r="V219" s="62" t="s">
        <v>1105</v>
      </c>
      <c r="W219" s="2158">
        <f t="shared" si="87"/>
        <v>0</v>
      </c>
      <c r="X219" s="62" t="s">
        <v>1105</v>
      </c>
      <c r="Y219" s="2712">
        <f t="shared" si="88"/>
        <v>0</v>
      </c>
      <c r="Z219" s="62" t="s">
        <v>1105</v>
      </c>
      <c r="AA219" s="2713">
        <f t="shared" si="89"/>
        <v>0</v>
      </c>
      <c r="AB219" s="62" t="s">
        <v>1105</v>
      </c>
      <c r="AC219" s="2714">
        <f t="shared" si="90"/>
        <v>0</v>
      </c>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row>
    <row r="220" spans="1:81" ht="15.75" customHeight="1">
      <c r="A220" s="2706"/>
      <c r="B220" s="2710" t="s">
        <v>2029</v>
      </c>
      <c r="C220" s="2684" t="s">
        <v>1898</v>
      </c>
      <c r="D220" s="2153"/>
      <c r="E220" s="2711">
        <v>12540</v>
      </c>
      <c r="F220" s="62" t="s">
        <v>1105</v>
      </c>
      <c r="G220" s="62">
        <v>2.7215442853E-2</v>
      </c>
      <c r="H220" s="2153"/>
      <c r="I220" s="2144">
        <f>E220*G220*1000</f>
        <v>341281.65337661997</v>
      </c>
      <c r="J220" s="62" t="s">
        <v>1141</v>
      </c>
      <c r="K220" s="2686">
        <v>1.3</v>
      </c>
      <c r="L220" s="62" t="s">
        <v>1141</v>
      </c>
      <c r="M220" s="2158">
        <v>0.03</v>
      </c>
      <c r="N220" s="62" t="s">
        <v>1141</v>
      </c>
      <c r="O220" s="62">
        <v>0.93</v>
      </c>
      <c r="P220" s="62" t="s">
        <v>1141</v>
      </c>
      <c r="Q220" s="2687">
        <v>0.93</v>
      </c>
      <c r="R220" s="62" t="s">
        <v>1141</v>
      </c>
      <c r="S220" s="2687">
        <v>0.88</v>
      </c>
      <c r="T220" s="62" t="s">
        <v>1105</v>
      </c>
      <c r="U220" s="2688">
        <v>6.1999999999999998E-3</v>
      </c>
      <c r="V220" s="62" t="s">
        <v>1105</v>
      </c>
      <c r="W220" s="2158">
        <f t="shared" si="87"/>
        <v>62.808411234725249</v>
      </c>
      <c r="X220" s="62" t="s">
        <v>1105</v>
      </c>
      <c r="Y220" s="2712">
        <f t="shared" si="88"/>
        <v>0.69089252358197772</v>
      </c>
      <c r="Z220" s="62" t="s">
        <v>1105</v>
      </c>
      <c r="AA220" s="2713">
        <f t="shared" si="89"/>
        <v>4.9932686931606577E-5</v>
      </c>
      <c r="AB220" s="62" t="s">
        <v>1105</v>
      </c>
      <c r="AC220" s="2714">
        <f t="shared" si="90"/>
        <v>1.8308651874922413E-4</v>
      </c>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row>
    <row r="221" spans="1:81" ht="15.75" customHeight="1">
      <c r="A221" s="2706"/>
      <c r="B221" s="2710" t="s">
        <v>719</v>
      </c>
      <c r="C221" s="2153"/>
      <c r="D221" s="2153"/>
      <c r="E221" s="2715">
        <v>0</v>
      </c>
      <c r="F221" s="62" t="s">
        <v>1105</v>
      </c>
      <c r="G221" s="62" t="s">
        <v>1238</v>
      </c>
      <c r="H221" s="2153"/>
      <c r="I221" s="2144">
        <f t="shared" ref="I221:I222" si="91">E221</f>
        <v>0</v>
      </c>
      <c r="J221" s="62" t="s">
        <v>1141</v>
      </c>
      <c r="K221" s="2693"/>
      <c r="L221" s="62" t="s">
        <v>1141</v>
      </c>
      <c r="M221" s="2694"/>
      <c r="N221" s="62" t="s">
        <v>1141</v>
      </c>
      <c r="O221" s="2695"/>
      <c r="P221" s="62" t="s">
        <v>1141</v>
      </c>
      <c r="Q221" s="2696"/>
      <c r="R221" s="62" t="s">
        <v>1141</v>
      </c>
      <c r="S221" s="2697"/>
      <c r="T221" s="62" t="s">
        <v>1105</v>
      </c>
      <c r="U221" s="2698"/>
      <c r="V221" s="62" t="s">
        <v>1105</v>
      </c>
      <c r="W221" s="2158">
        <f t="shared" si="87"/>
        <v>0</v>
      </c>
      <c r="X221" s="62" t="s">
        <v>1105</v>
      </c>
      <c r="Y221" s="2712">
        <f t="shared" si="88"/>
        <v>0</v>
      </c>
      <c r="Z221" s="62" t="s">
        <v>1105</v>
      </c>
      <c r="AA221" s="2713">
        <f t="shared" si="89"/>
        <v>0</v>
      </c>
      <c r="AB221" s="62" t="s">
        <v>1105</v>
      </c>
      <c r="AC221" s="2714">
        <f t="shared" si="90"/>
        <v>0</v>
      </c>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row>
    <row r="222" spans="1:81" ht="15.75" customHeight="1">
      <c r="A222" s="2706"/>
      <c r="B222" s="2709"/>
      <c r="C222" s="2153"/>
      <c r="D222" s="2153"/>
      <c r="E222" s="2715">
        <v>0</v>
      </c>
      <c r="F222" s="62" t="s">
        <v>1105</v>
      </c>
      <c r="G222" s="62" t="s">
        <v>1238</v>
      </c>
      <c r="H222" s="2153"/>
      <c r="I222" s="2144">
        <f t="shared" si="91"/>
        <v>0</v>
      </c>
      <c r="J222" s="62" t="s">
        <v>1141</v>
      </c>
      <c r="K222" s="2693"/>
      <c r="L222" s="62" t="s">
        <v>1141</v>
      </c>
      <c r="M222" s="2694"/>
      <c r="N222" s="62" t="s">
        <v>1141</v>
      </c>
      <c r="O222" s="2695"/>
      <c r="P222" s="62" t="s">
        <v>1141</v>
      </c>
      <c r="Q222" s="2696"/>
      <c r="R222" s="62" t="s">
        <v>1141</v>
      </c>
      <c r="S222" s="2697"/>
      <c r="T222" s="62" t="s">
        <v>1105</v>
      </c>
      <c r="U222" s="2698"/>
      <c r="V222" s="62" t="s">
        <v>1105</v>
      </c>
      <c r="W222" s="2158">
        <f t="shared" si="87"/>
        <v>0</v>
      </c>
      <c r="X222" s="62" t="s">
        <v>1105</v>
      </c>
      <c r="Y222" s="2712">
        <f t="shared" si="88"/>
        <v>0</v>
      </c>
      <c r="Z222" s="62" t="s">
        <v>1105</v>
      </c>
      <c r="AA222" s="2713">
        <f t="shared" si="89"/>
        <v>0</v>
      </c>
      <c r="AB222" s="62" t="s">
        <v>1105</v>
      </c>
      <c r="AC222" s="2714">
        <f t="shared" si="90"/>
        <v>0</v>
      </c>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row>
    <row r="223" spans="1:81" ht="15.75" customHeight="1">
      <c r="A223" s="2706"/>
      <c r="B223" s="2716"/>
      <c r="C223" s="2225"/>
      <c r="D223" s="2153"/>
      <c r="E223" s="65"/>
      <c r="F223" s="62"/>
      <c r="G223" s="2153"/>
      <c r="H223" s="2153"/>
      <c r="I223" s="62"/>
      <c r="J223" s="62"/>
      <c r="K223" s="2493"/>
      <c r="L223" s="62"/>
      <c r="M223" s="2699"/>
      <c r="N223" s="62"/>
      <c r="O223" s="2687"/>
      <c r="P223" s="2153"/>
      <c r="Q223" s="2153"/>
      <c r="R223" s="2153"/>
      <c r="S223" s="2153"/>
      <c r="T223" s="2153"/>
      <c r="U223" s="2153"/>
      <c r="V223" s="2153"/>
      <c r="W223" s="2158"/>
      <c r="X223" s="2153"/>
      <c r="Y223" s="2717"/>
      <c r="Z223" s="2153"/>
      <c r="AA223" s="2153"/>
      <c r="AB223" s="2153"/>
      <c r="AC223" s="2154"/>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row>
    <row r="224" spans="1:81" ht="15.75" customHeight="1">
      <c r="A224" s="2706"/>
      <c r="B224" s="2718" t="s">
        <v>1841</v>
      </c>
      <c r="C224" s="2680"/>
      <c r="D224" s="2502"/>
      <c r="E224" s="2719"/>
      <c r="F224" s="2719"/>
      <c r="G224" s="2502"/>
      <c r="H224" s="2502"/>
      <c r="I224" s="2719"/>
      <c r="J224" s="2719"/>
      <c r="K224" s="2720"/>
      <c r="L224" s="2678"/>
      <c r="M224" s="2720"/>
      <c r="N224" s="2678"/>
      <c r="O224" s="2721"/>
      <c r="P224" s="2502"/>
      <c r="Q224" s="2721"/>
      <c r="R224" s="2502"/>
      <c r="S224" s="2502"/>
      <c r="T224" s="2502"/>
      <c r="U224" s="2721"/>
      <c r="V224" s="2502"/>
      <c r="W224" s="2722">
        <f>SUM(W214:W222)</f>
        <v>733.00369972074191</v>
      </c>
      <c r="X224" s="2502"/>
      <c r="Y224" s="2723">
        <f>SUM(Y214:Y222)</f>
        <v>8.0630406969281605</v>
      </c>
      <c r="Z224" s="2502"/>
      <c r="AA224" s="2724">
        <f>SUM(AA214:AA222)</f>
        <v>5.8273794127798974E-4</v>
      </c>
      <c r="AB224" s="2502"/>
      <c r="AC224" s="2725">
        <f>SUM(AC214:AC222)</f>
        <v>2.1367057846859625E-3</v>
      </c>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row>
    <row r="225" spans="1:34" ht="15.75" customHeight="1">
      <c r="A225" s="322"/>
      <c r="B225" s="2726"/>
      <c r="C225" s="2415"/>
      <c r="D225" s="2416"/>
      <c r="E225" s="2416"/>
      <c r="F225" s="2416"/>
      <c r="G225" s="2417"/>
      <c r="H225" s="2418"/>
      <c r="I225" s="2419"/>
      <c r="J225" s="2418"/>
      <c r="K225" s="2420"/>
      <c r="L225" s="384"/>
      <c r="M225" s="2420"/>
      <c r="N225" s="384"/>
      <c r="O225" s="384"/>
      <c r="P225" s="384"/>
      <c r="Q225" s="384"/>
      <c r="R225" s="384"/>
      <c r="S225" s="384"/>
      <c r="T225" s="384"/>
      <c r="U225" s="384"/>
      <c r="V225" s="384"/>
      <c r="W225" s="384"/>
      <c r="X225" s="384"/>
      <c r="Y225" s="384"/>
      <c r="Z225" s="384"/>
      <c r="AA225" s="384"/>
      <c r="AB225" s="384"/>
      <c r="AC225" s="386"/>
    </row>
    <row r="226" spans="1:34" ht="15.75" customHeight="1">
      <c r="A226" s="1"/>
      <c r="B226" s="2306"/>
      <c r="C226" s="1302"/>
      <c r="D226" s="1496"/>
      <c r="E226" s="1496"/>
      <c r="F226" s="1496"/>
      <c r="G226" s="2307"/>
      <c r="H226" s="298"/>
      <c r="I226" s="2308"/>
      <c r="J226" s="298"/>
      <c r="K226" s="2309"/>
      <c r="L226" s="1"/>
      <c r="M226" s="2309"/>
      <c r="N226" s="1"/>
      <c r="O226" s="1"/>
      <c r="P226" s="1"/>
      <c r="Q226" s="1"/>
      <c r="R226" s="1"/>
      <c r="S226" s="1"/>
      <c r="T226" s="1"/>
      <c r="U226" s="1"/>
      <c r="V226" s="1"/>
      <c r="W226" s="1"/>
      <c r="X226" s="1"/>
      <c r="Y226" s="1"/>
      <c r="Z226" s="1"/>
      <c r="AA226" s="1"/>
      <c r="AB226" s="1"/>
      <c r="AC226" s="1"/>
    </row>
    <row r="227" spans="1:34" ht="15.75" customHeight="1">
      <c r="A227" s="1"/>
      <c r="B227" s="2306"/>
      <c r="C227" s="1302"/>
      <c r="D227" s="1496"/>
      <c r="E227" s="1496"/>
      <c r="F227" s="1496"/>
      <c r="G227" s="2307"/>
      <c r="H227" s="298"/>
      <c r="I227" s="2308"/>
      <c r="J227" s="298"/>
      <c r="K227" s="2309"/>
      <c r="L227" s="1"/>
      <c r="M227" s="2309"/>
      <c r="N227" s="1"/>
      <c r="O227" s="1"/>
      <c r="P227" s="1"/>
      <c r="Q227" s="1"/>
      <c r="R227" s="1"/>
      <c r="S227" s="1"/>
      <c r="T227" s="1"/>
      <c r="U227" s="1"/>
      <c r="V227" s="1"/>
      <c r="W227" s="1"/>
      <c r="X227" s="1"/>
      <c r="Y227" s="1"/>
      <c r="Z227" s="1"/>
      <c r="AA227" s="1"/>
      <c r="AB227" s="1"/>
      <c r="AC227" s="1"/>
    </row>
    <row r="228" spans="1:34" ht="15.75" customHeight="1">
      <c r="A228" s="1458"/>
      <c r="B228" s="2727" t="s">
        <v>2037</v>
      </c>
      <c r="C228" s="2728"/>
      <c r="D228" s="2728"/>
      <c r="E228" s="2729"/>
      <c r="F228" s="1496"/>
      <c r="G228" s="2307"/>
      <c r="H228" s="298"/>
      <c r="I228" s="2308"/>
      <c r="J228" s="298"/>
      <c r="K228" s="2309"/>
      <c r="M228" s="2309"/>
      <c r="AH228" s="2230" t="s">
        <v>1950</v>
      </c>
    </row>
    <row r="229" spans="1:34" ht="15.75" customHeight="1">
      <c r="A229" s="1458"/>
      <c r="B229" s="1458"/>
      <c r="C229" s="1458"/>
      <c r="D229" s="1458"/>
      <c r="E229" s="1458"/>
    </row>
    <row r="230" spans="1:34" ht="15.75" customHeight="1">
      <c r="A230" s="1458"/>
      <c r="B230" s="2730" t="s">
        <v>2038</v>
      </c>
      <c r="C230" s="2731">
        <v>2017</v>
      </c>
      <c r="D230" s="2732"/>
      <c r="E230" s="2733" t="s">
        <v>2039</v>
      </c>
    </row>
    <row r="231" spans="1:34" ht="15.75" customHeight="1">
      <c r="A231" s="1458"/>
      <c r="B231" s="2734" t="s">
        <v>27</v>
      </c>
      <c r="C231" s="2735">
        <f>M25</f>
        <v>0.50926647520000001</v>
      </c>
      <c r="D231" s="2736"/>
      <c r="E231" s="2737">
        <f t="shared" ref="E231:E236" si="92">C231</f>
        <v>0.50926647520000001</v>
      </c>
    </row>
    <row r="232" spans="1:34" ht="15.75" customHeight="1">
      <c r="A232" s="1458"/>
      <c r="B232" s="2734" t="s">
        <v>28</v>
      </c>
      <c r="C232" s="2735">
        <f>W61+U89</f>
        <v>0.30753006707484265</v>
      </c>
      <c r="D232" s="2738"/>
      <c r="E232" s="2737">
        <f t="shared" si="92"/>
        <v>0.30753006707484265</v>
      </c>
    </row>
    <row r="233" spans="1:34" ht="15.75" customHeight="1">
      <c r="A233" s="1458"/>
      <c r="B233" s="2734" t="s">
        <v>2040</v>
      </c>
      <c r="C233" s="2735">
        <f>C262*$Z$8/1000000</f>
        <v>0.7763399034309264</v>
      </c>
      <c r="D233" s="2738"/>
      <c r="E233" s="2737">
        <f t="shared" si="92"/>
        <v>0.7763399034309264</v>
      </c>
      <c r="G233" s="770"/>
    </row>
    <row r="234" spans="1:34" ht="15.75" customHeight="1">
      <c r="A234" s="1458"/>
      <c r="B234" s="2734" t="s">
        <v>2041</v>
      </c>
      <c r="C234" s="2738">
        <v>0</v>
      </c>
      <c r="D234" s="2738"/>
      <c r="E234" s="2737">
        <f t="shared" si="92"/>
        <v>0</v>
      </c>
    </row>
    <row r="235" spans="1:34" ht="15.75" customHeight="1">
      <c r="A235" s="1458"/>
      <c r="B235" s="2734" t="s">
        <v>2042</v>
      </c>
      <c r="C235" s="2735">
        <f>AC209+AC224</f>
        <v>7.1772343261893648E-3</v>
      </c>
      <c r="D235" s="2738"/>
      <c r="E235" s="2737">
        <f t="shared" si="92"/>
        <v>7.1772343261893648E-3</v>
      </c>
    </row>
    <row r="236" spans="1:34" ht="15.75" customHeight="1">
      <c r="A236" s="1458"/>
      <c r="B236" s="2739" t="s">
        <v>1841</v>
      </c>
      <c r="C236" s="2740">
        <f>SUM(C231:C235)</f>
        <v>1.6003136800319584</v>
      </c>
      <c r="D236" s="2740"/>
      <c r="E236" s="2741">
        <f t="shared" si="92"/>
        <v>1.6003136800319584</v>
      </c>
    </row>
    <row r="237" spans="1:34" ht="15.75" customHeight="1">
      <c r="A237" s="1458"/>
      <c r="B237" s="2742"/>
      <c r="C237" s="2743"/>
      <c r="D237" s="2743"/>
      <c r="E237" s="2744"/>
    </row>
    <row r="238" spans="1:34" ht="15.75" customHeight="1">
      <c r="A238" s="1458"/>
      <c r="B238" s="2745" t="s">
        <v>2043</v>
      </c>
      <c r="C238" s="2746">
        <v>2017</v>
      </c>
      <c r="D238" s="2746"/>
      <c r="E238" s="2747" t="s">
        <v>2044</v>
      </c>
    </row>
    <row r="239" spans="1:34" ht="15.75" customHeight="1">
      <c r="A239" s="1458"/>
      <c r="B239" s="2742" t="s">
        <v>2045</v>
      </c>
      <c r="C239" s="2748">
        <f>SUM(C240:C243)</f>
        <v>2.2837983600583783E-2</v>
      </c>
      <c r="D239" s="2748"/>
      <c r="E239" s="2749">
        <f>C239*$Z$7</f>
        <v>0.63946354081634593</v>
      </c>
    </row>
    <row r="240" spans="1:34" ht="15.75" customHeight="1">
      <c r="A240" s="1458"/>
      <c r="B240" s="2750" t="s">
        <v>27</v>
      </c>
      <c r="C240" s="2738">
        <f>I25</f>
        <v>1.8188088399999996E-2</v>
      </c>
      <c r="D240" s="2738"/>
      <c r="E240" s="2737">
        <f>C240*$Z$7</f>
        <v>0.5092664751999999</v>
      </c>
    </row>
    <row r="241" spans="1:5" ht="15.75" customHeight="1">
      <c r="A241" s="1458"/>
      <c r="B241" s="2750" t="s">
        <v>28</v>
      </c>
      <c r="C241" s="2738">
        <f>S61</f>
        <v>4.4698763241015219E-3</v>
      </c>
      <c r="D241" s="2738"/>
      <c r="E241" s="2737">
        <f>C241*$Z$7</f>
        <v>0.12515653707484262</v>
      </c>
    </row>
    <row r="242" spans="1:5" ht="15.75" customHeight="1">
      <c r="A242" s="1458"/>
      <c r="B242" s="2750" t="s">
        <v>2041</v>
      </c>
      <c r="C242" s="2738">
        <v>0</v>
      </c>
      <c r="D242" s="2738"/>
      <c r="E242" s="2737">
        <f>C242*$Z$7</f>
        <v>0</v>
      </c>
    </row>
    <row r="243" spans="1:5" ht="15.75" customHeight="1">
      <c r="A243" s="1458"/>
      <c r="B243" s="2750" t="s">
        <v>2042</v>
      </c>
      <c r="C243" s="2738">
        <f>Y209/1000000</f>
        <v>1.8001887648226437E-4</v>
      </c>
      <c r="D243" s="2738"/>
      <c r="E243" s="2737">
        <f>C243*$Z$7</f>
        <v>5.0405285415034019E-3</v>
      </c>
    </row>
    <row r="244" spans="1:5" ht="15.75" customHeight="1">
      <c r="A244" s="1458"/>
      <c r="B244" s="2751" t="s">
        <v>2046</v>
      </c>
      <c r="C244" s="2748">
        <f>SUM(C245:C247)</f>
        <v>3.6258495819457065E-3</v>
      </c>
      <c r="D244" s="2748"/>
      <c r="E244" s="2749">
        <f>C244*$Z$8</f>
        <v>0.96085013921561224</v>
      </c>
    </row>
    <row r="245" spans="1:5" ht="15.75" customHeight="1">
      <c r="A245" s="1458"/>
      <c r="B245" s="2750" t="s">
        <v>28</v>
      </c>
      <c r="C245" s="2738">
        <f>O89*0.000000001</f>
        <v>6.8820200000000006E-4</v>
      </c>
      <c r="D245" s="2738"/>
      <c r="E245" s="2737">
        <f>C245*$Z$8</f>
        <v>0.18237353000000001</v>
      </c>
    </row>
    <row r="246" spans="1:5" ht="15.75" customHeight="1">
      <c r="A246" s="1458"/>
      <c r="B246" s="2750" t="s">
        <v>2040</v>
      </c>
      <c r="C246" s="2738">
        <f>(AA96+AA97+O124+Q124+G189+G192+O189)*0.000001</f>
        <v>2.9295845412487783E-3</v>
      </c>
      <c r="D246" s="2738"/>
      <c r="E246" s="2737">
        <f>C246*$Z$8</f>
        <v>0.77633990343092629</v>
      </c>
    </row>
    <row r="247" spans="1:5" ht="15.75" customHeight="1">
      <c r="A247" s="1458"/>
      <c r="B247" s="2750" t="s">
        <v>2042</v>
      </c>
      <c r="C247" s="2738">
        <f>Y224*0.000001</f>
        <v>8.06304069692816E-6</v>
      </c>
      <c r="D247" s="2738"/>
      <c r="E247" s="2737">
        <f>C247*$Z$8</f>
        <v>2.1367057846859625E-3</v>
      </c>
    </row>
    <row r="248" spans="1:5" ht="15.75" customHeight="1">
      <c r="A248" s="1458"/>
      <c r="B248" s="2734"/>
      <c r="C248" s="2743"/>
      <c r="D248" s="2743"/>
      <c r="E248" s="2752"/>
    </row>
    <row r="249" spans="1:5" ht="15.75" customHeight="1">
      <c r="A249" s="1458"/>
      <c r="B249" s="2745" t="s">
        <v>2047</v>
      </c>
      <c r="C249" s="2746">
        <v>2017</v>
      </c>
      <c r="D249" s="2746"/>
      <c r="E249" s="2753"/>
    </row>
    <row r="250" spans="1:5" ht="15.75" customHeight="1">
      <c r="A250" s="1458"/>
      <c r="B250" s="2742" t="s">
        <v>2048</v>
      </c>
      <c r="C250" s="2754">
        <f>SUM(C251:C255)</f>
        <v>2538.6726537275999</v>
      </c>
      <c r="D250" s="2754"/>
      <c r="E250" s="2755"/>
    </row>
    <row r="251" spans="1:5" ht="15.75" customHeight="1">
      <c r="A251" s="1458"/>
      <c r="B251" s="2750" t="s">
        <v>2049</v>
      </c>
      <c r="C251" s="1464">
        <f>O124</f>
        <v>382.69698405714291</v>
      </c>
      <c r="D251" s="1464"/>
      <c r="E251" s="1477"/>
    </row>
    <row r="252" spans="1:5" ht="15.75" customHeight="1">
      <c r="A252" s="1458"/>
      <c r="B252" s="2750" t="s">
        <v>2050</v>
      </c>
      <c r="C252" s="1464">
        <f t="shared" ref="C252:C253" si="93">AA96</f>
        <v>422.23715421701729</v>
      </c>
      <c r="D252" s="1464"/>
      <c r="E252" s="2756"/>
    </row>
    <row r="253" spans="1:5" ht="15.75" customHeight="1">
      <c r="A253" s="1458"/>
      <c r="B253" s="2750" t="s">
        <v>2051</v>
      </c>
      <c r="C253" s="1464">
        <f t="shared" si="93"/>
        <v>670.39496110002494</v>
      </c>
      <c r="D253" s="1464"/>
      <c r="E253" s="2756"/>
    </row>
    <row r="254" spans="1:5" ht="15.75" customHeight="1">
      <c r="A254" s="1458"/>
      <c r="B254" s="2750" t="s">
        <v>2052</v>
      </c>
      <c r="C254" s="1464">
        <v>0</v>
      </c>
      <c r="D254" s="1464"/>
      <c r="E254" s="1477"/>
    </row>
    <row r="255" spans="1:5" ht="15.75" customHeight="1">
      <c r="A255" s="1458"/>
      <c r="B255" s="2750" t="s">
        <v>2053</v>
      </c>
      <c r="C255" s="1464">
        <f>G192</f>
        <v>1063.3435543534149</v>
      </c>
      <c r="D255" s="1464"/>
      <c r="E255" s="1477"/>
    </row>
    <row r="256" spans="1:5" ht="15.75" customHeight="1">
      <c r="A256" s="1458"/>
      <c r="B256" s="2742" t="s">
        <v>2054</v>
      </c>
      <c r="C256" s="2754">
        <f>SUM(C257:C259)</f>
        <v>390.91188752117864</v>
      </c>
      <c r="D256" s="2754"/>
      <c r="E256" s="2755"/>
    </row>
    <row r="257" spans="1:5" ht="15.75" customHeight="1">
      <c r="A257" s="1458"/>
      <c r="B257" s="2750" t="s">
        <v>2049</v>
      </c>
      <c r="C257" s="1464">
        <f>Q124</f>
        <v>44.400207264285719</v>
      </c>
      <c r="D257" s="1464"/>
      <c r="E257" s="1477"/>
    </row>
    <row r="258" spans="1:5" ht="15.75" customHeight="1">
      <c r="A258" s="1458"/>
      <c r="B258" s="2750" t="s">
        <v>2053</v>
      </c>
      <c r="C258" s="1464">
        <f>G189</f>
        <v>122.54346298542859</v>
      </c>
      <c r="D258" s="1464"/>
      <c r="E258" s="1477"/>
    </row>
    <row r="259" spans="1:5" ht="15.75" customHeight="1">
      <c r="A259" s="1458"/>
      <c r="B259" s="2750" t="s">
        <v>2055</v>
      </c>
      <c r="C259" s="1464">
        <f>+O189</f>
        <v>223.96821727146431</v>
      </c>
      <c r="D259" s="1464"/>
      <c r="E259" s="1477"/>
    </row>
    <row r="260" spans="1:5" ht="15.75" customHeight="1">
      <c r="A260" s="1458"/>
      <c r="B260" s="2757" t="s">
        <v>2004</v>
      </c>
      <c r="C260" s="1464">
        <f t="shared" ref="C260:C261" si="94">O190</f>
        <v>86.106821412857144</v>
      </c>
      <c r="D260" s="1464"/>
      <c r="E260" s="1477"/>
    </row>
    <row r="261" spans="1:5" ht="15.75" customHeight="1">
      <c r="A261" s="1458"/>
      <c r="B261" s="2757" t="s">
        <v>2006</v>
      </c>
      <c r="C261" s="1464">
        <f t="shared" si="94"/>
        <v>137.86139585860715</v>
      </c>
      <c r="D261" s="1464"/>
      <c r="E261" s="1477"/>
    </row>
    <row r="262" spans="1:5" ht="15.75" customHeight="1">
      <c r="A262" s="1458"/>
      <c r="B262" s="2758" t="s">
        <v>1841</v>
      </c>
      <c r="C262" s="2759">
        <f>C256+C250</f>
        <v>2929.5845412487788</v>
      </c>
      <c r="D262" s="2760"/>
      <c r="E262" s="2761"/>
    </row>
    <row r="263" spans="1:5" ht="15.75" customHeight="1">
      <c r="A263" s="1458"/>
      <c r="B263" s="1458"/>
      <c r="C263" s="1458"/>
      <c r="D263" s="1458"/>
      <c r="E263" s="1458"/>
    </row>
    <row r="264" spans="1:5" ht="15.75" customHeight="1"/>
    <row r="265" spans="1:5" ht="15.75" customHeight="1"/>
    <row r="266" spans="1:5" ht="15.75" customHeight="1"/>
    <row r="267" spans="1:5" ht="15.75" customHeight="1"/>
    <row r="268" spans="1:5" ht="15.75" customHeight="1"/>
    <row r="269" spans="1:5" ht="15.75" customHeight="1"/>
    <row r="270" spans="1:5" ht="15.75" customHeight="1"/>
    <row r="271" spans="1:5" ht="15.75" customHeight="1"/>
    <row r="272" spans="1:5"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CB155:CC155"/>
    <mergeCell ref="C189:E189"/>
    <mergeCell ref="C192:E192"/>
    <mergeCell ref="B2:S2"/>
    <mergeCell ref="Y4:Z4"/>
    <mergeCell ref="AH155:AN155"/>
    <mergeCell ref="AP155:AS155"/>
    <mergeCell ref="AU155:AV155"/>
    <mergeCell ref="AX155:AY155"/>
    <mergeCell ref="BA155:BF155"/>
    <mergeCell ref="BH155:BL155"/>
    <mergeCell ref="BN155:BO155"/>
    <mergeCell ref="BQ155:BS155"/>
    <mergeCell ref="BU155:BW155"/>
    <mergeCell ref="BY155:BZ155"/>
  </mergeCells>
  <printOptions gridLines="1"/>
  <pageMargins left="0.25" right="0.25" top="0.21" bottom="0.5" header="0" footer="0"/>
  <pageSetup paperSize="5" orientation="landscape"/>
  <rowBreaks count="7" manualBreakCount="7">
    <brk id="227" man="1"/>
    <brk id="195" man="1"/>
    <brk id="120" man="1"/>
    <brk id="152" man="1"/>
    <brk id="28" man="1"/>
    <brk id="92" man="1"/>
    <brk id="61" man="1"/>
  </rowBreaks>
  <colBreaks count="1" manualBreakCount="1">
    <brk id="29" man="1"/>
  </colBreaks>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defaultColWidth="16.85546875" defaultRowHeight="15" customHeight="1"/>
  <cols>
    <col min="1" max="1" width="2.85546875" customWidth="1"/>
    <col min="2" max="2" width="16.140625" customWidth="1"/>
    <col min="3" max="3" width="43" customWidth="1"/>
    <col min="4" max="4" width="23.140625" customWidth="1"/>
    <col min="5" max="5" width="21.42578125" customWidth="1"/>
    <col min="6" max="6" width="23" customWidth="1"/>
    <col min="7" max="7" width="20.7109375" customWidth="1"/>
    <col min="8" max="8" width="19.28515625" customWidth="1"/>
    <col min="9" max="9" width="19.85546875" customWidth="1"/>
    <col min="10" max="10" width="22.28515625" customWidth="1"/>
    <col min="11" max="11" width="21.140625" customWidth="1"/>
    <col min="12" max="12" width="19.28515625" customWidth="1"/>
    <col min="13" max="13" width="20.140625" customWidth="1"/>
    <col min="14" max="14" width="8.85546875" customWidth="1"/>
    <col min="15" max="15" width="30" customWidth="1"/>
    <col min="16" max="16" width="20.28515625" customWidth="1"/>
    <col min="17" max="26" width="8.85546875" customWidth="1"/>
  </cols>
  <sheetData>
    <row r="1" spans="1:26" ht="32.4">
      <c r="A1" s="134" t="s">
        <v>168</v>
      </c>
      <c r="B1" s="135"/>
      <c r="C1" s="136"/>
      <c r="D1" s="136"/>
      <c r="E1" s="136"/>
      <c r="F1" s="137"/>
      <c r="G1" s="136"/>
      <c r="H1" s="136"/>
      <c r="I1" s="136"/>
      <c r="J1" s="136"/>
      <c r="K1" s="136"/>
      <c r="L1" s="136"/>
      <c r="M1" s="136"/>
      <c r="N1" s="136"/>
      <c r="O1" s="136"/>
      <c r="P1" s="136"/>
      <c r="Q1" s="136"/>
      <c r="R1" s="136"/>
      <c r="S1" s="136"/>
      <c r="T1" s="136"/>
      <c r="U1" s="136"/>
      <c r="V1" s="136"/>
      <c r="W1" s="136"/>
      <c r="X1" s="136"/>
      <c r="Y1" s="136"/>
      <c r="Z1" s="136"/>
    </row>
    <row r="2" spans="1:26" ht="132" customHeight="1"/>
    <row r="3" spans="1:26" ht="21">
      <c r="B3" s="138" t="s">
        <v>169</v>
      </c>
      <c r="C3" s="139"/>
      <c r="O3" s="140" t="s">
        <v>170</v>
      </c>
      <c r="P3" s="141" t="s">
        <v>171</v>
      </c>
      <c r="Q3" s="141"/>
      <c r="R3" s="141"/>
      <c r="S3" s="141"/>
      <c r="T3" s="141"/>
      <c r="U3" s="141"/>
      <c r="V3" s="141"/>
      <c r="W3" s="141"/>
    </row>
    <row r="4" spans="1:26" ht="13.2">
      <c r="G4" s="142"/>
      <c r="L4" s="1"/>
      <c r="O4" s="143" t="s">
        <v>172</v>
      </c>
      <c r="P4" s="141" t="s">
        <v>173</v>
      </c>
    </row>
    <row r="5" spans="1:26" ht="15.6">
      <c r="A5" s="144"/>
      <c r="B5" s="145" t="s">
        <v>174</v>
      </c>
      <c r="C5" s="146" t="s">
        <v>175</v>
      </c>
      <c r="D5" s="146" t="s">
        <v>176</v>
      </c>
      <c r="E5" s="146" t="s">
        <v>177</v>
      </c>
      <c r="F5" s="146" t="s">
        <v>178</v>
      </c>
      <c r="G5" s="146" t="s">
        <v>178</v>
      </c>
      <c r="H5" s="146" t="s">
        <v>179</v>
      </c>
      <c r="I5" s="146" t="s">
        <v>180</v>
      </c>
      <c r="J5" s="147" t="s">
        <v>181</v>
      </c>
      <c r="K5" s="146" t="s">
        <v>182</v>
      </c>
      <c r="L5" s="146" t="s">
        <v>183</v>
      </c>
      <c r="M5" s="146" t="s">
        <v>184</v>
      </c>
    </row>
    <row r="6" spans="1:26" ht="13.2">
      <c r="A6" s="144"/>
      <c r="B6" s="148"/>
      <c r="C6" s="149"/>
      <c r="D6" s="149"/>
      <c r="E6" s="149"/>
      <c r="F6" s="149"/>
      <c r="G6" s="149" t="s">
        <v>185</v>
      </c>
      <c r="H6" s="149" t="s">
        <v>186</v>
      </c>
      <c r="I6" s="149" t="s">
        <v>187</v>
      </c>
      <c r="J6" s="149" t="s">
        <v>188</v>
      </c>
      <c r="K6" s="149" t="s">
        <v>189</v>
      </c>
      <c r="L6" s="149" t="s">
        <v>189</v>
      </c>
      <c r="M6" s="149" t="s">
        <v>189</v>
      </c>
    </row>
    <row r="7" spans="1:26" ht="13.2">
      <c r="A7" s="144"/>
      <c r="B7" s="150"/>
      <c r="C7" s="151"/>
      <c r="D7" s="151"/>
      <c r="E7" s="151"/>
      <c r="F7" s="151"/>
      <c r="G7" s="151"/>
      <c r="H7" s="151"/>
      <c r="I7" s="151"/>
      <c r="J7" s="151"/>
      <c r="K7" s="152"/>
      <c r="L7" s="151"/>
      <c r="M7" s="151"/>
    </row>
    <row r="8" spans="1:26" ht="13.2">
      <c r="A8" s="144"/>
      <c r="B8" s="153" t="s">
        <v>190</v>
      </c>
      <c r="C8" s="154" t="s">
        <v>191</v>
      </c>
      <c r="D8" s="155"/>
      <c r="E8" s="155"/>
      <c r="F8" s="156"/>
      <c r="G8" s="155"/>
      <c r="H8" s="155"/>
      <c r="I8" s="155"/>
      <c r="J8" s="157"/>
      <c r="K8" s="155"/>
      <c r="L8" s="155"/>
      <c r="M8" s="155"/>
    </row>
    <row r="9" spans="1:26" ht="13.2">
      <c r="A9" s="144"/>
      <c r="B9" s="150"/>
      <c r="C9" s="151" t="s">
        <v>192</v>
      </c>
      <c r="D9" s="151" t="s">
        <v>193</v>
      </c>
      <c r="E9" s="151" t="s">
        <v>194</v>
      </c>
      <c r="F9" s="152">
        <v>570254</v>
      </c>
      <c r="G9" s="151" t="s">
        <v>195</v>
      </c>
      <c r="H9" s="158">
        <v>11024</v>
      </c>
      <c r="I9" s="151" t="s">
        <v>196</v>
      </c>
      <c r="J9" s="159">
        <v>13150280</v>
      </c>
      <c r="K9" s="160">
        <v>1346069.7628695085</v>
      </c>
      <c r="L9" s="160">
        <v>159.22588972772317</v>
      </c>
      <c r="M9" s="160">
        <v>23.164302999752131</v>
      </c>
    </row>
    <row r="10" spans="1:26" ht="13.2">
      <c r="A10" s="144"/>
      <c r="B10" s="161"/>
      <c r="C10" s="162"/>
      <c r="D10" s="162"/>
      <c r="E10" s="162"/>
      <c r="F10" s="163"/>
      <c r="G10" s="162"/>
      <c r="H10" s="164"/>
      <c r="I10" s="162"/>
      <c r="J10" s="165"/>
      <c r="K10" s="162"/>
      <c r="L10" s="166"/>
      <c r="M10" s="162"/>
    </row>
    <row r="11" spans="1:26" ht="13.2">
      <c r="A11" s="144"/>
      <c r="B11" s="150"/>
      <c r="C11" s="151"/>
      <c r="D11" s="151"/>
      <c r="E11" s="151"/>
      <c r="F11" s="158"/>
      <c r="G11" s="151"/>
      <c r="H11" s="158"/>
      <c r="I11" s="151"/>
      <c r="J11" s="158"/>
      <c r="K11" s="156"/>
      <c r="L11" s="167"/>
      <c r="M11" s="151"/>
    </row>
    <row r="12" spans="1:26" ht="13.2">
      <c r="A12" s="144"/>
      <c r="B12" s="150" t="s">
        <v>197</v>
      </c>
      <c r="C12" s="168" t="s">
        <v>198</v>
      </c>
      <c r="D12" s="151"/>
      <c r="E12" s="151"/>
      <c r="F12" s="158"/>
      <c r="G12" s="151"/>
      <c r="H12" s="158"/>
      <c r="I12" s="151"/>
      <c r="J12" s="151"/>
      <c r="K12" s="158"/>
      <c r="L12" s="167"/>
      <c r="M12" s="151"/>
    </row>
    <row r="13" spans="1:26" ht="13.2">
      <c r="A13" s="144"/>
      <c r="B13" s="150"/>
      <c r="C13" s="151" t="s">
        <v>199</v>
      </c>
      <c r="D13" s="169" t="s">
        <v>200</v>
      </c>
      <c r="E13" s="151" t="s">
        <v>201</v>
      </c>
      <c r="F13" s="152">
        <v>697617</v>
      </c>
      <c r="G13" s="151" t="s">
        <v>195</v>
      </c>
      <c r="H13" s="167">
        <v>26.03</v>
      </c>
      <c r="I13" s="151" t="s">
        <v>202</v>
      </c>
      <c r="J13" s="152">
        <v>18158970.510000002</v>
      </c>
      <c r="K13" s="170">
        <v>1929649.9902637964</v>
      </c>
      <c r="L13" s="171">
        <v>220.131</v>
      </c>
      <c r="M13" s="172">
        <v>32.027000000000001</v>
      </c>
    </row>
    <row r="14" spans="1:26" ht="13.2">
      <c r="A14" s="144"/>
      <c r="B14" s="150"/>
      <c r="C14" s="151" t="s">
        <v>203</v>
      </c>
      <c r="D14" s="169" t="s">
        <v>204</v>
      </c>
      <c r="E14" s="151" t="s">
        <v>201</v>
      </c>
      <c r="F14" s="152">
        <v>960444</v>
      </c>
      <c r="G14" s="151" t="s">
        <v>195</v>
      </c>
      <c r="H14" s="167">
        <v>26.03</v>
      </c>
      <c r="I14" s="151" t="s">
        <v>202</v>
      </c>
      <c r="J14" s="152">
        <v>25000357.32</v>
      </c>
      <c r="K14" s="173">
        <v>2580586.7564753494</v>
      </c>
      <c r="L14" s="174">
        <v>303.13499999999999</v>
      </c>
      <c r="M14" s="172">
        <v>44.094000000000001</v>
      </c>
    </row>
    <row r="15" spans="1:26" ht="13.2">
      <c r="A15" s="144"/>
      <c r="B15" s="150"/>
      <c r="C15" s="151"/>
      <c r="D15" s="169"/>
      <c r="E15" s="151"/>
      <c r="F15" s="158"/>
      <c r="G15" s="151"/>
      <c r="H15" s="158"/>
      <c r="I15" s="151"/>
      <c r="J15" s="151"/>
      <c r="K15" s="158"/>
      <c r="L15" s="167"/>
      <c r="M15" s="151"/>
    </row>
    <row r="16" spans="1:26" ht="13.2">
      <c r="A16" s="144"/>
      <c r="B16" s="153"/>
      <c r="C16" s="155"/>
      <c r="D16" s="175"/>
      <c r="E16" s="155"/>
      <c r="F16" s="156"/>
      <c r="G16" s="155"/>
      <c r="H16" s="156"/>
      <c r="I16" s="155"/>
      <c r="J16" s="155"/>
      <c r="K16" s="156"/>
      <c r="L16" s="176"/>
      <c r="M16" s="155"/>
    </row>
    <row r="17" spans="1:13" ht="13.2">
      <c r="A17" s="144"/>
      <c r="B17" s="150" t="s">
        <v>205</v>
      </c>
      <c r="C17" s="177" t="s">
        <v>206</v>
      </c>
      <c r="D17" s="169"/>
      <c r="E17" s="151"/>
      <c r="F17" s="158"/>
      <c r="G17" s="151"/>
      <c r="H17" s="158"/>
      <c r="I17" s="151"/>
      <c r="J17" s="151"/>
      <c r="K17" s="158"/>
      <c r="L17" s="167"/>
      <c r="M17" s="151"/>
    </row>
    <row r="18" spans="1:13" ht="13.2">
      <c r="A18" s="144"/>
      <c r="B18" s="150"/>
      <c r="C18" s="151" t="s">
        <v>207</v>
      </c>
      <c r="D18" s="169" t="s">
        <v>208</v>
      </c>
      <c r="E18" s="151" t="s">
        <v>209</v>
      </c>
      <c r="F18" s="152">
        <v>15307</v>
      </c>
      <c r="G18" s="151" t="s">
        <v>195</v>
      </c>
      <c r="H18" s="167">
        <v>22.08</v>
      </c>
      <c r="I18" s="151" t="s">
        <v>210</v>
      </c>
      <c r="J18" s="152">
        <v>337978.56</v>
      </c>
      <c r="K18" s="158">
        <v>35577.643597341281</v>
      </c>
      <c r="L18" s="167">
        <v>0.41</v>
      </c>
      <c r="M18" s="151">
        <v>0.65600000000000003</v>
      </c>
    </row>
    <row r="19" spans="1:13" ht="13.2">
      <c r="A19" s="144"/>
      <c r="B19" s="150"/>
      <c r="C19" s="151"/>
      <c r="D19" s="169" t="s">
        <v>208</v>
      </c>
      <c r="E19" s="151" t="s">
        <v>211</v>
      </c>
      <c r="F19" s="152">
        <v>47337</v>
      </c>
      <c r="G19" s="151" t="s">
        <v>195</v>
      </c>
      <c r="H19" s="167">
        <v>17.8</v>
      </c>
      <c r="I19" s="151" t="s">
        <v>210</v>
      </c>
      <c r="J19" s="152">
        <v>842598.6</v>
      </c>
      <c r="K19" s="158">
        <v>88696.965530650021</v>
      </c>
      <c r="L19" s="167">
        <v>1.01</v>
      </c>
      <c r="M19" s="151">
        <v>1.6160000000000001</v>
      </c>
    </row>
    <row r="20" spans="1:13" ht="13.2">
      <c r="A20" s="144"/>
      <c r="B20" s="150"/>
      <c r="C20" s="151"/>
      <c r="D20" s="169"/>
      <c r="E20" s="151"/>
      <c r="F20" s="158"/>
      <c r="G20" s="151"/>
      <c r="H20" s="158"/>
      <c r="I20" s="151"/>
      <c r="J20" s="173"/>
      <c r="K20" s="151"/>
      <c r="L20" s="151"/>
      <c r="M20" s="151"/>
    </row>
    <row r="21" spans="1:13" ht="15.75" customHeight="1">
      <c r="A21" s="144"/>
      <c r="B21" s="150"/>
      <c r="C21" s="151" t="s">
        <v>212</v>
      </c>
      <c r="D21" s="169"/>
      <c r="E21" s="151" t="s">
        <v>209</v>
      </c>
      <c r="F21" s="152">
        <v>24630</v>
      </c>
      <c r="G21" s="151"/>
      <c r="H21" s="167">
        <v>22.08</v>
      </c>
      <c r="I21" s="151" t="s">
        <v>210</v>
      </c>
      <c r="J21" s="152">
        <v>543830.39999999991</v>
      </c>
      <c r="K21" s="158">
        <v>51627.038631891875</v>
      </c>
      <c r="L21" s="167">
        <v>0.65900000000000003</v>
      </c>
      <c r="M21" s="151">
        <v>1.0549999999999999</v>
      </c>
    </row>
    <row r="22" spans="1:13" ht="15.75" customHeight="1">
      <c r="A22" s="144"/>
      <c r="B22" s="150"/>
      <c r="C22" s="151"/>
      <c r="D22" s="169" t="s">
        <v>213</v>
      </c>
      <c r="E22" s="151" t="s">
        <v>211</v>
      </c>
      <c r="F22" s="152">
        <v>62186</v>
      </c>
      <c r="G22" s="151" t="s">
        <v>195</v>
      </c>
      <c r="H22" s="167">
        <v>17.600000000000001</v>
      </c>
      <c r="I22" s="151" t="s">
        <v>210</v>
      </c>
      <c r="J22" s="152">
        <v>1094473.6000000001</v>
      </c>
      <c r="K22" s="158">
        <v>103900.83163571914</v>
      </c>
      <c r="L22" s="167">
        <v>1.327</v>
      </c>
      <c r="M22" s="151">
        <v>2.1230000000000002</v>
      </c>
    </row>
    <row r="23" spans="1:13" ht="15.75" customHeight="1">
      <c r="A23" s="144"/>
      <c r="B23" s="150"/>
      <c r="C23" s="151"/>
      <c r="D23" s="151"/>
      <c r="E23" s="151"/>
      <c r="F23" s="158"/>
      <c r="G23" s="151"/>
      <c r="H23" s="158"/>
      <c r="I23" s="151"/>
      <c r="J23" s="158"/>
      <c r="K23" s="158"/>
      <c r="L23" s="167"/>
      <c r="M23" s="151"/>
    </row>
    <row r="24" spans="1:13" ht="15.75" customHeight="1">
      <c r="A24" s="144"/>
      <c r="B24" s="153"/>
      <c r="C24" s="154"/>
      <c r="D24" s="155"/>
      <c r="E24" s="155"/>
      <c r="F24" s="156"/>
      <c r="G24" s="155"/>
      <c r="H24" s="156"/>
      <c r="I24" s="155"/>
      <c r="J24" s="156"/>
      <c r="K24" s="156"/>
      <c r="L24" s="176"/>
      <c r="M24" s="155"/>
    </row>
    <row r="25" spans="1:13" ht="15.75" customHeight="1">
      <c r="A25" s="144"/>
      <c r="B25" s="150" t="s">
        <v>214</v>
      </c>
      <c r="C25" s="168" t="s">
        <v>215</v>
      </c>
      <c r="D25" s="151"/>
      <c r="E25" s="151"/>
      <c r="F25" s="158"/>
      <c r="G25" s="151"/>
      <c r="H25" s="158"/>
      <c r="I25" s="151"/>
      <c r="J25" s="158"/>
      <c r="K25" s="158"/>
      <c r="L25" s="167"/>
      <c r="M25" s="167"/>
    </row>
    <row r="26" spans="1:13" ht="15.75" customHeight="1">
      <c r="A26" s="144"/>
      <c r="B26" s="150"/>
      <c r="C26" s="151" t="s">
        <v>216</v>
      </c>
      <c r="D26" s="169" t="s">
        <v>200</v>
      </c>
      <c r="E26" s="151" t="s">
        <v>194</v>
      </c>
      <c r="F26" s="152">
        <v>114840</v>
      </c>
      <c r="G26" s="151" t="s">
        <v>195</v>
      </c>
      <c r="H26" s="158">
        <v>12884</v>
      </c>
      <c r="I26" s="151" t="s">
        <v>217</v>
      </c>
      <c r="J26" s="158">
        <v>2959197.12</v>
      </c>
      <c r="K26" s="158">
        <v>321589.47431884549</v>
      </c>
      <c r="L26" s="167">
        <v>35.871387488639996</v>
      </c>
      <c r="M26" s="178">
        <v>5.217656361984</v>
      </c>
    </row>
    <row r="27" spans="1:13" ht="15.75" customHeight="1">
      <c r="A27" s="144"/>
      <c r="B27" s="150"/>
      <c r="C27" s="151"/>
      <c r="D27" s="151"/>
      <c r="E27" s="151"/>
      <c r="F27" s="158"/>
      <c r="G27" s="151"/>
      <c r="H27" s="158"/>
      <c r="I27" s="151"/>
      <c r="J27" s="173"/>
      <c r="K27" s="179"/>
      <c r="L27" s="180"/>
      <c r="M27" s="178"/>
    </row>
    <row r="28" spans="1:13" ht="15.75" customHeight="1">
      <c r="A28" s="144"/>
      <c r="B28" s="150"/>
      <c r="C28" s="151" t="s">
        <v>218</v>
      </c>
      <c r="D28" s="169" t="s">
        <v>204</v>
      </c>
      <c r="E28" s="151" t="s">
        <v>194</v>
      </c>
      <c r="F28" s="152">
        <v>84220</v>
      </c>
      <c r="G28" s="151" t="s">
        <v>195</v>
      </c>
      <c r="H28" s="158">
        <v>12855</v>
      </c>
      <c r="I28" s="151" t="s">
        <v>217</v>
      </c>
      <c r="J28" s="158">
        <v>2165296.2000000002</v>
      </c>
      <c r="K28" s="158">
        <v>235005.38371135606</v>
      </c>
      <c r="L28" s="167">
        <v>26.247720536399999</v>
      </c>
      <c r="M28" s="178">
        <v>3.8188896020160006</v>
      </c>
    </row>
    <row r="29" spans="1:13" ht="15.75" customHeight="1">
      <c r="A29" s="144"/>
      <c r="B29" s="150"/>
      <c r="C29" s="151"/>
      <c r="D29" s="169"/>
      <c r="E29" s="151"/>
      <c r="F29" s="158"/>
      <c r="G29" s="151"/>
      <c r="H29" s="158"/>
      <c r="I29" s="151"/>
      <c r="J29" s="158"/>
      <c r="K29" s="158"/>
      <c r="L29" s="167"/>
      <c r="M29" s="178"/>
    </row>
    <row r="30" spans="1:13" ht="15.75" customHeight="1">
      <c r="A30" s="144"/>
      <c r="B30" s="150"/>
      <c r="C30" s="151" t="s">
        <v>219</v>
      </c>
      <c r="D30" s="169" t="s">
        <v>220</v>
      </c>
      <c r="E30" s="151" t="s">
        <v>194</v>
      </c>
      <c r="F30" s="181">
        <v>0</v>
      </c>
      <c r="G30" s="151" t="s">
        <v>195</v>
      </c>
      <c r="H30" s="158">
        <v>12865</v>
      </c>
      <c r="I30" s="151" t="s">
        <v>217</v>
      </c>
      <c r="J30" s="158">
        <v>0</v>
      </c>
      <c r="K30" s="158">
        <v>0</v>
      </c>
      <c r="L30" s="167">
        <v>0</v>
      </c>
      <c r="M30" s="178">
        <v>0</v>
      </c>
    </row>
    <row r="31" spans="1:13" ht="15.75" customHeight="1">
      <c r="A31" s="144"/>
      <c r="B31" s="150"/>
      <c r="C31" s="151"/>
      <c r="D31" s="169"/>
      <c r="E31" s="151"/>
      <c r="F31" s="158"/>
      <c r="G31" s="151"/>
      <c r="H31" s="158"/>
      <c r="I31" s="151"/>
      <c r="J31" s="158"/>
      <c r="K31" s="158"/>
      <c r="L31" s="167"/>
      <c r="M31" s="178"/>
    </row>
    <row r="32" spans="1:13" ht="15.75" customHeight="1">
      <c r="A32" s="144"/>
      <c r="B32" s="150"/>
      <c r="C32" s="151" t="s">
        <v>221</v>
      </c>
      <c r="D32" s="169" t="s">
        <v>222</v>
      </c>
      <c r="E32" s="151" t="s">
        <v>194</v>
      </c>
      <c r="F32" s="181">
        <v>0</v>
      </c>
      <c r="G32" s="151" t="s">
        <v>195</v>
      </c>
      <c r="H32" s="158">
        <v>12865</v>
      </c>
      <c r="I32" s="151" t="s">
        <v>217</v>
      </c>
      <c r="J32" s="158">
        <v>0</v>
      </c>
      <c r="K32" s="158">
        <v>0</v>
      </c>
      <c r="L32" s="167">
        <v>0</v>
      </c>
      <c r="M32" s="178">
        <v>0</v>
      </c>
    </row>
    <row r="33" spans="1:13" ht="15.75" customHeight="1">
      <c r="A33" s="144"/>
      <c r="B33" s="150"/>
      <c r="C33" s="151"/>
      <c r="D33" s="169"/>
      <c r="E33" s="151"/>
      <c r="F33" s="158"/>
      <c r="G33" s="151"/>
      <c r="H33" s="158"/>
      <c r="I33" s="151"/>
      <c r="J33" s="173"/>
      <c r="K33" s="158"/>
      <c r="L33" s="167"/>
      <c r="M33" s="178"/>
    </row>
    <row r="34" spans="1:13" ht="15.75" customHeight="1">
      <c r="A34" s="144"/>
      <c r="B34" s="150"/>
      <c r="C34" s="151"/>
      <c r="D34" s="151"/>
      <c r="E34" s="151"/>
      <c r="F34" s="158"/>
      <c r="G34" s="151"/>
      <c r="H34" s="158"/>
      <c r="I34" s="151"/>
      <c r="J34" s="158"/>
      <c r="K34" s="158"/>
      <c r="L34" s="167"/>
      <c r="M34" s="151"/>
    </row>
    <row r="35" spans="1:13" ht="15.75" customHeight="1">
      <c r="A35" s="144"/>
      <c r="B35" s="153"/>
      <c r="C35" s="155"/>
      <c r="D35" s="155"/>
      <c r="E35" s="155"/>
      <c r="F35" s="182"/>
      <c r="G35" s="155"/>
      <c r="H35" s="156"/>
      <c r="I35" s="155"/>
      <c r="J35" s="155"/>
      <c r="K35" s="155"/>
      <c r="L35" s="155"/>
      <c r="M35" s="155"/>
    </row>
    <row r="36" spans="1:13" ht="15.75" customHeight="1">
      <c r="A36" s="144"/>
      <c r="B36" s="150" t="s">
        <v>223</v>
      </c>
      <c r="C36" s="168" t="s">
        <v>224</v>
      </c>
      <c r="D36" s="151"/>
      <c r="E36" s="151"/>
      <c r="F36" s="158"/>
      <c r="G36" s="151"/>
      <c r="H36" s="158"/>
      <c r="I36" s="151"/>
      <c r="J36" s="158"/>
      <c r="K36" s="158"/>
      <c r="L36" s="167"/>
      <c r="M36" s="151"/>
    </row>
    <row r="37" spans="1:13" ht="15.75" customHeight="1">
      <c r="A37" s="144"/>
      <c r="B37" s="150"/>
      <c r="C37" s="151"/>
      <c r="D37" s="151"/>
      <c r="E37" s="151"/>
      <c r="F37" s="158"/>
      <c r="G37" s="151"/>
      <c r="H37" s="158"/>
      <c r="I37" s="151"/>
      <c r="J37" s="173"/>
      <c r="K37" s="179"/>
      <c r="L37" s="183"/>
      <c r="M37" s="151"/>
    </row>
    <row r="38" spans="1:13" ht="15.75" customHeight="1">
      <c r="A38" s="144"/>
      <c r="B38" s="150"/>
      <c r="C38" s="151" t="s">
        <v>225</v>
      </c>
      <c r="D38" s="151" t="s">
        <v>204</v>
      </c>
      <c r="E38" s="151" t="s">
        <v>201</v>
      </c>
      <c r="F38" s="152">
        <v>10457</v>
      </c>
      <c r="G38" s="151" t="s">
        <v>195</v>
      </c>
      <c r="H38" s="151">
        <v>24</v>
      </c>
      <c r="I38" s="151" t="s">
        <v>226</v>
      </c>
      <c r="J38" s="152">
        <v>250968</v>
      </c>
      <c r="K38" s="173">
        <v>53.298457142024226</v>
      </c>
      <c r="L38" s="174">
        <v>2.859</v>
      </c>
      <c r="M38" s="184">
        <v>0.41599999999999998</v>
      </c>
    </row>
    <row r="39" spans="1:13" ht="15.75" customHeight="1">
      <c r="A39" s="144"/>
      <c r="B39" s="150"/>
      <c r="C39" s="151"/>
      <c r="D39" s="151"/>
      <c r="E39" s="151"/>
      <c r="F39" s="158"/>
      <c r="G39" s="151"/>
      <c r="H39" s="158"/>
      <c r="I39" s="151"/>
      <c r="J39" s="173"/>
      <c r="K39" s="179"/>
      <c r="L39" s="183"/>
      <c r="M39" s="151"/>
    </row>
    <row r="40" spans="1:13" ht="15.75" customHeight="1">
      <c r="A40" s="144"/>
      <c r="B40" s="150"/>
      <c r="C40" s="151" t="s">
        <v>227</v>
      </c>
      <c r="D40" s="151" t="s">
        <v>220</v>
      </c>
      <c r="E40" s="151" t="s">
        <v>201</v>
      </c>
      <c r="F40" s="152">
        <v>81675</v>
      </c>
      <c r="G40" s="151" t="s">
        <v>195</v>
      </c>
      <c r="H40" s="174">
        <v>23.8</v>
      </c>
      <c r="I40" s="151" t="s">
        <v>226</v>
      </c>
      <c r="J40" s="152">
        <v>1943865</v>
      </c>
      <c r="K40" s="173">
        <v>7879.2556359875898</v>
      </c>
      <c r="L40" s="184">
        <v>23.738</v>
      </c>
      <c r="M40" s="184">
        <v>3.452</v>
      </c>
    </row>
    <row r="41" spans="1:13" ht="15.75" customHeight="1">
      <c r="A41" s="144"/>
      <c r="B41" s="150"/>
      <c r="C41" s="151"/>
      <c r="D41" s="151"/>
      <c r="E41" s="151"/>
      <c r="F41" s="185"/>
      <c r="G41" s="151"/>
      <c r="H41" s="186"/>
      <c r="I41" s="151"/>
      <c r="J41" s="186"/>
      <c r="K41" s="151"/>
      <c r="L41" s="151"/>
      <c r="M41" s="151"/>
    </row>
    <row r="42" spans="1:13" ht="15.75" customHeight="1">
      <c r="A42" s="144"/>
      <c r="B42" s="153"/>
      <c r="C42" s="155"/>
      <c r="D42" s="155"/>
      <c r="E42" s="155"/>
      <c r="F42" s="155"/>
      <c r="G42" s="155"/>
      <c r="H42" s="155"/>
      <c r="I42" s="155"/>
      <c r="J42" s="155"/>
      <c r="K42" s="155"/>
      <c r="L42" s="155"/>
      <c r="M42" s="155"/>
    </row>
    <row r="43" spans="1:13" ht="15.75" customHeight="1">
      <c r="A43" s="144"/>
      <c r="B43" s="150" t="s">
        <v>228</v>
      </c>
      <c r="C43" s="177" t="s">
        <v>229</v>
      </c>
      <c r="D43" s="151"/>
      <c r="E43" s="151"/>
      <c r="F43" s="151"/>
      <c r="G43" s="151"/>
      <c r="H43" s="151"/>
      <c r="I43" s="151"/>
      <c r="J43" s="151"/>
      <c r="K43" s="151"/>
      <c r="L43" s="151"/>
      <c r="M43" s="151"/>
    </row>
    <row r="44" spans="1:13" ht="15.75" customHeight="1">
      <c r="A44" s="144"/>
      <c r="B44" s="150"/>
      <c r="C44" s="151" t="s">
        <v>230</v>
      </c>
      <c r="D44" s="151" t="s">
        <v>231</v>
      </c>
      <c r="E44" s="151" t="s">
        <v>194</v>
      </c>
      <c r="F44" s="187">
        <v>27910</v>
      </c>
      <c r="G44" s="151" t="s">
        <v>195</v>
      </c>
      <c r="H44" s="186">
        <v>12959</v>
      </c>
      <c r="I44" s="151" t="s">
        <v>196</v>
      </c>
      <c r="J44" s="152">
        <v>723371.38</v>
      </c>
      <c r="K44" s="158">
        <v>68657.702231617848</v>
      </c>
      <c r="L44" s="188">
        <v>8.7711921506552155</v>
      </c>
      <c r="M44" s="188">
        <v>1.275808782930312</v>
      </c>
    </row>
    <row r="45" spans="1:13" ht="15.75" customHeight="1">
      <c r="A45" s="144"/>
      <c r="B45" s="150"/>
      <c r="C45" s="151"/>
      <c r="D45" s="151"/>
      <c r="E45" s="151"/>
      <c r="F45" s="151"/>
      <c r="G45" s="151"/>
      <c r="H45" s="151"/>
      <c r="I45" s="151"/>
      <c r="J45" s="151"/>
      <c r="K45" s="151"/>
      <c r="L45" s="151"/>
      <c r="M45" s="151"/>
    </row>
    <row r="46" spans="1:13" ht="15.75" customHeight="1">
      <c r="A46" s="144"/>
      <c r="B46" s="150"/>
      <c r="C46" s="151" t="s">
        <v>232</v>
      </c>
      <c r="D46" s="151" t="s">
        <v>233</v>
      </c>
      <c r="E46" s="151" t="s">
        <v>194</v>
      </c>
      <c r="F46" s="187">
        <v>35920</v>
      </c>
      <c r="G46" s="151" t="s">
        <v>195</v>
      </c>
      <c r="H46" s="186">
        <v>12959</v>
      </c>
      <c r="I46" s="151" t="s">
        <v>196</v>
      </c>
      <c r="J46" s="152">
        <v>930974.56</v>
      </c>
      <c r="K46" s="158">
        <v>88362.370540407981</v>
      </c>
      <c r="L46" s="188">
        <v>11.288462162115389</v>
      </c>
      <c r="M46" s="188">
        <v>1.6419581326713293</v>
      </c>
    </row>
    <row r="47" spans="1:13" ht="15.75" customHeight="1">
      <c r="A47" s="144"/>
      <c r="B47" s="150"/>
      <c r="C47" s="151"/>
      <c r="D47" s="151"/>
      <c r="E47" s="151"/>
      <c r="F47" s="151"/>
      <c r="G47" s="151"/>
      <c r="H47" s="151"/>
      <c r="I47" s="151"/>
      <c r="J47" s="151"/>
      <c r="K47" s="151"/>
      <c r="L47" s="151"/>
      <c r="M47" s="151"/>
    </row>
    <row r="48" spans="1:13" ht="15.75" customHeight="1">
      <c r="A48" s="144"/>
      <c r="B48" s="150"/>
      <c r="C48" s="151" t="s">
        <v>234</v>
      </c>
      <c r="D48" s="151" t="s">
        <v>235</v>
      </c>
      <c r="E48" s="151" t="s">
        <v>194</v>
      </c>
      <c r="F48" s="187">
        <v>36200</v>
      </c>
      <c r="G48" s="151" t="s">
        <v>195</v>
      </c>
      <c r="H48" s="186">
        <v>12959</v>
      </c>
      <c r="I48" s="151" t="s">
        <v>196</v>
      </c>
      <c r="J48" s="152">
        <v>938231.6</v>
      </c>
      <c r="K48" s="158">
        <v>89050.742200916749</v>
      </c>
      <c r="L48" s="188">
        <v>11.376456856029428</v>
      </c>
      <c r="M48" s="188">
        <v>1.6547573608770076</v>
      </c>
    </row>
    <row r="49" spans="1:13" ht="15.75" customHeight="1">
      <c r="A49" s="144"/>
      <c r="B49" s="150"/>
      <c r="C49" s="151"/>
      <c r="D49" s="151"/>
      <c r="E49" s="151"/>
      <c r="F49" s="151"/>
      <c r="G49" s="151"/>
      <c r="H49" s="151"/>
      <c r="I49" s="151"/>
      <c r="J49" s="151"/>
      <c r="K49" s="151"/>
      <c r="L49" s="151"/>
      <c r="M49" s="151"/>
    </row>
    <row r="50" spans="1:13" ht="15.75" customHeight="1">
      <c r="A50" s="144"/>
      <c r="B50" s="153"/>
      <c r="C50" s="155"/>
      <c r="D50" s="155"/>
      <c r="E50" s="155"/>
      <c r="F50" s="155"/>
      <c r="G50" s="155"/>
      <c r="H50" s="155"/>
      <c r="I50" s="155"/>
      <c r="J50" s="155"/>
      <c r="K50" s="155"/>
      <c r="L50" s="155"/>
      <c r="M50" s="155"/>
    </row>
    <row r="51" spans="1:13" ht="15.75" customHeight="1">
      <c r="A51" s="144"/>
      <c r="B51" s="150" t="s">
        <v>236</v>
      </c>
      <c r="C51" s="177" t="s">
        <v>237</v>
      </c>
      <c r="D51" s="151"/>
      <c r="E51" s="151"/>
      <c r="F51" s="151"/>
      <c r="G51" s="151"/>
      <c r="H51" s="151"/>
      <c r="I51" s="151"/>
      <c r="J51" s="151"/>
      <c r="K51" s="151"/>
      <c r="L51" s="151"/>
      <c r="M51" s="151"/>
    </row>
    <row r="52" spans="1:13" ht="15.75" customHeight="1">
      <c r="A52" s="144"/>
      <c r="B52" s="150"/>
      <c r="C52" s="151" t="s">
        <v>238</v>
      </c>
      <c r="D52" s="151" t="s">
        <v>200</v>
      </c>
      <c r="E52" s="151" t="s">
        <v>194</v>
      </c>
      <c r="F52" s="187">
        <v>467991</v>
      </c>
      <c r="G52" s="151" t="s">
        <v>195</v>
      </c>
      <c r="H52" s="186">
        <v>12917.97</v>
      </c>
      <c r="I52" s="151" t="s">
        <v>196</v>
      </c>
      <c r="J52" s="152">
        <v>12090987.396539997</v>
      </c>
      <c r="K52" s="158">
        <v>1147325.4465995142</v>
      </c>
      <c r="L52" s="188">
        <v>134.61382665990391</v>
      </c>
      <c r="M52" s="188">
        <v>19.603955338820956</v>
      </c>
    </row>
    <row r="53" spans="1:13" ht="15.75" customHeight="1">
      <c r="A53" s="144"/>
      <c r="B53" s="150"/>
      <c r="C53" s="151"/>
      <c r="D53" s="151"/>
      <c r="E53" s="151"/>
      <c r="F53" s="151"/>
      <c r="G53" s="151"/>
      <c r="H53" s="151"/>
      <c r="I53" s="151"/>
      <c r="J53" s="158"/>
      <c r="K53" s="186"/>
      <c r="L53" s="151"/>
      <c r="M53" s="151"/>
    </row>
    <row r="54" spans="1:13" ht="15.75" customHeight="1">
      <c r="A54" s="144"/>
      <c r="B54" s="150"/>
      <c r="C54" s="151" t="s">
        <v>239</v>
      </c>
      <c r="D54" s="151" t="s">
        <v>204</v>
      </c>
      <c r="E54" s="151" t="s">
        <v>194</v>
      </c>
      <c r="F54" s="187">
        <v>1175132</v>
      </c>
      <c r="G54" s="151" t="s">
        <v>195</v>
      </c>
      <c r="H54" s="186">
        <v>12917.97</v>
      </c>
      <c r="I54" s="151" t="s">
        <v>196</v>
      </c>
      <c r="J54" s="152">
        <v>30360639.844079997</v>
      </c>
      <c r="K54" s="158">
        <v>1477069.9136081592</v>
      </c>
      <c r="L54" s="188">
        <v>173.24311434592872</v>
      </c>
      <c r="M54" s="188">
        <v>25.230064812750605</v>
      </c>
    </row>
    <row r="55" spans="1:13" ht="15.75" customHeight="1">
      <c r="A55" s="144"/>
      <c r="B55" s="189"/>
      <c r="C55" s="190"/>
      <c r="D55" s="190"/>
      <c r="E55" s="190"/>
      <c r="F55" s="190"/>
      <c r="G55" s="190"/>
      <c r="H55" s="190"/>
      <c r="I55" s="190"/>
      <c r="J55" s="190"/>
      <c r="K55" s="190"/>
      <c r="L55" s="190"/>
      <c r="M55" s="190"/>
    </row>
    <row r="56" spans="1:13" ht="15.75" customHeight="1">
      <c r="A56" s="144"/>
      <c r="B56" s="144"/>
      <c r="C56" s="144"/>
      <c r="D56" s="144"/>
      <c r="E56" s="144"/>
      <c r="F56" s="144"/>
      <c r="G56" s="144"/>
      <c r="H56" s="144"/>
      <c r="I56" s="144"/>
      <c r="J56" s="144"/>
      <c r="K56" s="144"/>
      <c r="L56" s="144"/>
      <c r="M56" s="144"/>
    </row>
    <row r="57" spans="1:13" ht="15.75" customHeight="1">
      <c r="A57" s="144"/>
      <c r="B57" s="144"/>
      <c r="C57" s="144"/>
      <c r="D57" s="144"/>
      <c r="E57" s="144"/>
      <c r="F57" s="144"/>
      <c r="G57" s="144"/>
      <c r="H57" s="144"/>
      <c r="I57" s="144"/>
      <c r="J57" s="144"/>
      <c r="K57" s="144"/>
      <c r="L57" s="144"/>
      <c r="M57" s="144"/>
    </row>
    <row r="58" spans="1:13" ht="15.75" customHeight="1">
      <c r="A58" s="144"/>
      <c r="B58" s="144"/>
      <c r="C58" s="144"/>
      <c r="D58" s="144"/>
      <c r="E58" s="144"/>
      <c r="F58" s="191">
        <f>SUM(F9:F57)</f>
        <v>4412120</v>
      </c>
      <c r="G58" s="144"/>
      <c r="H58" s="144"/>
      <c r="I58" s="144"/>
      <c r="J58" s="192">
        <f t="shared" ref="J58:M58" si="0">SUM(J9:J57)</f>
        <v>111492020.09062</v>
      </c>
      <c r="K58" s="192">
        <f t="shared" si="0"/>
        <v>9571102.5763082039</v>
      </c>
      <c r="L58" s="192">
        <f t="shared" si="0"/>
        <v>1113.907049927396</v>
      </c>
      <c r="M58" s="192">
        <f t="shared" si="0"/>
        <v>167.04639339180238</v>
      </c>
    </row>
    <row r="59" spans="1:13" ht="15.75" customHeight="1">
      <c r="A59" s="144"/>
      <c r="B59" s="144"/>
      <c r="C59" s="144"/>
      <c r="D59" s="144"/>
      <c r="E59" s="144"/>
      <c r="F59" s="144"/>
      <c r="G59" s="144"/>
      <c r="H59" s="144"/>
      <c r="I59" s="144"/>
      <c r="J59" s="144"/>
      <c r="K59" s="144"/>
      <c r="L59" s="144"/>
      <c r="M59" s="144"/>
    </row>
    <row r="60" spans="1:13" ht="15.75" customHeight="1">
      <c r="A60" s="144"/>
      <c r="B60" s="144"/>
      <c r="C60" s="144"/>
      <c r="D60" s="144"/>
      <c r="E60" s="144"/>
      <c r="F60" s="144"/>
      <c r="G60" s="144"/>
      <c r="H60" s="144"/>
      <c r="I60" s="144"/>
      <c r="J60" s="144"/>
      <c r="K60" s="144"/>
      <c r="L60" s="144"/>
      <c r="M60" s="144"/>
    </row>
    <row r="61" spans="1:13" ht="15.75" customHeight="1">
      <c r="A61" s="144"/>
      <c r="B61" s="193" t="s">
        <v>240</v>
      </c>
      <c r="C61" s="194"/>
      <c r="D61" s="195"/>
      <c r="E61" s="144"/>
      <c r="F61" s="144"/>
      <c r="G61" s="144"/>
      <c r="H61" s="144"/>
      <c r="I61" s="144"/>
      <c r="J61" s="144"/>
      <c r="K61" s="144"/>
      <c r="L61" s="144"/>
      <c r="M61" s="144"/>
    </row>
    <row r="62" spans="1:13" ht="15.75" customHeight="1">
      <c r="A62" s="144"/>
      <c r="B62" s="144"/>
      <c r="C62" s="144"/>
      <c r="D62" s="144"/>
      <c r="E62" s="144"/>
      <c r="F62" s="144"/>
      <c r="G62" s="144"/>
      <c r="H62" s="144"/>
      <c r="I62" s="144"/>
      <c r="J62" s="144"/>
      <c r="K62" s="144"/>
      <c r="L62" s="144"/>
      <c r="M62" s="144"/>
    </row>
    <row r="63" spans="1:13" ht="15.75" customHeight="1">
      <c r="A63" s="144"/>
      <c r="B63" s="145" t="s">
        <v>174</v>
      </c>
      <c r="C63" s="146" t="s">
        <v>175</v>
      </c>
      <c r="D63" s="146" t="s">
        <v>176</v>
      </c>
      <c r="E63" s="146" t="s">
        <v>177</v>
      </c>
      <c r="F63" s="146" t="s">
        <v>178</v>
      </c>
      <c r="G63" s="146" t="s">
        <v>178</v>
      </c>
      <c r="H63" s="146" t="s">
        <v>179</v>
      </c>
      <c r="I63" s="146" t="s">
        <v>180</v>
      </c>
      <c r="J63" s="147" t="s">
        <v>181</v>
      </c>
      <c r="K63" s="146" t="s">
        <v>241</v>
      </c>
      <c r="L63" s="146" t="s">
        <v>242</v>
      </c>
      <c r="M63" s="146" t="s">
        <v>243</v>
      </c>
    </row>
    <row r="64" spans="1:13" ht="15.75" customHeight="1">
      <c r="A64" s="144"/>
      <c r="B64" s="148"/>
      <c r="C64" s="149"/>
      <c r="D64" s="149"/>
      <c r="E64" s="149"/>
      <c r="F64" s="149"/>
      <c r="G64" s="149" t="s">
        <v>185</v>
      </c>
      <c r="H64" s="149" t="s">
        <v>186</v>
      </c>
      <c r="I64" s="149" t="s">
        <v>187</v>
      </c>
      <c r="J64" s="149" t="s">
        <v>188</v>
      </c>
      <c r="K64" s="149" t="s">
        <v>189</v>
      </c>
      <c r="L64" s="149" t="s">
        <v>189</v>
      </c>
      <c r="M64" s="149" t="s">
        <v>189</v>
      </c>
    </row>
    <row r="65" spans="1:13" ht="15.75" customHeight="1">
      <c r="A65" s="144"/>
      <c r="B65" s="150"/>
      <c r="C65" s="151"/>
      <c r="D65" s="151"/>
      <c r="E65" s="151"/>
      <c r="F65" s="151"/>
      <c r="G65" s="151"/>
      <c r="H65" s="151"/>
      <c r="I65" s="151"/>
      <c r="J65" s="151"/>
      <c r="K65" s="152"/>
      <c r="L65" s="151"/>
      <c r="M65" s="151"/>
    </row>
    <row r="66" spans="1:13" ht="15.75" customHeight="1">
      <c r="A66" s="144"/>
      <c r="B66" s="153" t="s">
        <v>190</v>
      </c>
      <c r="C66" s="154" t="s">
        <v>191</v>
      </c>
      <c r="D66" s="155"/>
      <c r="E66" s="155"/>
      <c r="F66" s="156"/>
      <c r="G66" s="155"/>
      <c r="H66" s="155"/>
      <c r="I66" s="155"/>
      <c r="J66" s="157"/>
      <c r="K66" s="155"/>
      <c r="L66" s="155"/>
      <c r="M66" s="155"/>
    </row>
    <row r="67" spans="1:13" ht="15.75" customHeight="1">
      <c r="A67" s="144"/>
      <c r="B67" s="150"/>
      <c r="C67" s="151" t="s">
        <v>192</v>
      </c>
      <c r="D67" s="151" t="s">
        <v>193</v>
      </c>
      <c r="E67" s="151" t="s">
        <v>244</v>
      </c>
      <c r="F67" s="152">
        <v>185300</v>
      </c>
      <c r="G67" s="151" t="s">
        <v>245</v>
      </c>
      <c r="H67" s="158">
        <v>140000</v>
      </c>
      <c r="I67" s="151" t="s">
        <v>246</v>
      </c>
      <c r="J67" s="159">
        <v>25942</v>
      </c>
      <c r="K67" s="160">
        <v>2655.437130491578</v>
      </c>
      <c r="L67" s="160">
        <v>0.31411027227683325</v>
      </c>
      <c r="M67" s="160">
        <v>4.5697000247870753E-2</v>
      </c>
    </row>
    <row r="68" spans="1:13" ht="15.75" customHeight="1">
      <c r="A68" s="144"/>
      <c r="B68" s="150"/>
      <c r="C68" s="151"/>
      <c r="D68" s="151"/>
      <c r="E68" s="151"/>
      <c r="F68" s="152"/>
      <c r="G68" s="151"/>
      <c r="H68" s="158"/>
      <c r="I68" s="151"/>
      <c r="J68" s="196"/>
      <c r="K68" s="151"/>
      <c r="L68" s="151"/>
      <c r="M68" s="178"/>
    </row>
    <row r="69" spans="1:13" ht="15.75" customHeight="1">
      <c r="A69" s="144"/>
      <c r="B69" s="150"/>
      <c r="C69" s="151" t="s">
        <v>247</v>
      </c>
      <c r="D69" s="151" t="s">
        <v>248</v>
      </c>
      <c r="E69" s="151" t="s">
        <v>244</v>
      </c>
      <c r="F69" s="152">
        <v>324</v>
      </c>
      <c r="G69" s="151" t="s">
        <v>245</v>
      </c>
      <c r="H69" s="158">
        <v>140000</v>
      </c>
      <c r="I69" s="151" t="s">
        <v>246</v>
      </c>
      <c r="J69" s="144">
        <v>45.36</v>
      </c>
      <c r="K69" s="151">
        <v>3.65</v>
      </c>
      <c r="L69" s="188">
        <v>0</v>
      </c>
      <c r="M69" s="188">
        <v>0</v>
      </c>
    </row>
    <row r="70" spans="1:13" ht="15.75" customHeight="1">
      <c r="A70" s="144"/>
      <c r="B70" s="161"/>
      <c r="C70" s="162"/>
      <c r="D70" s="162"/>
      <c r="E70" s="162"/>
      <c r="F70" s="163"/>
      <c r="G70" s="162"/>
      <c r="H70" s="164"/>
      <c r="I70" s="162"/>
      <c r="J70" s="165"/>
      <c r="K70" s="162"/>
      <c r="L70" s="166"/>
      <c r="M70" s="162"/>
    </row>
    <row r="71" spans="1:13" ht="15.75" customHeight="1">
      <c r="A71" s="144"/>
      <c r="B71" s="150"/>
      <c r="C71" s="151"/>
      <c r="D71" s="151"/>
      <c r="E71" s="151"/>
      <c r="F71" s="158"/>
      <c r="G71" s="151"/>
      <c r="H71" s="158"/>
      <c r="I71" s="151"/>
      <c r="J71" s="158"/>
      <c r="K71" s="156"/>
      <c r="L71" s="167"/>
      <c r="M71" s="151"/>
    </row>
    <row r="72" spans="1:13" ht="15.75" customHeight="1">
      <c r="A72" s="144"/>
      <c r="B72" s="150" t="s">
        <v>197</v>
      </c>
      <c r="C72" s="168" t="s">
        <v>198</v>
      </c>
      <c r="D72" s="151"/>
      <c r="E72" s="151"/>
      <c r="F72" s="158"/>
      <c r="G72" s="151"/>
      <c r="H72" s="158"/>
      <c r="I72" s="151"/>
      <c r="J72" s="151"/>
      <c r="K72" s="158"/>
      <c r="L72" s="167"/>
      <c r="M72" s="151"/>
    </row>
    <row r="73" spans="1:13" ht="15.75" customHeight="1">
      <c r="A73" s="144"/>
      <c r="B73" s="150"/>
      <c r="C73" s="151" t="s">
        <v>199</v>
      </c>
      <c r="D73" s="169" t="s">
        <v>200</v>
      </c>
      <c r="E73" s="151" t="s">
        <v>249</v>
      </c>
      <c r="F73" s="152">
        <v>1204681</v>
      </c>
      <c r="G73" s="151" t="s">
        <v>245</v>
      </c>
      <c r="H73" s="197">
        <v>0.13800000000000001</v>
      </c>
      <c r="I73" s="151" t="s">
        <v>250</v>
      </c>
      <c r="J73" s="174">
        <v>166245.978</v>
      </c>
      <c r="K73" s="170">
        <v>17666.009736203665</v>
      </c>
      <c r="L73" s="171">
        <v>0.55300000000000005</v>
      </c>
      <c r="M73" s="172">
        <v>0.11</v>
      </c>
    </row>
    <row r="74" spans="1:13" ht="15.75" customHeight="1">
      <c r="A74" s="144"/>
      <c r="B74" s="150"/>
      <c r="C74" s="151"/>
      <c r="D74" s="169"/>
      <c r="E74" s="151"/>
      <c r="F74" s="158"/>
      <c r="G74" s="151"/>
      <c r="H74" s="158"/>
      <c r="I74" s="151"/>
      <c r="J74" s="173"/>
      <c r="K74" s="179"/>
      <c r="L74" s="183"/>
      <c r="M74" s="172"/>
    </row>
    <row r="75" spans="1:13" ht="15.75" customHeight="1">
      <c r="A75" s="144"/>
      <c r="B75" s="150"/>
      <c r="C75" s="151" t="s">
        <v>203</v>
      </c>
      <c r="D75" s="169" t="s">
        <v>204</v>
      </c>
      <c r="E75" s="151" t="s">
        <v>249</v>
      </c>
      <c r="F75" s="152">
        <v>1214369</v>
      </c>
      <c r="G75" s="151" t="s">
        <v>245</v>
      </c>
      <c r="H75" s="198">
        <v>0.13800000000000001</v>
      </c>
      <c r="I75" s="151" t="s">
        <v>250</v>
      </c>
      <c r="J75" s="174">
        <v>167582.92200000002</v>
      </c>
      <c r="K75" s="173">
        <v>17298.243524650614</v>
      </c>
      <c r="L75" s="174">
        <v>0.55800000000000005</v>
      </c>
      <c r="M75" s="172">
        <v>0.111</v>
      </c>
    </row>
    <row r="76" spans="1:13" ht="15.75" customHeight="1">
      <c r="A76" s="144"/>
      <c r="B76" s="150"/>
      <c r="C76" s="151"/>
      <c r="D76" s="169"/>
      <c r="E76" s="151"/>
      <c r="F76" s="158"/>
      <c r="G76" s="151"/>
      <c r="H76" s="158"/>
      <c r="I76" s="151"/>
      <c r="J76" s="151"/>
      <c r="K76" s="158"/>
      <c r="L76" s="167"/>
      <c r="M76" s="151"/>
    </row>
    <row r="77" spans="1:13" ht="15.75" customHeight="1">
      <c r="A77" s="144"/>
      <c r="B77" s="153"/>
      <c r="C77" s="155"/>
      <c r="D77" s="175"/>
      <c r="E77" s="155"/>
      <c r="F77" s="156"/>
      <c r="G77" s="155"/>
      <c r="H77" s="156"/>
      <c r="I77" s="155"/>
      <c r="J77" s="155"/>
      <c r="K77" s="156"/>
      <c r="L77" s="176"/>
      <c r="M77" s="155"/>
    </row>
    <row r="78" spans="1:13" ht="15.75" customHeight="1">
      <c r="A78" s="144"/>
      <c r="B78" s="150" t="s">
        <v>205</v>
      </c>
      <c r="C78" s="177" t="s">
        <v>206</v>
      </c>
      <c r="D78" s="169"/>
      <c r="E78" s="151"/>
      <c r="F78" s="158"/>
      <c r="G78" s="151"/>
      <c r="H78" s="158"/>
      <c r="I78" s="151"/>
      <c r="J78" s="151"/>
      <c r="K78" s="158"/>
      <c r="L78" s="167"/>
      <c r="M78" s="151"/>
    </row>
    <row r="79" spans="1:13" ht="15.75" customHeight="1">
      <c r="A79" s="144"/>
      <c r="B79" s="150"/>
      <c r="C79" s="151" t="s">
        <v>251</v>
      </c>
      <c r="D79" s="169" t="s">
        <v>252</v>
      </c>
      <c r="E79" s="151" t="s">
        <v>249</v>
      </c>
      <c r="F79" s="152">
        <v>54</v>
      </c>
      <c r="G79" s="151" t="s">
        <v>245</v>
      </c>
      <c r="H79" s="158">
        <v>139</v>
      </c>
      <c r="I79" s="151" t="s">
        <v>253</v>
      </c>
      <c r="J79" s="173">
        <v>7.5060000000000002</v>
      </c>
      <c r="K79" s="179">
        <v>0.61</v>
      </c>
      <c r="L79" s="199">
        <v>2.48E-5</v>
      </c>
      <c r="M79" s="199">
        <v>4.9699999999999998E-6</v>
      </c>
    </row>
    <row r="80" spans="1:13" ht="15.75" customHeight="1">
      <c r="A80" s="144"/>
      <c r="B80" s="150"/>
      <c r="C80" s="151"/>
      <c r="D80" s="169"/>
      <c r="E80" s="151"/>
      <c r="F80" s="158"/>
      <c r="G80" s="151"/>
      <c r="H80" s="158"/>
      <c r="I80" s="151"/>
      <c r="J80" s="158"/>
      <c r="K80" s="151"/>
      <c r="L80" s="198"/>
      <c r="M80" s="174"/>
    </row>
    <row r="81" spans="1:13" ht="15.75" customHeight="1">
      <c r="A81" s="144"/>
      <c r="B81" s="150"/>
      <c r="C81" s="151" t="s">
        <v>254</v>
      </c>
      <c r="D81" s="169" t="s">
        <v>255</v>
      </c>
      <c r="E81" s="151" t="s">
        <v>249</v>
      </c>
      <c r="F81" s="152">
        <v>14210</v>
      </c>
      <c r="G81" s="151" t="s">
        <v>245</v>
      </c>
      <c r="H81" s="158">
        <v>139</v>
      </c>
      <c r="I81" s="151" t="s">
        <v>253</v>
      </c>
      <c r="J81" s="173">
        <v>1975.19</v>
      </c>
      <c r="K81" s="179">
        <v>898</v>
      </c>
      <c r="L81" s="180">
        <v>1.7000000000000001E-2</v>
      </c>
      <c r="M81" s="180">
        <v>1.6999999999999999E-3</v>
      </c>
    </row>
    <row r="82" spans="1:13" ht="15.75" customHeight="1">
      <c r="A82" s="144"/>
      <c r="B82" s="150"/>
      <c r="C82" s="151"/>
      <c r="D82" s="169"/>
      <c r="E82" s="151"/>
      <c r="F82" s="152"/>
      <c r="G82" s="151"/>
      <c r="H82" s="158"/>
      <c r="I82" s="151"/>
      <c r="J82" s="158"/>
      <c r="K82" s="151"/>
      <c r="L82" s="151"/>
      <c r="M82" s="174"/>
    </row>
    <row r="83" spans="1:13" ht="15.75" customHeight="1">
      <c r="A83" s="144"/>
      <c r="B83" s="150"/>
      <c r="C83" s="151" t="s">
        <v>256</v>
      </c>
      <c r="D83" s="169" t="s">
        <v>257</v>
      </c>
      <c r="E83" s="151" t="s">
        <v>249</v>
      </c>
      <c r="F83" s="152">
        <v>39986</v>
      </c>
      <c r="G83" s="151" t="s">
        <v>245</v>
      </c>
      <c r="H83" s="158">
        <v>139</v>
      </c>
      <c r="I83" s="151" t="s">
        <v>253</v>
      </c>
      <c r="J83" s="173">
        <v>5558.0540000000001</v>
      </c>
      <c r="K83" s="179">
        <v>453</v>
      </c>
      <c r="L83" s="180">
        <v>3.6399999999999999E-6</v>
      </c>
      <c r="M83" s="180">
        <v>4.0000000000000001E-3</v>
      </c>
    </row>
    <row r="84" spans="1:13" ht="15.75" customHeight="1">
      <c r="A84" s="144"/>
      <c r="B84" s="150"/>
      <c r="C84" s="151"/>
      <c r="D84" s="151"/>
      <c r="E84" s="151"/>
      <c r="F84" s="158"/>
      <c r="G84" s="151"/>
      <c r="H84" s="158"/>
      <c r="I84" s="151"/>
      <c r="J84" s="158"/>
      <c r="K84" s="158"/>
      <c r="L84" s="167"/>
      <c r="M84" s="151"/>
    </row>
    <row r="85" spans="1:13" ht="15.75" customHeight="1">
      <c r="A85" s="144"/>
      <c r="B85" s="153"/>
      <c r="C85" s="154"/>
      <c r="D85" s="155"/>
      <c r="E85" s="155"/>
      <c r="F85" s="156"/>
      <c r="G85" s="155"/>
      <c r="H85" s="156"/>
      <c r="I85" s="155"/>
      <c r="J85" s="156"/>
      <c r="K85" s="156"/>
      <c r="L85" s="176"/>
      <c r="M85" s="155"/>
    </row>
    <row r="86" spans="1:13" ht="15.75" customHeight="1">
      <c r="A86" s="144"/>
      <c r="B86" s="150" t="s">
        <v>214</v>
      </c>
      <c r="C86" s="168" t="s">
        <v>215</v>
      </c>
      <c r="D86" s="151"/>
      <c r="E86" s="151"/>
      <c r="F86" s="158"/>
      <c r="G86" s="151"/>
      <c r="H86" s="158"/>
      <c r="I86" s="151"/>
      <c r="J86" s="158"/>
      <c r="K86" s="158"/>
      <c r="L86" s="167"/>
      <c r="M86" s="167"/>
    </row>
    <row r="87" spans="1:13" ht="15.75" customHeight="1">
      <c r="A87" s="144"/>
      <c r="B87" s="150"/>
      <c r="C87" s="151" t="s">
        <v>216</v>
      </c>
      <c r="D87" s="169" t="s">
        <v>200</v>
      </c>
      <c r="E87" s="151" t="s">
        <v>258</v>
      </c>
      <c r="F87" s="152">
        <v>873983</v>
      </c>
      <c r="G87" s="151" t="s">
        <v>245</v>
      </c>
      <c r="H87" s="158">
        <v>136253</v>
      </c>
      <c r="I87" s="151" t="s">
        <v>246</v>
      </c>
      <c r="J87" s="158">
        <v>119082.805699</v>
      </c>
      <c r="K87" s="158">
        <v>12941.272693978099</v>
      </c>
      <c r="L87" s="167">
        <v>0.39368775564089398</v>
      </c>
      <c r="M87" s="178">
        <v>7.873755112817879E-2</v>
      </c>
    </row>
    <row r="88" spans="1:13" ht="15.75" customHeight="1">
      <c r="A88" s="144"/>
      <c r="B88" s="150"/>
      <c r="C88" s="151"/>
      <c r="D88" s="151"/>
      <c r="E88" s="151"/>
      <c r="F88" s="158"/>
      <c r="G88" s="151"/>
      <c r="H88" s="158"/>
      <c r="I88" s="151"/>
      <c r="J88" s="173"/>
      <c r="K88" s="179"/>
      <c r="L88" s="180"/>
      <c r="M88" s="178"/>
    </row>
    <row r="89" spans="1:13" ht="15.75" customHeight="1">
      <c r="A89" s="144"/>
      <c r="B89" s="150"/>
      <c r="C89" s="151" t="s">
        <v>218</v>
      </c>
      <c r="D89" s="169" t="s">
        <v>204</v>
      </c>
      <c r="E89" s="151" t="s">
        <v>258</v>
      </c>
      <c r="F89" s="152">
        <v>890693</v>
      </c>
      <c r="G89" s="151" t="s">
        <v>245</v>
      </c>
      <c r="H89" s="158">
        <v>136253</v>
      </c>
      <c r="I89" s="151" t="s">
        <v>246</v>
      </c>
      <c r="J89" s="158">
        <v>121359.593329</v>
      </c>
      <c r="K89" s="158">
        <v>13171.481018317847</v>
      </c>
      <c r="L89" s="167">
        <v>0.40121481554567401</v>
      </c>
      <c r="M89" s="178">
        <v>8.0242963109134785E-2</v>
      </c>
    </row>
    <row r="90" spans="1:13" ht="15.75" customHeight="1">
      <c r="A90" s="144"/>
      <c r="B90" s="150"/>
      <c r="C90" s="151"/>
      <c r="D90" s="169"/>
      <c r="E90" s="151"/>
      <c r="F90" s="158"/>
      <c r="G90" s="151"/>
      <c r="H90" s="158"/>
      <c r="I90" s="151"/>
      <c r="J90" s="158"/>
      <c r="K90" s="158"/>
      <c r="L90" s="167"/>
      <c r="M90" s="178"/>
    </row>
    <row r="91" spans="1:13" ht="15.75" customHeight="1">
      <c r="A91" s="144"/>
      <c r="B91" s="150"/>
      <c r="C91" s="151" t="s">
        <v>219</v>
      </c>
      <c r="D91" s="169" t="s">
        <v>220</v>
      </c>
      <c r="E91" s="151" t="s">
        <v>258</v>
      </c>
      <c r="F91" s="152">
        <v>192360</v>
      </c>
      <c r="G91" s="151" t="s">
        <v>245</v>
      </c>
      <c r="H91" s="158">
        <v>136253</v>
      </c>
      <c r="I91" s="151" t="s">
        <v>246</v>
      </c>
      <c r="J91" s="158">
        <v>26209.627079999998</v>
      </c>
      <c r="K91" s="158">
        <v>1364.6843981801997</v>
      </c>
      <c r="L91" s="167">
        <v>8.6649027126479997E-2</v>
      </c>
      <c r="M91" s="178">
        <v>1.7329805425295997E-2</v>
      </c>
    </row>
    <row r="92" spans="1:13" ht="15.75" customHeight="1">
      <c r="A92" s="144"/>
      <c r="B92" s="150"/>
      <c r="C92" s="151"/>
      <c r="D92" s="169"/>
      <c r="E92" s="151"/>
      <c r="F92" s="158"/>
      <c r="G92" s="151"/>
      <c r="H92" s="158"/>
      <c r="I92" s="151"/>
      <c r="J92" s="158"/>
      <c r="K92" s="158"/>
      <c r="L92" s="167"/>
      <c r="M92" s="178"/>
    </row>
    <row r="93" spans="1:13" ht="15.75" customHeight="1">
      <c r="A93" s="144"/>
      <c r="B93" s="150"/>
      <c r="C93" s="151" t="s">
        <v>221</v>
      </c>
      <c r="D93" s="169" t="s">
        <v>222</v>
      </c>
      <c r="E93" s="151" t="s">
        <v>258</v>
      </c>
      <c r="F93" s="152">
        <v>616980</v>
      </c>
      <c r="G93" s="151" t="s">
        <v>245</v>
      </c>
      <c r="H93" s="158">
        <v>136253</v>
      </c>
      <c r="I93" s="151" t="s">
        <v>246</v>
      </c>
      <c r="J93" s="158">
        <v>84065.375939999998</v>
      </c>
      <c r="K93" s="158">
        <v>4660.8644791135912</v>
      </c>
      <c r="L93" s="167">
        <v>0.27792013285763995</v>
      </c>
      <c r="M93" s="178">
        <v>5.5584026571527993E-2</v>
      </c>
    </row>
    <row r="94" spans="1:13" ht="15.75" customHeight="1">
      <c r="A94" s="144"/>
      <c r="B94" s="150"/>
      <c r="C94" s="151"/>
      <c r="D94" s="169"/>
      <c r="E94" s="151"/>
      <c r="F94" s="158"/>
      <c r="G94" s="151"/>
      <c r="H94" s="158"/>
      <c r="I94" s="151"/>
      <c r="J94" s="173"/>
      <c r="K94" s="158"/>
      <c r="L94" s="167"/>
      <c r="M94" s="178"/>
    </row>
    <row r="95" spans="1:13" ht="15.75" customHeight="1">
      <c r="A95" s="144"/>
      <c r="B95" s="150"/>
      <c r="C95" s="151" t="s">
        <v>259</v>
      </c>
      <c r="D95" s="200" t="s">
        <v>260</v>
      </c>
      <c r="E95" s="151" t="s">
        <v>258</v>
      </c>
      <c r="F95" s="152">
        <v>42000</v>
      </c>
      <c r="G95" s="151" t="s">
        <v>245</v>
      </c>
      <c r="H95" s="158">
        <v>136253</v>
      </c>
      <c r="I95" s="151" t="s">
        <v>246</v>
      </c>
      <c r="J95" s="173">
        <v>5722.6260000000002</v>
      </c>
      <c r="K95" s="179">
        <v>466.54</v>
      </c>
      <c r="L95" s="201">
        <v>1.8919001556000001E-2</v>
      </c>
      <c r="M95" s="202">
        <v>3.7838003111999993E-3</v>
      </c>
    </row>
    <row r="96" spans="1:13" ht="15.75" customHeight="1">
      <c r="A96" s="144"/>
      <c r="B96" s="150"/>
      <c r="C96" s="151"/>
      <c r="D96" s="169"/>
      <c r="E96" s="151"/>
      <c r="F96" s="158"/>
      <c r="G96" s="151"/>
      <c r="H96" s="158"/>
      <c r="I96" s="151"/>
      <c r="J96" s="158"/>
      <c r="K96" s="158"/>
      <c r="L96" s="167"/>
      <c r="M96" s="178"/>
    </row>
    <row r="97" spans="1:13" ht="15.75" customHeight="1">
      <c r="A97" s="144"/>
      <c r="B97" s="150"/>
      <c r="C97" s="151" t="s">
        <v>261</v>
      </c>
      <c r="D97" s="169" t="s">
        <v>262</v>
      </c>
      <c r="E97" s="151" t="s">
        <v>258</v>
      </c>
      <c r="F97" s="152">
        <v>18060</v>
      </c>
      <c r="G97" s="151" t="s">
        <v>245</v>
      </c>
      <c r="H97" s="158">
        <v>136253</v>
      </c>
      <c r="I97" s="151" t="s">
        <v>246</v>
      </c>
      <c r="J97" s="173">
        <v>10527</v>
      </c>
      <c r="K97" s="179">
        <v>199.3</v>
      </c>
      <c r="L97" s="201">
        <v>3.4802261999999994E-2</v>
      </c>
      <c r="M97" s="202">
        <v>6.9604523999999991E-3</v>
      </c>
    </row>
    <row r="98" spans="1:13" ht="15.75" customHeight="1">
      <c r="A98" s="144"/>
      <c r="B98" s="150"/>
      <c r="C98" s="151"/>
      <c r="D98" s="169"/>
      <c r="E98" s="151"/>
      <c r="F98" s="158"/>
      <c r="G98" s="151"/>
      <c r="H98" s="158"/>
      <c r="I98" s="151"/>
      <c r="J98" s="158"/>
      <c r="K98" s="158"/>
      <c r="L98" s="167"/>
      <c r="M98" s="178"/>
    </row>
    <row r="99" spans="1:13" ht="15.75" customHeight="1">
      <c r="A99" s="144"/>
      <c r="B99" s="150"/>
      <c r="C99" s="151" t="s">
        <v>263</v>
      </c>
      <c r="D99" s="200" t="s">
        <v>264</v>
      </c>
      <c r="E99" s="151" t="s">
        <v>258</v>
      </c>
      <c r="F99" s="152">
        <v>110040</v>
      </c>
      <c r="G99" s="151" t="s">
        <v>245</v>
      </c>
      <c r="H99" s="158">
        <v>136253</v>
      </c>
      <c r="I99" s="151" t="s">
        <v>246</v>
      </c>
      <c r="J99" s="158">
        <v>14993.280119999999</v>
      </c>
      <c r="K99" s="173">
        <v>1116.8197852797623</v>
      </c>
      <c r="L99" s="167">
        <v>4.9567784076719995E-2</v>
      </c>
      <c r="M99" s="178">
        <v>9.9135568153439976E-3</v>
      </c>
    </row>
    <row r="100" spans="1:13" ht="15.75" customHeight="1">
      <c r="A100" s="144"/>
      <c r="B100" s="150"/>
      <c r="C100" s="151"/>
      <c r="D100" s="169"/>
      <c r="E100" s="151"/>
      <c r="F100" s="158"/>
      <c r="G100" s="151"/>
      <c r="H100" s="158"/>
      <c r="I100" s="151"/>
      <c r="J100" s="173"/>
      <c r="K100" s="173"/>
      <c r="L100" s="183"/>
      <c r="M100" s="178"/>
    </row>
    <row r="101" spans="1:13" ht="15.75" customHeight="1">
      <c r="A101" s="144"/>
      <c r="B101" s="150"/>
      <c r="C101" s="151" t="s">
        <v>265</v>
      </c>
      <c r="D101" s="200" t="s">
        <v>266</v>
      </c>
      <c r="E101" s="151" t="s">
        <v>258</v>
      </c>
      <c r="F101" s="152">
        <v>92400</v>
      </c>
      <c r="G101" s="151" t="s">
        <v>245</v>
      </c>
      <c r="H101" s="158">
        <v>136253</v>
      </c>
      <c r="I101" s="151" t="s">
        <v>246</v>
      </c>
      <c r="J101" s="158">
        <v>12589.7772</v>
      </c>
      <c r="K101" s="173">
        <v>889.65296379482027</v>
      </c>
      <c r="L101" s="167">
        <v>4.1621803423199995E-2</v>
      </c>
      <c r="M101" s="178">
        <v>8.3243606846399986E-3</v>
      </c>
    </row>
    <row r="102" spans="1:13" ht="15.75" customHeight="1">
      <c r="A102" s="144"/>
      <c r="B102" s="150"/>
      <c r="C102" s="151"/>
      <c r="D102" s="169"/>
      <c r="E102" s="151"/>
      <c r="F102" s="152"/>
      <c r="G102" s="151"/>
      <c r="H102" s="158"/>
      <c r="I102" s="151"/>
      <c r="J102" s="173"/>
      <c r="K102" s="173"/>
      <c r="L102" s="183"/>
      <c r="M102" s="178"/>
    </row>
    <row r="103" spans="1:13" ht="15.75" customHeight="1">
      <c r="A103" s="144"/>
      <c r="B103" s="150"/>
      <c r="C103" s="151"/>
      <c r="D103" s="200" t="s">
        <v>267</v>
      </c>
      <c r="E103" s="151" t="s">
        <v>258</v>
      </c>
      <c r="F103" s="152">
        <v>222180</v>
      </c>
      <c r="G103" s="151" t="s">
        <v>245</v>
      </c>
      <c r="H103" s="158">
        <v>136253</v>
      </c>
      <c r="I103" s="151" t="s">
        <v>246</v>
      </c>
      <c r="J103" s="158">
        <v>30272.69154</v>
      </c>
      <c r="K103" s="173">
        <v>2139.2109902157267</v>
      </c>
      <c r="L103" s="167">
        <v>0.10008151823123999</v>
      </c>
      <c r="M103" s="178">
        <v>2.0016303646247995E-2</v>
      </c>
    </row>
    <row r="104" spans="1:13" ht="15.75" customHeight="1">
      <c r="A104" s="144"/>
      <c r="B104" s="150"/>
      <c r="C104" s="151"/>
      <c r="D104" s="169"/>
      <c r="E104" s="151"/>
      <c r="F104" s="158"/>
      <c r="G104" s="151"/>
      <c r="H104" s="158"/>
      <c r="I104" s="151"/>
      <c r="J104" s="173"/>
      <c r="K104" s="173"/>
      <c r="L104" s="183"/>
      <c r="M104" s="178"/>
    </row>
    <row r="105" spans="1:13" ht="15.75" customHeight="1">
      <c r="A105" s="144"/>
      <c r="B105" s="150"/>
      <c r="C105" s="151" t="s">
        <v>268</v>
      </c>
      <c r="D105" s="200" t="s">
        <v>269</v>
      </c>
      <c r="E105" s="151" t="s">
        <v>258</v>
      </c>
      <c r="F105" s="152">
        <v>136418</v>
      </c>
      <c r="G105" s="151" t="s">
        <v>245</v>
      </c>
      <c r="H105" s="158">
        <v>136253</v>
      </c>
      <c r="I105" s="151" t="s">
        <v>246</v>
      </c>
      <c r="J105" s="158">
        <v>18587.361754000001</v>
      </c>
      <c r="K105" s="173">
        <v>1416.8324559762209</v>
      </c>
      <c r="L105" s="167">
        <v>6.1449817958724E-2</v>
      </c>
      <c r="M105" s="178">
        <v>1.22899635917448E-2</v>
      </c>
    </row>
    <row r="106" spans="1:13" ht="15.75" customHeight="1">
      <c r="A106" s="144"/>
      <c r="B106" s="150"/>
      <c r="C106" s="151"/>
      <c r="D106" s="169"/>
      <c r="E106" s="151"/>
      <c r="F106" s="158"/>
      <c r="G106" s="151"/>
      <c r="H106" s="158"/>
      <c r="I106" s="151"/>
      <c r="J106" s="173"/>
      <c r="K106" s="158"/>
      <c r="L106" s="167"/>
      <c r="M106" s="178"/>
    </row>
    <row r="107" spans="1:13" ht="15.75" customHeight="1">
      <c r="A107" s="144"/>
      <c r="B107" s="150"/>
      <c r="C107" s="151" t="s">
        <v>270</v>
      </c>
      <c r="D107" s="169" t="s">
        <v>271</v>
      </c>
      <c r="E107" s="151" t="s">
        <v>258</v>
      </c>
      <c r="F107" s="152">
        <v>886209</v>
      </c>
      <c r="G107" s="151" t="s">
        <v>245</v>
      </c>
      <c r="H107" s="158">
        <v>136253</v>
      </c>
      <c r="I107" s="151" t="s">
        <v>246</v>
      </c>
      <c r="J107" s="173">
        <v>120748.634877</v>
      </c>
      <c r="K107" s="179">
        <v>7622.5</v>
      </c>
      <c r="L107" s="180">
        <v>0.39919498690336197</v>
      </c>
      <c r="M107" s="202">
        <v>7.9838997380672391E-2</v>
      </c>
    </row>
    <row r="108" spans="1:13" ht="15.75" customHeight="1">
      <c r="A108" s="144"/>
      <c r="B108" s="150"/>
      <c r="C108" s="151" t="s">
        <v>272</v>
      </c>
      <c r="D108" s="169" t="s">
        <v>273</v>
      </c>
      <c r="E108" s="151" t="s">
        <v>258</v>
      </c>
      <c r="F108" s="152">
        <v>59976</v>
      </c>
      <c r="G108" s="151" t="s">
        <v>245</v>
      </c>
      <c r="H108" s="158">
        <v>136253</v>
      </c>
      <c r="I108" s="151" t="s">
        <v>246</v>
      </c>
      <c r="J108" s="173">
        <v>8171.909928</v>
      </c>
      <c r="K108" s="179">
        <v>6609.1</v>
      </c>
      <c r="L108" s="180">
        <v>2.7016334221967999E-2</v>
      </c>
      <c r="M108" s="202">
        <v>5.4032668443935988E-3</v>
      </c>
    </row>
    <row r="109" spans="1:13" ht="15.75" customHeight="1">
      <c r="A109" s="144"/>
      <c r="B109" s="150"/>
      <c r="C109" s="151" t="s">
        <v>274</v>
      </c>
      <c r="D109" s="169" t="s">
        <v>275</v>
      </c>
      <c r="E109" s="151" t="s">
        <v>258</v>
      </c>
      <c r="F109" s="152">
        <v>468737</v>
      </c>
      <c r="G109" s="151" t="s">
        <v>245</v>
      </c>
      <c r="H109" s="158">
        <v>136253</v>
      </c>
      <c r="I109" s="151" t="s">
        <v>246</v>
      </c>
      <c r="J109" s="173">
        <v>63866.822461000003</v>
      </c>
      <c r="K109" s="179">
        <v>5206.8</v>
      </c>
      <c r="L109" s="180">
        <v>0.21114371505606599</v>
      </c>
      <c r="M109" s="202">
        <v>4.2228743011213196E-2</v>
      </c>
    </row>
    <row r="110" spans="1:13" ht="15.75" customHeight="1">
      <c r="A110" s="144"/>
      <c r="B110" s="150"/>
      <c r="C110" s="151"/>
      <c r="D110" s="151"/>
      <c r="E110" s="151"/>
      <c r="F110" s="158"/>
      <c r="G110" s="151"/>
      <c r="H110" s="158"/>
      <c r="I110" s="151"/>
      <c r="J110" s="158"/>
      <c r="K110" s="158"/>
      <c r="L110" s="167"/>
      <c r="M110" s="151"/>
    </row>
    <row r="111" spans="1:13" ht="15.75" customHeight="1">
      <c r="A111" s="144"/>
      <c r="B111" s="153"/>
      <c r="C111" s="155"/>
      <c r="D111" s="155"/>
      <c r="E111" s="155"/>
      <c r="F111" s="156"/>
      <c r="G111" s="155"/>
      <c r="H111" s="156"/>
      <c r="I111" s="155"/>
      <c r="J111" s="156"/>
      <c r="K111" s="156"/>
      <c r="L111" s="176"/>
      <c r="M111" s="155"/>
    </row>
    <row r="112" spans="1:13" ht="15.75" customHeight="1">
      <c r="A112" s="144"/>
      <c r="B112" s="150" t="s">
        <v>276</v>
      </c>
      <c r="C112" s="168" t="s">
        <v>277</v>
      </c>
      <c r="D112" s="151"/>
      <c r="E112" s="151"/>
      <c r="F112" s="158"/>
      <c r="G112" s="151"/>
      <c r="H112" s="158"/>
      <c r="I112" s="151"/>
      <c r="J112" s="158"/>
      <c r="K112" s="158"/>
      <c r="L112" s="167"/>
      <c r="M112" s="151"/>
    </row>
    <row r="113" spans="1:13" ht="15.75" customHeight="1">
      <c r="A113" s="144"/>
      <c r="B113" s="150"/>
      <c r="C113" s="151" t="s">
        <v>278</v>
      </c>
      <c r="D113" s="151" t="s">
        <v>279</v>
      </c>
      <c r="E113" s="151" t="s">
        <v>258</v>
      </c>
      <c r="F113" s="152">
        <v>26460</v>
      </c>
      <c r="G113" s="151" t="s">
        <v>245</v>
      </c>
      <c r="H113" s="158">
        <v>136253</v>
      </c>
      <c r="I113" s="151" t="s">
        <v>246</v>
      </c>
      <c r="J113" s="158">
        <v>3605.2543799999999</v>
      </c>
      <c r="K113" s="152">
        <v>230.14921507860029</v>
      </c>
      <c r="L113" s="174">
        <v>1.1918970980279999E-2</v>
      </c>
      <c r="M113" s="203">
        <v>2.3837941960559994E-3</v>
      </c>
    </row>
    <row r="114" spans="1:13" ht="15.75" customHeight="1">
      <c r="A114" s="144"/>
      <c r="B114" s="150"/>
      <c r="C114" s="151"/>
      <c r="D114" s="151"/>
      <c r="E114" s="151"/>
      <c r="F114" s="152"/>
      <c r="G114" s="151"/>
      <c r="H114" s="158"/>
      <c r="I114" s="151"/>
      <c r="J114" s="151"/>
      <c r="K114" s="151"/>
      <c r="L114" s="151"/>
      <c r="M114" s="151"/>
    </row>
    <row r="115" spans="1:13" ht="15.75" customHeight="1">
      <c r="A115" s="144"/>
      <c r="B115" s="153"/>
      <c r="C115" s="155"/>
      <c r="D115" s="155"/>
      <c r="E115" s="155"/>
      <c r="F115" s="182"/>
      <c r="G115" s="155"/>
      <c r="H115" s="156"/>
      <c r="I115" s="155"/>
      <c r="J115" s="155"/>
      <c r="K115" s="155"/>
      <c r="L115" s="155"/>
      <c r="M115" s="155"/>
    </row>
    <row r="116" spans="1:13" ht="15.75" customHeight="1">
      <c r="A116" s="144"/>
      <c r="B116" s="150" t="s">
        <v>223</v>
      </c>
      <c r="C116" s="168" t="s">
        <v>224</v>
      </c>
      <c r="D116" s="151"/>
      <c r="E116" s="151"/>
      <c r="F116" s="158"/>
      <c r="G116" s="151"/>
      <c r="H116" s="158"/>
      <c r="I116" s="151"/>
      <c r="J116" s="158"/>
      <c r="K116" s="158"/>
      <c r="L116" s="167"/>
      <c r="M116" s="151"/>
    </row>
    <row r="117" spans="1:13" ht="15.75" customHeight="1">
      <c r="A117" s="144"/>
      <c r="B117" s="150"/>
      <c r="C117" s="151" t="s">
        <v>280</v>
      </c>
      <c r="D117" s="151" t="s">
        <v>281</v>
      </c>
      <c r="E117" s="151" t="s">
        <v>282</v>
      </c>
      <c r="F117" s="152">
        <v>22785</v>
      </c>
      <c r="G117" s="151" t="s">
        <v>245</v>
      </c>
      <c r="H117" s="204">
        <v>0.13700000000000001</v>
      </c>
      <c r="I117" s="151" t="s">
        <v>283</v>
      </c>
      <c r="J117" s="173">
        <v>3121.5450000000001</v>
      </c>
      <c r="K117" s="179">
        <v>234</v>
      </c>
      <c r="L117" s="205">
        <v>1.0999999999999999E-2</v>
      </c>
      <c r="M117" s="199">
        <v>2.2000000000000001E-3</v>
      </c>
    </row>
    <row r="118" spans="1:13" ht="15.75" customHeight="1">
      <c r="A118" s="144"/>
      <c r="B118" s="150"/>
      <c r="C118" s="151"/>
      <c r="D118" s="151"/>
      <c r="E118" s="151"/>
      <c r="F118" s="152"/>
      <c r="G118" s="151"/>
      <c r="H118" s="204"/>
      <c r="I118" s="151"/>
      <c r="J118" s="173"/>
      <c r="K118" s="179"/>
      <c r="L118" s="205"/>
      <c r="M118" s="151"/>
    </row>
    <row r="119" spans="1:13" ht="15.75" customHeight="1">
      <c r="A119" s="144"/>
      <c r="B119" s="153"/>
      <c r="C119" s="155"/>
      <c r="D119" s="155"/>
      <c r="E119" s="155"/>
      <c r="F119" s="182"/>
      <c r="G119" s="155"/>
      <c r="H119" s="206"/>
      <c r="I119" s="155"/>
      <c r="J119" s="207"/>
      <c r="K119" s="208"/>
      <c r="L119" s="209"/>
      <c r="M119" s="155"/>
    </row>
    <row r="120" spans="1:13" ht="15.75" customHeight="1">
      <c r="A120" s="144"/>
      <c r="B120" s="150"/>
      <c r="C120" s="151"/>
      <c r="D120" s="151"/>
      <c r="E120" s="151"/>
      <c r="F120" s="158"/>
      <c r="G120" s="151"/>
      <c r="H120" s="158"/>
      <c r="I120" s="151"/>
      <c r="J120" s="151"/>
      <c r="K120" s="158"/>
      <c r="L120" s="167"/>
      <c r="M120" s="151"/>
    </row>
    <row r="121" spans="1:13" ht="15.75" customHeight="1">
      <c r="A121" s="144"/>
      <c r="B121" s="150" t="s">
        <v>284</v>
      </c>
      <c r="C121" s="177" t="s">
        <v>285</v>
      </c>
      <c r="D121" s="151"/>
      <c r="E121" s="151"/>
      <c r="F121" s="158"/>
      <c r="G121" s="151"/>
      <c r="H121" s="158"/>
      <c r="I121" s="151"/>
      <c r="J121" s="158"/>
      <c r="K121" s="158"/>
      <c r="L121" s="167"/>
      <c r="M121" s="151"/>
    </row>
    <row r="122" spans="1:13" ht="15.75" customHeight="1">
      <c r="A122" s="144"/>
      <c r="B122" s="150"/>
      <c r="C122" s="151" t="s">
        <v>286</v>
      </c>
      <c r="D122" s="151" t="s">
        <v>287</v>
      </c>
      <c r="E122" s="151" t="s">
        <v>282</v>
      </c>
      <c r="F122" s="152">
        <v>621000</v>
      </c>
      <c r="G122" s="151" t="s">
        <v>245</v>
      </c>
      <c r="H122" s="158">
        <v>138</v>
      </c>
      <c r="I122" s="151" t="s">
        <v>288</v>
      </c>
      <c r="J122" s="158">
        <v>85698</v>
      </c>
      <c r="K122" s="158">
        <v>5157.2159820876095</v>
      </c>
      <c r="L122" s="167">
        <v>0.11115671427569004</v>
      </c>
      <c r="M122" s="188">
        <v>1.3666809132256973E-2</v>
      </c>
    </row>
    <row r="123" spans="1:13" ht="15.75" customHeight="1">
      <c r="A123" s="144"/>
      <c r="B123" s="150"/>
      <c r="C123" s="151"/>
      <c r="D123" s="151"/>
      <c r="E123" s="151"/>
      <c r="F123" s="152"/>
      <c r="G123" s="151"/>
      <c r="H123" s="158"/>
      <c r="I123" s="151"/>
      <c r="J123" s="158"/>
      <c r="K123" s="158"/>
      <c r="L123" s="167"/>
      <c r="M123" s="167"/>
    </row>
    <row r="124" spans="1:13" ht="15.75" customHeight="1">
      <c r="A124" s="144"/>
      <c r="B124" s="150"/>
      <c r="C124" s="151" t="s">
        <v>289</v>
      </c>
      <c r="D124" s="151" t="s">
        <v>290</v>
      </c>
      <c r="E124" s="151" t="s">
        <v>282</v>
      </c>
      <c r="F124" s="152">
        <v>408000</v>
      </c>
      <c r="G124" s="151" t="s">
        <v>245</v>
      </c>
      <c r="H124" s="158">
        <v>138.07300000000001</v>
      </c>
      <c r="I124" s="151" t="s">
        <v>288</v>
      </c>
      <c r="J124" s="173">
        <v>56333.784</v>
      </c>
      <c r="K124" s="179">
        <v>4015</v>
      </c>
      <c r="L124" s="210">
        <v>0.19</v>
      </c>
      <c r="M124" s="210">
        <v>0.04</v>
      </c>
    </row>
    <row r="125" spans="1:13" ht="15.75" customHeight="1">
      <c r="A125" s="144"/>
      <c r="B125" s="150"/>
      <c r="C125" s="151"/>
      <c r="D125" s="151"/>
      <c r="E125" s="151"/>
      <c r="F125" s="152"/>
      <c r="G125" s="151"/>
      <c r="H125" s="158"/>
      <c r="I125" s="151"/>
      <c r="J125" s="158"/>
      <c r="K125" s="179"/>
      <c r="L125" s="210"/>
      <c r="M125" s="210"/>
    </row>
    <row r="126" spans="1:13" ht="15.75" customHeight="1">
      <c r="A126" s="144"/>
      <c r="B126" s="150"/>
      <c r="C126" s="151" t="s">
        <v>291</v>
      </c>
      <c r="D126" s="151" t="s">
        <v>292</v>
      </c>
      <c r="E126" s="151" t="s">
        <v>282</v>
      </c>
      <c r="F126" s="152">
        <v>0</v>
      </c>
      <c r="G126" s="151" t="s">
        <v>245</v>
      </c>
      <c r="H126" s="158">
        <v>138.07300000000001</v>
      </c>
      <c r="I126" s="151" t="s">
        <v>288</v>
      </c>
      <c r="J126" s="211">
        <v>0</v>
      </c>
      <c r="K126" s="212">
        <v>0</v>
      </c>
      <c r="L126" s="210">
        <v>0</v>
      </c>
      <c r="M126" s="210">
        <v>0</v>
      </c>
    </row>
    <row r="127" spans="1:13" ht="15.75" customHeight="1">
      <c r="A127" s="144"/>
      <c r="B127" s="150"/>
      <c r="C127" s="151"/>
      <c r="D127" s="151"/>
      <c r="E127" s="151"/>
      <c r="F127" s="152"/>
      <c r="G127" s="151"/>
      <c r="H127" s="158"/>
      <c r="I127" s="151"/>
      <c r="J127" s="158"/>
      <c r="K127" s="179"/>
      <c r="L127" s="210"/>
      <c r="M127" s="210"/>
    </row>
    <row r="128" spans="1:13" ht="15.75" customHeight="1">
      <c r="A128" s="144"/>
      <c r="B128" s="150"/>
      <c r="C128" s="151" t="s">
        <v>293</v>
      </c>
      <c r="D128" s="151" t="s">
        <v>294</v>
      </c>
      <c r="E128" s="151" t="s">
        <v>282</v>
      </c>
      <c r="F128" s="152">
        <v>233000</v>
      </c>
      <c r="G128" s="151" t="s">
        <v>245</v>
      </c>
      <c r="H128" s="158">
        <v>138.07300000000001</v>
      </c>
      <c r="I128" s="151" t="s">
        <v>288</v>
      </c>
      <c r="J128" s="173">
        <v>32171.008999999998</v>
      </c>
      <c r="K128" s="179">
        <v>2083</v>
      </c>
      <c r="L128" s="210">
        <v>0.11</v>
      </c>
      <c r="M128" s="210">
        <v>0.02</v>
      </c>
    </row>
    <row r="129" spans="1:13" ht="15.75" customHeight="1">
      <c r="A129" s="144"/>
      <c r="B129" s="150"/>
      <c r="C129" s="151"/>
      <c r="D129" s="151"/>
      <c r="E129" s="151"/>
      <c r="F129" s="152"/>
      <c r="G129" s="151"/>
      <c r="H129" s="158"/>
      <c r="I129" s="151"/>
      <c r="J129" s="158"/>
      <c r="K129" s="179"/>
      <c r="L129" s="210"/>
      <c r="M129" s="210"/>
    </row>
    <row r="130" spans="1:13" ht="15.75" customHeight="1">
      <c r="A130" s="144"/>
      <c r="B130" s="150"/>
      <c r="C130" s="151" t="s">
        <v>295</v>
      </c>
      <c r="D130" s="151" t="s">
        <v>296</v>
      </c>
      <c r="E130" s="151" t="s">
        <v>282</v>
      </c>
      <c r="F130" s="152">
        <v>224000</v>
      </c>
      <c r="G130" s="151" t="s">
        <v>245</v>
      </c>
      <c r="H130" s="158">
        <v>138.07300000000001</v>
      </c>
      <c r="I130" s="151" t="s">
        <v>288</v>
      </c>
      <c r="J130" s="173">
        <v>30928.351999999999</v>
      </c>
      <c r="K130" s="179">
        <v>2018</v>
      </c>
      <c r="L130" s="210">
        <v>0.1</v>
      </c>
      <c r="M130" s="210" t="s">
        <v>297</v>
      </c>
    </row>
    <row r="131" spans="1:13" ht="15.75" customHeight="1">
      <c r="A131" s="144"/>
      <c r="B131" s="150"/>
      <c r="C131" s="151"/>
      <c r="D131" s="151"/>
      <c r="E131" s="151"/>
      <c r="F131" s="152"/>
      <c r="G131" s="151"/>
      <c r="H131" s="158"/>
      <c r="I131" s="151"/>
      <c r="J131" s="173"/>
      <c r="K131" s="179"/>
      <c r="L131" s="210"/>
      <c r="M131" s="210"/>
    </row>
    <row r="132" spans="1:13" ht="15.75" customHeight="1">
      <c r="A132" s="144"/>
      <c r="B132" s="150"/>
      <c r="C132" s="151" t="s">
        <v>298</v>
      </c>
      <c r="D132" s="151" t="s">
        <v>299</v>
      </c>
      <c r="E132" s="151" t="s">
        <v>282</v>
      </c>
      <c r="F132" s="152">
        <v>141000</v>
      </c>
      <c r="G132" s="151" t="s">
        <v>245</v>
      </c>
      <c r="H132" s="158">
        <v>138</v>
      </c>
      <c r="I132" s="151" t="s">
        <v>288</v>
      </c>
      <c r="J132" s="158">
        <v>19458</v>
      </c>
      <c r="K132" s="158">
        <v>1170.9620828894574</v>
      </c>
      <c r="L132" s="167">
        <v>2.2445746010954989E-2</v>
      </c>
      <c r="M132" s="188">
        <v>2.413521076446773E-3</v>
      </c>
    </row>
    <row r="133" spans="1:13" ht="15.75" customHeight="1">
      <c r="A133" s="144"/>
      <c r="B133" s="150"/>
      <c r="C133" s="151"/>
      <c r="D133" s="151"/>
      <c r="E133" s="151"/>
      <c r="F133" s="152"/>
      <c r="G133" s="151"/>
      <c r="H133" s="158"/>
      <c r="I133" s="151"/>
      <c r="J133" s="173"/>
      <c r="K133" s="179"/>
      <c r="L133" s="210"/>
      <c r="M133" s="210"/>
    </row>
    <row r="134" spans="1:13" ht="15.75" customHeight="1">
      <c r="A134" s="144"/>
      <c r="B134" s="150"/>
      <c r="C134" s="151" t="s">
        <v>300</v>
      </c>
      <c r="D134" s="151" t="s">
        <v>301</v>
      </c>
      <c r="E134" s="151" t="s">
        <v>282</v>
      </c>
      <c r="F134" s="152">
        <v>143000</v>
      </c>
      <c r="G134" s="151" t="s">
        <v>245</v>
      </c>
      <c r="H134" s="158">
        <v>138</v>
      </c>
      <c r="I134" s="151" t="s">
        <v>288</v>
      </c>
      <c r="J134" s="158">
        <v>19734</v>
      </c>
      <c r="K134" s="158">
        <v>1114.7976096109699</v>
      </c>
      <c r="L134" s="167">
        <v>2.2854620698174781E-2</v>
      </c>
      <c r="M134" s="188">
        <v>2.539402299797198E-3</v>
      </c>
    </row>
    <row r="135" spans="1:13" ht="15.75" customHeight="1">
      <c r="A135" s="144"/>
      <c r="B135" s="150"/>
      <c r="C135" s="151"/>
      <c r="D135" s="151"/>
      <c r="E135" s="151"/>
      <c r="F135" s="152"/>
      <c r="G135" s="151"/>
      <c r="H135" s="158"/>
      <c r="I135" s="151"/>
      <c r="J135" s="158"/>
      <c r="K135" s="173"/>
      <c r="L135" s="183"/>
      <c r="M135" s="151"/>
    </row>
    <row r="136" spans="1:13" ht="15.75" customHeight="1">
      <c r="A136" s="144"/>
      <c r="B136" s="153"/>
      <c r="C136" s="155"/>
      <c r="D136" s="155"/>
      <c r="E136" s="155"/>
      <c r="F136" s="182"/>
      <c r="G136" s="155"/>
      <c r="H136" s="156"/>
      <c r="I136" s="155"/>
      <c r="J136" s="156"/>
      <c r="K136" s="207"/>
      <c r="L136" s="213"/>
      <c r="M136" s="155"/>
    </row>
    <row r="137" spans="1:13" ht="15.75" customHeight="1">
      <c r="A137" s="144"/>
      <c r="B137" s="150"/>
      <c r="C137" s="151"/>
      <c r="D137" s="151"/>
      <c r="E137" s="151"/>
      <c r="F137" s="152"/>
      <c r="G137" s="151"/>
      <c r="H137" s="158"/>
      <c r="I137" s="151"/>
      <c r="J137" s="158"/>
      <c r="K137" s="173"/>
      <c r="L137" s="167"/>
      <c r="M137" s="151"/>
    </row>
    <row r="138" spans="1:13" ht="15.75" customHeight="1">
      <c r="A138" s="144"/>
      <c r="B138" s="150" t="s">
        <v>302</v>
      </c>
      <c r="C138" s="168" t="s">
        <v>303</v>
      </c>
      <c r="D138" s="151"/>
      <c r="E138" s="151"/>
      <c r="F138" s="158"/>
      <c r="G138" s="151"/>
      <c r="H138" s="158"/>
      <c r="I138" s="151"/>
      <c r="J138" s="151"/>
      <c r="K138" s="158"/>
      <c r="L138" s="167"/>
      <c r="M138" s="151"/>
    </row>
    <row r="139" spans="1:13" ht="15.75" customHeight="1">
      <c r="A139" s="144"/>
      <c r="B139" s="150"/>
      <c r="C139" s="151" t="s">
        <v>304</v>
      </c>
      <c r="D139" s="151" t="s">
        <v>305</v>
      </c>
      <c r="E139" s="151" t="s">
        <v>306</v>
      </c>
      <c r="F139" s="144">
        <v>0</v>
      </c>
      <c r="G139" s="151" t="s">
        <v>245</v>
      </c>
      <c r="H139" s="158">
        <v>138.774</v>
      </c>
      <c r="I139" s="151" t="s">
        <v>307</v>
      </c>
      <c r="J139" s="173">
        <v>0</v>
      </c>
      <c r="K139" s="144">
        <v>0</v>
      </c>
      <c r="L139" s="199">
        <v>0</v>
      </c>
      <c r="M139" s="214">
        <v>0</v>
      </c>
    </row>
    <row r="140" spans="1:13" ht="15.75" customHeight="1">
      <c r="A140" s="144"/>
      <c r="B140" s="150"/>
      <c r="C140" s="151"/>
      <c r="D140" s="151"/>
      <c r="E140" s="215"/>
      <c r="F140" s="144"/>
      <c r="G140" s="215"/>
      <c r="H140" s="158"/>
      <c r="I140" s="215"/>
      <c r="J140" s="158"/>
      <c r="K140" s="179"/>
      <c r="L140" s="199"/>
      <c r="M140" s="214"/>
    </row>
    <row r="141" spans="1:13" ht="15.75" customHeight="1">
      <c r="A141" s="144"/>
      <c r="B141" s="150"/>
      <c r="C141" s="151" t="s">
        <v>308</v>
      </c>
      <c r="D141" s="151" t="s">
        <v>309</v>
      </c>
      <c r="E141" s="151" t="s">
        <v>306</v>
      </c>
      <c r="F141" s="152">
        <v>33000</v>
      </c>
      <c r="G141" s="151" t="s">
        <v>245</v>
      </c>
      <c r="H141" s="158">
        <v>137</v>
      </c>
      <c r="I141" s="215" t="s">
        <v>288</v>
      </c>
      <c r="J141" s="173">
        <v>4521</v>
      </c>
      <c r="K141" s="179">
        <v>364</v>
      </c>
      <c r="L141" s="199">
        <v>7.4</v>
      </c>
      <c r="M141" s="214">
        <v>0</v>
      </c>
    </row>
    <row r="142" spans="1:13" ht="15.75" customHeight="1">
      <c r="A142" s="144"/>
      <c r="B142" s="150"/>
      <c r="C142" s="151"/>
      <c r="D142" s="151"/>
      <c r="E142" s="215"/>
      <c r="F142" s="152"/>
      <c r="G142" s="215"/>
      <c r="H142" s="158"/>
      <c r="I142" s="215"/>
      <c r="J142" s="158"/>
      <c r="K142" s="179"/>
      <c r="L142" s="199"/>
      <c r="M142" s="214"/>
    </row>
    <row r="143" spans="1:13" ht="15.75" customHeight="1">
      <c r="A143" s="144"/>
      <c r="B143" s="150"/>
      <c r="C143" s="151" t="s">
        <v>310</v>
      </c>
      <c r="D143" s="151" t="s">
        <v>311</v>
      </c>
      <c r="E143" s="151" t="s">
        <v>306</v>
      </c>
      <c r="F143" s="152">
        <v>27000</v>
      </c>
      <c r="G143" s="151" t="s">
        <v>245</v>
      </c>
      <c r="H143" s="158">
        <v>137</v>
      </c>
      <c r="I143" s="215" t="s">
        <v>288</v>
      </c>
      <c r="J143" s="173">
        <v>3699</v>
      </c>
      <c r="K143" s="179">
        <v>297</v>
      </c>
      <c r="L143" s="199">
        <v>4.8</v>
      </c>
      <c r="M143" s="214">
        <v>0</v>
      </c>
    </row>
    <row r="144" spans="1:13" ht="15.75" customHeight="1">
      <c r="A144" s="144"/>
      <c r="B144" s="150"/>
      <c r="C144" s="151"/>
      <c r="D144" s="151"/>
      <c r="E144" s="151"/>
      <c r="F144" s="152"/>
      <c r="G144" s="151"/>
      <c r="H144" s="158"/>
      <c r="I144" s="215"/>
      <c r="J144" s="173"/>
      <c r="K144" s="151"/>
      <c r="L144" s="151"/>
      <c r="M144" s="151"/>
    </row>
    <row r="145" spans="1:13" ht="15.75" customHeight="1">
      <c r="A145" s="144"/>
      <c r="B145" s="153"/>
      <c r="C145" s="155"/>
      <c r="D145" s="155"/>
      <c r="E145" s="155"/>
      <c r="F145" s="182"/>
      <c r="G145" s="155"/>
      <c r="H145" s="156"/>
      <c r="I145" s="216"/>
      <c r="J145" s="207"/>
      <c r="K145" s="155"/>
      <c r="L145" s="155"/>
      <c r="M145" s="155"/>
    </row>
    <row r="146" spans="1:13" ht="15.75" customHeight="1">
      <c r="A146" s="144"/>
      <c r="B146" s="150" t="s">
        <v>312</v>
      </c>
      <c r="C146" s="168" t="s">
        <v>313</v>
      </c>
      <c r="D146" s="151"/>
      <c r="E146" s="151"/>
      <c r="F146" s="151"/>
      <c r="G146" s="151"/>
      <c r="H146" s="151"/>
      <c r="I146" s="151"/>
      <c r="J146" s="151"/>
      <c r="K146" s="151"/>
      <c r="L146" s="151"/>
      <c r="M146" s="151"/>
    </row>
    <row r="147" spans="1:13" ht="15.75" customHeight="1">
      <c r="A147" s="144"/>
      <c r="B147" s="150"/>
      <c r="C147" s="151" t="s">
        <v>314</v>
      </c>
      <c r="D147" s="151" t="s">
        <v>315</v>
      </c>
      <c r="E147" s="151" t="s">
        <v>306</v>
      </c>
      <c r="F147" s="187">
        <v>33212</v>
      </c>
      <c r="G147" s="151" t="s">
        <v>245</v>
      </c>
      <c r="H147" s="187">
        <v>138890</v>
      </c>
      <c r="I147" s="151" t="s">
        <v>316</v>
      </c>
      <c r="J147" s="186">
        <v>4612.8146800000004</v>
      </c>
      <c r="K147" s="217">
        <v>337.43290404852905</v>
      </c>
      <c r="L147" s="184">
        <v>1E-3</v>
      </c>
      <c r="M147" s="184">
        <v>0</v>
      </c>
    </row>
    <row r="148" spans="1:13" ht="15.75" customHeight="1">
      <c r="A148" s="144"/>
      <c r="B148" s="150"/>
      <c r="C148" s="151"/>
      <c r="D148" s="151"/>
      <c r="E148" s="151"/>
      <c r="F148" s="151"/>
      <c r="G148" s="151"/>
      <c r="H148" s="151"/>
      <c r="I148" s="151"/>
      <c r="J148" s="151"/>
      <c r="K148" s="151"/>
      <c r="L148" s="151"/>
      <c r="M148" s="184"/>
    </row>
    <row r="149" spans="1:13" ht="15.75" customHeight="1">
      <c r="A149" s="144"/>
      <c r="B149" s="150"/>
      <c r="C149" s="151" t="s">
        <v>317</v>
      </c>
      <c r="D149" s="151" t="s">
        <v>318</v>
      </c>
      <c r="E149" s="151" t="s">
        <v>306</v>
      </c>
      <c r="F149" s="187">
        <v>12118</v>
      </c>
      <c r="G149" s="151" t="s">
        <v>245</v>
      </c>
      <c r="H149" s="187">
        <v>138890</v>
      </c>
      <c r="I149" s="151" t="s">
        <v>316</v>
      </c>
      <c r="J149" s="173">
        <v>1683.0690199999999</v>
      </c>
      <c r="K149" s="218">
        <v>137.21</v>
      </c>
      <c r="L149" s="218">
        <v>6.0000000000000001E-3</v>
      </c>
      <c r="M149" s="199">
        <v>1E-3</v>
      </c>
    </row>
    <row r="150" spans="1:13" ht="15.75" customHeight="1">
      <c r="A150" s="144"/>
      <c r="B150" s="150"/>
      <c r="C150" s="151"/>
      <c r="D150" s="151"/>
      <c r="E150" s="151"/>
      <c r="F150" s="151"/>
      <c r="G150" s="151"/>
      <c r="H150" s="151"/>
      <c r="I150" s="151"/>
      <c r="J150" s="167"/>
      <c r="K150" s="151"/>
      <c r="L150" s="218"/>
      <c r="M150" s="184"/>
    </row>
    <row r="151" spans="1:13" ht="15.75" customHeight="1">
      <c r="A151" s="144"/>
      <c r="B151" s="150"/>
      <c r="C151" s="151" t="s">
        <v>319</v>
      </c>
      <c r="D151" s="151" t="s">
        <v>320</v>
      </c>
      <c r="E151" s="151" t="s">
        <v>306</v>
      </c>
      <c r="F151" s="187">
        <v>19739</v>
      </c>
      <c r="G151" s="151" t="s">
        <v>245</v>
      </c>
      <c r="H151" s="187">
        <v>138890</v>
      </c>
      <c r="I151" s="151" t="s">
        <v>316</v>
      </c>
      <c r="J151" s="173">
        <v>2741.5497099999998</v>
      </c>
      <c r="K151" s="179">
        <v>223.51</v>
      </c>
      <c r="L151" s="218">
        <v>8.9999999999999993E-3</v>
      </c>
      <c r="M151" s="199">
        <v>2E-3</v>
      </c>
    </row>
    <row r="152" spans="1:13" ht="15.75" customHeight="1">
      <c r="A152" s="144"/>
      <c r="B152" s="150"/>
      <c r="C152" s="151"/>
      <c r="D152" s="151"/>
      <c r="E152" s="151"/>
      <c r="F152" s="185"/>
      <c r="G152" s="151"/>
      <c r="H152" s="186"/>
      <c r="I152" s="151"/>
      <c r="J152" s="186"/>
      <c r="K152" s="151"/>
      <c r="L152" s="151"/>
      <c r="M152" s="151"/>
    </row>
    <row r="153" spans="1:13" ht="15.75" customHeight="1">
      <c r="A153" s="144"/>
      <c r="B153" s="153"/>
      <c r="C153" s="155"/>
      <c r="D153" s="155"/>
      <c r="E153" s="155"/>
      <c r="F153" s="155"/>
      <c r="G153" s="155"/>
      <c r="H153" s="155"/>
      <c r="I153" s="155"/>
      <c r="J153" s="155"/>
      <c r="K153" s="155"/>
      <c r="L153" s="155"/>
      <c r="M153" s="155"/>
    </row>
    <row r="154" spans="1:13" ht="15.75" customHeight="1">
      <c r="A154" s="144"/>
      <c r="B154" s="150"/>
      <c r="C154" s="151"/>
      <c r="D154" s="151"/>
      <c r="E154" s="151"/>
      <c r="F154" s="151"/>
      <c r="G154" s="151"/>
      <c r="H154" s="151"/>
      <c r="I154" s="151"/>
      <c r="J154" s="151"/>
      <c r="K154" s="151"/>
      <c r="L154" s="151"/>
      <c r="M154" s="151"/>
    </row>
    <row r="155" spans="1:13" ht="15.75" customHeight="1">
      <c r="A155" s="144"/>
      <c r="B155" s="150" t="s">
        <v>228</v>
      </c>
      <c r="C155" s="177" t="s">
        <v>229</v>
      </c>
      <c r="D155" s="151"/>
      <c r="E155" s="151"/>
      <c r="F155" s="151"/>
      <c r="G155" s="151"/>
      <c r="H155" s="151"/>
      <c r="I155" s="151"/>
      <c r="J155" s="151"/>
      <c r="K155" s="151"/>
      <c r="L155" s="151"/>
      <c r="M155" s="151"/>
    </row>
    <row r="156" spans="1:13" ht="15.75" customHeight="1">
      <c r="A156" s="144"/>
      <c r="B156" s="150"/>
      <c r="C156" s="151" t="s">
        <v>230</v>
      </c>
      <c r="D156" s="151" t="s">
        <v>231</v>
      </c>
      <c r="E156" s="151" t="s">
        <v>306</v>
      </c>
      <c r="F156" s="187">
        <v>85260</v>
      </c>
      <c r="G156" s="151" t="s">
        <v>245</v>
      </c>
      <c r="H156" s="186">
        <v>139181</v>
      </c>
      <c r="I156" s="151" t="s">
        <v>316</v>
      </c>
      <c r="J156" s="152">
        <v>11866.57206</v>
      </c>
      <c r="K156" s="158">
        <v>1126.2977683821498</v>
      </c>
      <c r="L156" s="188">
        <v>3.9241971541186707E-2</v>
      </c>
      <c r="M156" s="188">
        <v>7.84839430823734E-3</v>
      </c>
    </row>
    <row r="157" spans="1:13" ht="15.75" customHeight="1">
      <c r="A157" s="144"/>
      <c r="B157" s="150"/>
      <c r="C157" s="151"/>
      <c r="D157" s="151"/>
      <c r="E157" s="151"/>
      <c r="F157" s="151"/>
      <c r="G157" s="151"/>
      <c r="H157" s="151"/>
      <c r="I157" s="151"/>
      <c r="J157" s="151"/>
      <c r="K157" s="151"/>
      <c r="L157" s="151"/>
      <c r="M157" s="151"/>
    </row>
    <row r="158" spans="1:13" ht="15.75" customHeight="1">
      <c r="A158" s="144"/>
      <c r="B158" s="150"/>
      <c r="C158" s="151" t="s">
        <v>232</v>
      </c>
      <c r="D158" s="151" t="s">
        <v>233</v>
      </c>
      <c r="E158" s="151" t="s">
        <v>306</v>
      </c>
      <c r="F158" s="187">
        <v>133278</v>
      </c>
      <c r="G158" s="151" t="s">
        <v>245</v>
      </c>
      <c r="H158" s="186">
        <v>139181</v>
      </c>
      <c r="I158" s="151" t="s">
        <v>316</v>
      </c>
      <c r="J158" s="152">
        <v>18549.765318000002</v>
      </c>
      <c r="K158" s="158">
        <v>1760.6294595920267</v>
      </c>
      <c r="L158" s="188">
        <v>6.1342851079829723E-2</v>
      </c>
      <c r="M158" s="188">
        <v>1.2268570215965943E-2</v>
      </c>
    </row>
    <row r="159" spans="1:13" ht="15.75" customHeight="1">
      <c r="A159" s="144"/>
      <c r="B159" s="150"/>
      <c r="C159" s="151"/>
      <c r="D159" s="151"/>
      <c r="E159" s="151"/>
      <c r="F159" s="151"/>
      <c r="G159" s="151"/>
      <c r="H159" s="151"/>
      <c r="I159" s="151"/>
      <c r="J159" s="151"/>
      <c r="K159" s="151"/>
      <c r="L159" s="151"/>
      <c r="M159" s="151"/>
    </row>
    <row r="160" spans="1:13" ht="15.75" customHeight="1">
      <c r="A160" s="144"/>
      <c r="B160" s="150"/>
      <c r="C160" s="151" t="s">
        <v>234</v>
      </c>
      <c r="D160" s="151" t="s">
        <v>235</v>
      </c>
      <c r="E160" s="151" t="s">
        <v>306</v>
      </c>
      <c r="F160" s="187">
        <v>106680</v>
      </c>
      <c r="G160" s="151" t="s">
        <v>245</v>
      </c>
      <c r="H160" s="186">
        <v>139181</v>
      </c>
      <c r="I160" s="151" t="s">
        <v>316</v>
      </c>
      <c r="J160" s="152">
        <v>14847.82908</v>
      </c>
      <c r="K160" s="158">
        <v>1409.2577990832488</v>
      </c>
      <c r="L160" s="188">
        <v>4.9100791977642479E-2</v>
      </c>
      <c r="M160" s="188">
        <v>9.8201583955284943E-3</v>
      </c>
    </row>
    <row r="161" spans="1:13" ht="15.75" customHeight="1">
      <c r="A161" s="144"/>
      <c r="B161" s="150"/>
      <c r="C161" s="151"/>
      <c r="D161" s="151"/>
      <c r="E161" s="151"/>
      <c r="F161" s="151"/>
      <c r="G161" s="151"/>
      <c r="H161" s="151"/>
      <c r="I161" s="151"/>
      <c r="J161" s="151"/>
      <c r="K161" s="151"/>
      <c r="L161" s="151"/>
      <c r="M161" s="151"/>
    </row>
    <row r="162" spans="1:13" ht="15.75" customHeight="1">
      <c r="A162" s="144"/>
      <c r="B162" s="150"/>
      <c r="C162" s="151" t="s">
        <v>321</v>
      </c>
      <c r="D162" s="151" t="s">
        <v>320</v>
      </c>
      <c r="E162" s="151" t="s">
        <v>306</v>
      </c>
      <c r="F162" s="187">
        <v>28560</v>
      </c>
      <c r="G162" s="151" t="s">
        <v>245</v>
      </c>
      <c r="H162" s="186">
        <v>139181</v>
      </c>
      <c r="I162" s="151" t="s">
        <v>316</v>
      </c>
      <c r="J162" s="173">
        <v>3975.00936</v>
      </c>
      <c r="K162" s="218">
        <v>324</v>
      </c>
      <c r="L162" s="199">
        <v>1.0714466414612151E-3</v>
      </c>
      <c r="M162" s="184">
        <v>2.1428932829224299E-4</v>
      </c>
    </row>
    <row r="163" spans="1:13" ht="15.75" customHeight="1">
      <c r="A163" s="144"/>
      <c r="B163" s="150"/>
      <c r="C163" s="151"/>
      <c r="D163" s="151"/>
      <c r="E163" s="151"/>
      <c r="F163" s="151"/>
      <c r="G163" s="151"/>
      <c r="H163" s="151"/>
      <c r="I163" s="151"/>
      <c r="J163" s="151"/>
      <c r="K163" s="151"/>
      <c r="L163" s="151"/>
      <c r="M163" s="151"/>
    </row>
    <row r="164" spans="1:13" ht="15.75" customHeight="1">
      <c r="A164" s="144"/>
      <c r="B164" s="153"/>
      <c r="C164" s="155"/>
      <c r="D164" s="155"/>
      <c r="E164" s="155"/>
      <c r="F164" s="155"/>
      <c r="G164" s="155"/>
      <c r="H164" s="155"/>
      <c r="I164" s="155"/>
      <c r="J164" s="155"/>
      <c r="K164" s="155"/>
      <c r="L164" s="155"/>
      <c r="M164" s="155"/>
    </row>
    <row r="165" spans="1:13" ht="15.75" customHeight="1">
      <c r="A165" s="144"/>
      <c r="B165" s="150"/>
      <c r="C165" s="151"/>
      <c r="D165" s="151"/>
      <c r="E165" s="151"/>
      <c r="F165" s="151"/>
      <c r="G165" s="151"/>
      <c r="H165" s="151"/>
      <c r="I165" s="151"/>
      <c r="J165" s="151"/>
      <c r="K165" s="151"/>
      <c r="L165" s="151"/>
      <c r="M165" s="151"/>
    </row>
    <row r="166" spans="1:13" ht="15.75" customHeight="1">
      <c r="A166" s="144"/>
      <c r="B166" s="150" t="s">
        <v>322</v>
      </c>
      <c r="C166" s="177" t="s">
        <v>323</v>
      </c>
      <c r="D166" s="151"/>
      <c r="E166" s="151"/>
      <c r="F166" s="151"/>
      <c r="G166" s="151"/>
      <c r="H166" s="151"/>
      <c r="I166" s="151"/>
      <c r="J166" s="151"/>
      <c r="K166" s="151"/>
      <c r="L166" s="151"/>
      <c r="M166" s="151"/>
    </row>
    <row r="167" spans="1:13" ht="15.75" customHeight="1">
      <c r="A167" s="144"/>
      <c r="B167" s="150"/>
      <c r="C167" s="151" t="s">
        <v>324</v>
      </c>
      <c r="D167" s="151" t="s">
        <v>325</v>
      </c>
      <c r="E167" s="151" t="s">
        <v>306</v>
      </c>
      <c r="F167" s="187">
        <v>192360</v>
      </c>
      <c r="G167" s="151" t="s">
        <v>245</v>
      </c>
      <c r="H167" s="186">
        <v>139181</v>
      </c>
      <c r="I167" s="151" t="s">
        <v>316</v>
      </c>
      <c r="J167" s="152">
        <v>26772.85716</v>
      </c>
      <c r="K167" s="158">
        <v>1313.6498090044383</v>
      </c>
      <c r="L167" s="188">
        <v>8.8536073723465572E-2</v>
      </c>
      <c r="M167" s="167">
        <v>1.7707214744693112E-2</v>
      </c>
    </row>
    <row r="168" spans="1:13" ht="15.75" customHeight="1">
      <c r="A168" s="144"/>
      <c r="B168" s="150"/>
      <c r="C168" s="151"/>
      <c r="D168" s="151"/>
      <c r="E168" s="151"/>
      <c r="F168" s="151"/>
      <c r="G168" s="151"/>
      <c r="H168" s="151"/>
      <c r="I168" s="151"/>
      <c r="J168" s="151"/>
      <c r="K168" s="151"/>
      <c r="L168" s="151"/>
      <c r="M168" s="151"/>
    </row>
    <row r="169" spans="1:13" ht="15.75" customHeight="1">
      <c r="A169" s="144"/>
      <c r="B169" s="150"/>
      <c r="C169" s="151" t="s">
        <v>324</v>
      </c>
      <c r="D169" s="151" t="s">
        <v>326</v>
      </c>
      <c r="E169" s="151" t="s">
        <v>306</v>
      </c>
      <c r="F169" s="187">
        <v>118440</v>
      </c>
      <c r="G169" s="151" t="s">
        <v>245</v>
      </c>
      <c r="H169" s="186">
        <v>139181</v>
      </c>
      <c r="I169" s="151" t="s">
        <v>316</v>
      </c>
      <c r="J169" s="152">
        <v>16484.59764</v>
      </c>
      <c r="K169" s="158">
        <v>787.71966773154031</v>
      </c>
      <c r="L169" s="188">
        <v>5.451347770746133E-2</v>
      </c>
      <c r="M169" s="167">
        <v>1.0902695541492265E-2</v>
      </c>
    </row>
    <row r="170" spans="1:13" ht="15.75" customHeight="1">
      <c r="A170" s="144"/>
      <c r="B170" s="150"/>
      <c r="C170" s="151"/>
      <c r="D170" s="151"/>
      <c r="E170" s="151"/>
      <c r="F170" s="151"/>
      <c r="G170" s="151"/>
      <c r="H170" s="151"/>
      <c r="I170" s="151"/>
      <c r="J170" s="151"/>
      <c r="K170" s="151"/>
      <c r="L170" s="151"/>
      <c r="M170" s="151"/>
    </row>
    <row r="171" spans="1:13" ht="15.75" customHeight="1">
      <c r="A171" s="144"/>
      <c r="B171" s="153"/>
      <c r="C171" s="155"/>
      <c r="D171" s="155"/>
      <c r="E171" s="155"/>
      <c r="F171" s="155"/>
      <c r="G171" s="155"/>
      <c r="H171" s="155"/>
      <c r="I171" s="155"/>
      <c r="J171" s="155"/>
      <c r="K171" s="155"/>
      <c r="L171" s="155"/>
      <c r="M171" s="155"/>
    </row>
    <row r="172" spans="1:13" ht="15.75" customHeight="1">
      <c r="A172" s="144"/>
      <c r="B172" s="150" t="s">
        <v>236</v>
      </c>
      <c r="C172" s="177" t="s">
        <v>237</v>
      </c>
      <c r="D172" s="151"/>
      <c r="E172" s="151"/>
      <c r="F172" s="151"/>
      <c r="G172" s="151"/>
      <c r="H172" s="151"/>
      <c r="I172" s="151"/>
      <c r="J172" s="151"/>
      <c r="K172" s="151"/>
      <c r="L172" s="151"/>
      <c r="M172" s="151"/>
    </row>
    <row r="173" spans="1:13" ht="15.75" customHeight="1">
      <c r="A173" s="144"/>
      <c r="B173" s="150"/>
      <c r="C173" s="151" t="s">
        <v>238</v>
      </c>
      <c r="D173" s="151" t="s">
        <v>200</v>
      </c>
      <c r="E173" s="151" t="s">
        <v>306</v>
      </c>
      <c r="F173" s="187">
        <v>878154</v>
      </c>
      <c r="G173" s="151" t="s">
        <v>245</v>
      </c>
      <c r="H173" s="186">
        <v>137690</v>
      </c>
      <c r="I173" s="151" t="s">
        <v>316</v>
      </c>
      <c r="J173" s="152">
        <v>120913.02426000001</v>
      </c>
      <c r="K173" s="158">
        <v>11473.553400485798</v>
      </c>
      <c r="L173" s="188">
        <v>1.3461733400961247</v>
      </c>
      <c r="M173" s="188">
        <v>0.19604466117904729</v>
      </c>
    </row>
    <row r="174" spans="1:13" ht="15.75" customHeight="1">
      <c r="A174" s="144"/>
      <c r="B174" s="150"/>
      <c r="C174" s="151"/>
      <c r="D174" s="151"/>
      <c r="E174" s="151"/>
      <c r="F174" s="151"/>
      <c r="G174" s="151"/>
      <c r="H174" s="151"/>
      <c r="I174" s="151"/>
      <c r="J174" s="158"/>
      <c r="K174" s="186"/>
      <c r="L174" s="151"/>
      <c r="M174" s="151"/>
    </row>
    <row r="175" spans="1:13" ht="15.75" customHeight="1">
      <c r="A175" s="144"/>
      <c r="B175" s="150"/>
      <c r="C175" s="151" t="s">
        <v>239</v>
      </c>
      <c r="D175" s="151" t="s">
        <v>204</v>
      </c>
      <c r="E175" s="151" t="s">
        <v>306</v>
      </c>
      <c r="F175" s="187">
        <v>174225</v>
      </c>
      <c r="G175" s="151" t="s">
        <v>245</v>
      </c>
      <c r="H175" s="186">
        <v>137690</v>
      </c>
      <c r="I175" s="151" t="s">
        <v>316</v>
      </c>
      <c r="J175" s="152">
        <v>23989.040249999998</v>
      </c>
      <c r="K175" s="158">
        <v>1167.086391840958</v>
      </c>
      <c r="L175" s="188">
        <v>0.13688565407129255</v>
      </c>
      <c r="M175" s="188">
        <v>1.9935187249395182E-2</v>
      </c>
    </row>
    <row r="176" spans="1:13" ht="15.75" customHeight="1">
      <c r="A176" s="144"/>
      <c r="B176" s="150"/>
      <c r="C176" s="151"/>
      <c r="D176" s="151"/>
      <c r="E176" s="151"/>
      <c r="F176" s="151"/>
      <c r="G176" s="151"/>
      <c r="H176" s="151"/>
      <c r="I176" s="151"/>
      <c r="J176" s="173"/>
      <c r="K176" s="219"/>
      <c r="L176" s="199"/>
      <c r="M176" s="184"/>
    </row>
    <row r="177" spans="1:13" ht="15.75" customHeight="1">
      <c r="A177" s="144"/>
      <c r="B177" s="150"/>
      <c r="C177" s="151" t="s">
        <v>327</v>
      </c>
      <c r="D177" s="151" t="s">
        <v>328</v>
      </c>
      <c r="E177" s="151" t="s">
        <v>306</v>
      </c>
      <c r="F177" s="187">
        <v>686881</v>
      </c>
      <c r="G177" s="151" t="s">
        <v>245</v>
      </c>
      <c r="H177" s="186">
        <v>137690</v>
      </c>
      <c r="I177" s="151" t="s">
        <v>316</v>
      </c>
      <c r="J177" s="179">
        <v>94576.644889999996</v>
      </c>
      <c r="K177" s="179">
        <v>7710</v>
      </c>
      <c r="L177" s="218">
        <v>0.31</v>
      </c>
      <c r="M177" s="218">
        <v>0.06</v>
      </c>
    </row>
    <row r="178" spans="1:13" ht="15.75" customHeight="1">
      <c r="A178" s="144"/>
      <c r="B178" s="150"/>
      <c r="C178" s="151" t="s">
        <v>329</v>
      </c>
      <c r="D178" s="151" t="s">
        <v>330</v>
      </c>
      <c r="E178" s="151" t="s">
        <v>306</v>
      </c>
      <c r="F178" s="187">
        <v>420949</v>
      </c>
      <c r="G178" s="151" t="s">
        <v>245</v>
      </c>
      <c r="H178" s="186">
        <v>137690</v>
      </c>
      <c r="I178" s="151" t="s">
        <v>316</v>
      </c>
      <c r="J178" s="179">
        <v>57960.467810000002</v>
      </c>
      <c r="K178" s="179">
        <v>4725</v>
      </c>
      <c r="L178" s="218">
        <v>0.19</v>
      </c>
      <c r="M178" s="218">
        <v>0.04</v>
      </c>
    </row>
    <row r="179" spans="1:13" ht="15.75" customHeight="1">
      <c r="A179" s="144"/>
      <c r="B179" s="150"/>
      <c r="C179" s="151" t="s">
        <v>331</v>
      </c>
      <c r="D179" s="151" t="s">
        <v>332</v>
      </c>
      <c r="E179" s="151" t="s">
        <v>306</v>
      </c>
      <c r="F179" s="187">
        <v>24736</v>
      </c>
      <c r="G179" s="151" t="s">
        <v>245</v>
      </c>
      <c r="H179" s="186">
        <v>137690</v>
      </c>
      <c r="I179" s="151" t="s">
        <v>316</v>
      </c>
      <c r="J179" s="152">
        <v>3405.89984</v>
      </c>
      <c r="K179" s="179">
        <v>278</v>
      </c>
      <c r="L179" s="218">
        <v>0.01</v>
      </c>
      <c r="M179" s="218">
        <v>0</v>
      </c>
    </row>
    <row r="180" spans="1:13" ht="15.75" customHeight="1">
      <c r="A180" s="144"/>
      <c r="B180" s="150"/>
      <c r="C180" s="151" t="s">
        <v>333</v>
      </c>
      <c r="D180" s="151" t="s">
        <v>262</v>
      </c>
      <c r="E180" s="151" t="s">
        <v>306</v>
      </c>
      <c r="F180" s="187">
        <v>31094</v>
      </c>
      <c r="G180" s="151" t="s">
        <v>245</v>
      </c>
      <c r="H180" s="186">
        <v>137690</v>
      </c>
      <c r="I180" s="151" t="s">
        <v>316</v>
      </c>
      <c r="J180" s="152">
        <v>4281.3328600000004</v>
      </c>
      <c r="K180" s="179">
        <v>349</v>
      </c>
      <c r="L180" s="218">
        <v>0.01</v>
      </c>
      <c r="M180" s="218">
        <v>0</v>
      </c>
    </row>
    <row r="181" spans="1:13" ht="15.75" customHeight="1">
      <c r="A181" s="144"/>
      <c r="B181" s="150"/>
      <c r="C181" s="151" t="s">
        <v>334</v>
      </c>
      <c r="D181" s="151" t="s">
        <v>335</v>
      </c>
      <c r="E181" s="151" t="s">
        <v>306</v>
      </c>
      <c r="F181" s="187">
        <v>134574</v>
      </c>
      <c r="G181" s="151" t="s">
        <v>245</v>
      </c>
      <c r="H181" s="186">
        <v>137690</v>
      </c>
      <c r="I181" s="151" t="s">
        <v>316</v>
      </c>
      <c r="J181" s="152">
        <v>18529.494060000001</v>
      </c>
      <c r="K181" s="179">
        <v>1500</v>
      </c>
      <c r="L181" s="218">
        <v>0.06</v>
      </c>
      <c r="M181" s="218">
        <v>0.01</v>
      </c>
    </row>
    <row r="182" spans="1:13" ht="15.75" customHeight="1">
      <c r="A182" s="144"/>
      <c r="B182" s="150"/>
      <c r="C182" s="151" t="s">
        <v>336</v>
      </c>
      <c r="D182" s="151" t="s">
        <v>337</v>
      </c>
      <c r="E182" s="151" t="s">
        <v>306</v>
      </c>
      <c r="F182" s="187">
        <v>118314</v>
      </c>
      <c r="G182" s="151" t="s">
        <v>245</v>
      </c>
      <c r="H182" s="186">
        <v>137690</v>
      </c>
      <c r="I182" s="151" t="s">
        <v>316</v>
      </c>
      <c r="J182" s="152">
        <v>16290.65466</v>
      </c>
      <c r="K182" s="179">
        <v>1321</v>
      </c>
      <c r="L182" s="218">
        <v>0.05</v>
      </c>
      <c r="M182" s="218">
        <v>0.01</v>
      </c>
    </row>
    <row r="183" spans="1:13" ht="15.75" customHeight="1">
      <c r="A183" s="144"/>
      <c r="B183" s="150"/>
      <c r="C183" s="151" t="s">
        <v>338</v>
      </c>
      <c r="D183" s="151" t="s">
        <v>267</v>
      </c>
      <c r="E183" s="151" t="s">
        <v>306</v>
      </c>
      <c r="F183" s="187">
        <v>122502</v>
      </c>
      <c r="G183" s="151" t="s">
        <v>245</v>
      </c>
      <c r="H183" s="186">
        <v>137690</v>
      </c>
      <c r="I183" s="151" t="s">
        <v>316</v>
      </c>
      <c r="J183" s="152">
        <v>16867.300380000001</v>
      </c>
      <c r="K183" s="179">
        <v>1368</v>
      </c>
      <c r="L183" s="218">
        <v>0.06</v>
      </c>
      <c r="M183" s="218">
        <v>0.01</v>
      </c>
    </row>
    <row r="184" spans="1:13" ht="15.75" customHeight="1">
      <c r="A184" s="144"/>
      <c r="B184" s="150"/>
      <c r="C184" s="151" t="s">
        <v>339</v>
      </c>
      <c r="D184" s="151" t="s">
        <v>340</v>
      </c>
      <c r="E184" s="151" t="s">
        <v>306</v>
      </c>
      <c r="F184" s="187">
        <v>118370</v>
      </c>
      <c r="G184" s="151" t="s">
        <v>245</v>
      </c>
      <c r="H184" s="186">
        <v>137690</v>
      </c>
      <c r="I184" s="151" t="s">
        <v>316</v>
      </c>
      <c r="J184" s="152">
        <v>16298.365299999999</v>
      </c>
      <c r="K184" s="179">
        <v>1321.1</v>
      </c>
      <c r="L184" s="218">
        <v>0.05</v>
      </c>
      <c r="M184" s="218">
        <v>0.01</v>
      </c>
    </row>
    <row r="185" spans="1:13" ht="15.75" customHeight="1">
      <c r="A185" s="144"/>
      <c r="B185" s="150"/>
      <c r="C185" s="151"/>
      <c r="D185" s="151"/>
      <c r="E185" s="151"/>
      <c r="F185" s="187"/>
      <c r="G185" s="151"/>
      <c r="H185" s="186"/>
      <c r="I185" s="151"/>
      <c r="J185" s="152"/>
      <c r="K185" s="179"/>
      <c r="L185" s="218"/>
      <c r="M185" s="218"/>
    </row>
    <row r="186" spans="1:13" ht="15.75" customHeight="1">
      <c r="A186" s="144"/>
      <c r="B186" s="150"/>
      <c r="C186" s="151"/>
      <c r="D186" s="151"/>
      <c r="E186" s="151"/>
      <c r="F186" s="151"/>
      <c r="G186" s="151"/>
      <c r="H186" s="151"/>
      <c r="I186" s="151"/>
      <c r="J186" s="151"/>
      <c r="K186" s="151"/>
      <c r="L186" s="151"/>
      <c r="M186" s="162"/>
    </row>
    <row r="187" spans="1:13" ht="15.75" customHeight="1">
      <c r="A187" s="144"/>
      <c r="B187" s="153"/>
      <c r="C187" s="155"/>
      <c r="D187" s="155"/>
      <c r="E187" s="155"/>
      <c r="F187" s="155"/>
      <c r="G187" s="155"/>
      <c r="H187" s="155"/>
      <c r="I187" s="155"/>
      <c r="J187" s="155"/>
      <c r="K187" s="155"/>
      <c r="L187" s="155"/>
      <c r="M187" s="155"/>
    </row>
    <row r="188" spans="1:13" ht="15.75" customHeight="1">
      <c r="A188" s="144"/>
      <c r="B188" s="150" t="s">
        <v>341</v>
      </c>
      <c r="C188" s="177" t="s">
        <v>342</v>
      </c>
      <c r="D188" s="151"/>
      <c r="E188" s="151"/>
      <c r="F188" s="151"/>
      <c r="G188" s="151"/>
      <c r="H188" s="151"/>
      <c r="I188" s="151"/>
      <c r="J188" s="151"/>
      <c r="K188" s="151"/>
      <c r="L188" s="151"/>
      <c r="M188" s="151"/>
    </row>
    <row r="189" spans="1:13" ht="15.75" customHeight="1">
      <c r="A189" s="144"/>
      <c r="B189" s="150"/>
      <c r="C189" s="151" t="s">
        <v>343</v>
      </c>
      <c r="D189" s="151" t="s">
        <v>200</v>
      </c>
      <c r="E189" s="151" t="s">
        <v>344</v>
      </c>
      <c r="F189" s="152">
        <v>33264.28571428571</v>
      </c>
      <c r="G189" s="151" t="s">
        <v>245</v>
      </c>
      <c r="H189" s="186">
        <v>140000</v>
      </c>
      <c r="I189" s="151" t="s">
        <v>345</v>
      </c>
      <c r="J189" s="152">
        <v>4657</v>
      </c>
      <c r="K189" s="158">
        <v>276.93821856443219</v>
      </c>
      <c r="L189" s="188">
        <v>2.0061039974473917E-2</v>
      </c>
      <c r="M189" s="188">
        <v>6.9237217611016174E-3</v>
      </c>
    </row>
    <row r="190" spans="1:13" ht="15.75" customHeight="1">
      <c r="A190" s="144"/>
      <c r="B190" s="150"/>
      <c r="C190" s="151"/>
      <c r="D190" s="151"/>
      <c r="E190" s="151"/>
      <c r="F190" s="151"/>
      <c r="G190" s="151"/>
      <c r="H190" s="151"/>
      <c r="I190" s="151"/>
      <c r="J190" s="158"/>
      <c r="K190" s="151"/>
      <c r="L190" s="151"/>
      <c r="M190" s="151"/>
    </row>
    <row r="191" spans="1:13" ht="15.75" customHeight="1">
      <c r="A191" s="144"/>
      <c r="B191" s="150"/>
      <c r="C191" s="151" t="s">
        <v>346</v>
      </c>
      <c r="D191" s="151" t="s">
        <v>204</v>
      </c>
      <c r="E191" s="151" t="s">
        <v>344</v>
      </c>
      <c r="F191" s="152">
        <v>56285.714285714283</v>
      </c>
      <c r="G191" s="151" t="s">
        <v>245</v>
      </c>
      <c r="H191" s="186">
        <v>140000</v>
      </c>
      <c r="I191" s="151" t="s">
        <v>345</v>
      </c>
      <c r="J191" s="152">
        <v>7880</v>
      </c>
      <c r="K191" s="158">
        <v>468.73735035214122</v>
      </c>
      <c r="L191" s="188">
        <v>3.377438931334889E-2</v>
      </c>
      <c r="M191" s="188">
        <v>1.1769862942530672E-2</v>
      </c>
    </row>
    <row r="192" spans="1:13" ht="15.75" customHeight="1">
      <c r="A192" s="144"/>
      <c r="B192" s="150"/>
      <c r="C192" s="151"/>
      <c r="D192" s="151"/>
      <c r="E192" s="151"/>
      <c r="F192" s="151"/>
      <c r="G192" s="151"/>
      <c r="H192" s="186"/>
      <c r="I192" s="151"/>
      <c r="J192" s="151"/>
      <c r="K192" s="158"/>
      <c r="L192" s="151"/>
      <c r="M192" s="151"/>
    </row>
    <row r="193" spans="1:13" ht="15.75" customHeight="1">
      <c r="A193" s="144"/>
      <c r="B193" s="153"/>
      <c r="C193" s="155"/>
      <c r="D193" s="155"/>
      <c r="E193" s="155"/>
      <c r="F193" s="155"/>
      <c r="G193" s="155"/>
      <c r="H193" s="155"/>
      <c r="I193" s="155"/>
      <c r="J193" s="155"/>
      <c r="K193" s="155"/>
      <c r="L193" s="155"/>
      <c r="M193" s="155"/>
    </row>
    <row r="194" spans="1:13" ht="15.75" customHeight="1">
      <c r="A194" s="144"/>
      <c r="B194" s="150" t="s">
        <v>347</v>
      </c>
      <c r="C194" s="168" t="s">
        <v>348</v>
      </c>
      <c r="D194" s="151"/>
      <c r="E194" s="151"/>
      <c r="F194" s="151"/>
      <c r="G194" s="151"/>
      <c r="H194" s="151"/>
      <c r="I194" s="151"/>
      <c r="J194" s="151"/>
      <c r="K194" s="151"/>
      <c r="L194" s="151"/>
      <c r="M194" s="151"/>
    </row>
    <row r="195" spans="1:13" ht="15.75" customHeight="1">
      <c r="A195" s="144"/>
      <c r="B195" s="150"/>
      <c r="C195" s="151" t="s">
        <v>349</v>
      </c>
      <c r="D195" s="151" t="s">
        <v>290</v>
      </c>
      <c r="E195" s="151" t="s">
        <v>306</v>
      </c>
      <c r="F195" s="152">
        <v>15000</v>
      </c>
      <c r="G195" s="151" t="s">
        <v>245</v>
      </c>
      <c r="H195" s="151">
        <v>139</v>
      </c>
      <c r="I195" s="151" t="s">
        <v>350</v>
      </c>
      <c r="J195" s="151">
        <v>2085</v>
      </c>
      <c r="K195" s="152">
        <v>166</v>
      </c>
      <c r="L195" s="220">
        <v>0.01</v>
      </c>
      <c r="M195" s="221">
        <v>0</v>
      </c>
    </row>
    <row r="196" spans="1:13" ht="15.75" customHeight="1">
      <c r="A196" s="144"/>
      <c r="B196" s="150"/>
      <c r="C196" s="151" t="s">
        <v>351</v>
      </c>
      <c r="D196" s="151" t="s">
        <v>292</v>
      </c>
      <c r="E196" s="151" t="s">
        <v>306</v>
      </c>
      <c r="F196" s="152">
        <v>48000</v>
      </c>
      <c r="G196" s="151" t="s">
        <v>245</v>
      </c>
      <c r="H196" s="151">
        <v>139</v>
      </c>
      <c r="I196" s="151" t="s">
        <v>350</v>
      </c>
      <c r="J196" s="151">
        <v>6672</v>
      </c>
      <c r="K196" s="152">
        <v>540</v>
      </c>
      <c r="L196" s="220">
        <v>0.02</v>
      </c>
      <c r="M196" s="221">
        <v>0</v>
      </c>
    </row>
    <row r="197" spans="1:13" ht="15.75" customHeight="1">
      <c r="A197" s="144"/>
      <c r="B197" s="150"/>
      <c r="C197" s="151" t="s">
        <v>352</v>
      </c>
      <c r="D197" s="151" t="s">
        <v>294</v>
      </c>
      <c r="E197" s="151" t="s">
        <v>306</v>
      </c>
      <c r="F197" s="152">
        <v>53000</v>
      </c>
      <c r="G197" s="151" t="s">
        <v>245</v>
      </c>
      <c r="H197" s="151">
        <v>139</v>
      </c>
      <c r="I197" s="151" t="s">
        <v>350</v>
      </c>
      <c r="J197" s="151">
        <v>7367</v>
      </c>
      <c r="K197" s="152">
        <v>601</v>
      </c>
      <c r="L197" s="220">
        <v>0.02</v>
      </c>
      <c r="M197" s="221">
        <v>0</v>
      </c>
    </row>
    <row r="198" spans="1:13" ht="15.75" customHeight="1">
      <c r="A198" s="144"/>
      <c r="B198" s="150"/>
      <c r="C198" s="151" t="s">
        <v>353</v>
      </c>
      <c r="D198" s="151" t="s">
        <v>296</v>
      </c>
      <c r="E198" s="151" t="s">
        <v>306</v>
      </c>
      <c r="F198" s="152">
        <v>52000</v>
      </c>
      <c r="G198" s="151" t="s">
        <v>245</v>
      </c>
      <c r="H198" s="151">
        <v>139</v>
      </c>
      <c r="I198" s="151" t="s">
        <v>350</v>
      </c>
      <c r="J198" s="151">
        <v>7228</v>
      </c>
      <c r="K198" s="152">
        <v>592</v>
      </c>
      <c r="L198" s="220">
        <v>0.02</v>
      </c>
      <c r="M198" s="221">
        <v>0</v>
      </c>
    </row>
    <row r="199" spans="1:13" ht="15.75" customHeight="1">
      <c r="A199" s="144"/>
      <c r="B199" s="150"/>
      <c r="C199" s="151"/>
      <c r="D199" s="151"/>
      <c r="E199" s="151"/>
      <c r="F199" s="151"/>
      <c r="G199" s="151"/>
      <c r="H199" s="151"/>
      <c r="I199" s="151"/>
      <c r="J199" s="151"/>
      <c r="K199" s="151"/>
      <c r="L199" s="151"/>
      <c r="M199" s="151"/>
    </row>
    <row r="200" spans="1:13" ht="15.75" customHeight="1">
      <c r="A200" s="144"/>
      <c r="B200" s="153"/>
      <c r="C200" s="155"/>
      <c r="D200" s="155"/>
      <c r="E200" s="155"/>
      <c r="F200" s="155"/>
      <c r="G200" s="155"/>
      <c r="H200" s="155"/>
      <c r="I200" s="155"/>
      <c r="J200" s="155"/>
      <c r="K200" s="155"/>
      <c r="L200" s="155"/>
      <c r="M200" s="155"/>
    </row>
    <row r="201" spans="1:13" ht="15.75" customHeight="1">
      <c r="A201" s="144"/>
      <c r="B201" s="150" t="s">
        <v>354</v>
      </c>
      <c r="C201" s="177" t="s">
        <v>355</v>
      </c>
      <c r="D201" s="151"/>
      <c r="E201" s="151"/>
      <c r="F201" s="151"/>
      <c r="G201" s="151"/>
      <c r="H201" s="151"/>
      <c r="I201" s="151"/>
      <c r="J201" s="151"/>
      <c r="K201" s="151"/>
      <c r="L201" s="151"/>
      <c r="M201" s="151"/>
    </row>
    <row r="202" spans="1:13" ht="15.75" customHeight="1">
      <c r="A202" s="144"/>
      <c r="B202" s="150"/>
      <c r="C202" s="151" t="s">
        <v>356</v>
      </c>
      <c r="D202" s="151" t="s">
        <v>357</v>
      </c>
      <c r="E202" s="151" t="s">
        <v>306</v>
      </c>
      <c r="F202" s="152">
        <v>2513</v>
      </c>
      <c r="G202" s="151" t="s">
        <v>245</v>
      </c>
      <c r="H202" s="151">
        <v>137</v>
      </c>
      <c r="I202" s="151" t="s">
        <v>350</v>
      </c>
      <c r="J202" s="167">
        <v>344.28100000000001</v>
      </c>
      <c r="K202" s="172">
        <v>28</v>
      </c>
      <c r="L202" s="172">
        <v>1.4E-3</v>
      </c>
      <c r="M202" s="222">
        <v>1E-4</v>
      </c>
    </row>
    <row r="203" spans="1:13" ht="15.75" customHeight="1">
      <c r="A203" s="144"/>
      <c r="B203" s="150"/>
      <c r="C203" s="151" t="s">
        <v>358</v>
      </c>
      <c r="D203" s="151" t="s">
        <v>359</v>
      </c>
      <c r="E203" s="151" t="s">
        <v>306</v>
      </c>
      <c r="F203" s="152">
        <v>1970</v>
      </c>
      <c r="G203" s="151" t="s">
        <v>245</v>
      </c>
      <c r="H203" s="151">
        <v>137</v>
      </c>
      <c r="I203" s="151" t="s">
        <v>350</v>
      </c>
      <c r="J203" s="167">
        <v>269.89</v>
      </c>
      <c r="K203" s="172">
        <v>22</v>
      </c>
      <c r="L203" s="172">
        <v>1.1000000000000001E-3</v>
      </c>
      <c r="M203" s="222">
        <v>1E-4</v>
      </c>
    </row>
    <row r="204" spans="1:13" ht="15.75" customHeight="1">
      <c r="A204" s="144"/>
      <c r="B204" s="150"/>
      <c r="C204" s="151" t="s">
        <v>360</v>
      </c>
      <c r="D204" s="151" t="s">
        <v>361</v>
      </c>
      <c r="E204" s="151" t="s">
        <v>306</v>
      </c>
      <c r="F204" s="152">
        <v>4854</v>
      </c>
      <c r="G204" s="151" t="s">
        <v>245</v>
      </c>
      <c r="H204" s="151">
        <v>137</v>
      </c>
      <c r="I204" s="151" t="s">
        <v>350</v>
      </c>
      <c r="J204" s="167">
        <v>664.99800000000005</v>
      </c>
      <c r="K204" s="172">
        <v>55</v>
      </c>
      <c r="L204" s="172">
        <v>2.7000000000000001E-3</v>
      </c>
      <c r="M204" s="222">
        <v>2.9999999999999997E-4</v>
      </c>
    </row>
    <row r="205" spans="1:13" ht="15.75" customHeight="1">
      <c r="A205" s="144"/>
      <c r="B205" s="150"/>
      <c r="C205" s="151" t="s">
        <v>362</v>
      </c>
      <c r="D205" s="151" t="s">
        <v>315</v>
      </c>
      <c r="E205" s="151" t="s">
        <v>306</v>
      </c>
      <c r="F205" s="152">
        <v>4066</v>
      </c>
      <c r="G205" s="151" t="s">
        <v>245</v>
      </c>
      <c r="H205" s="151">
        <v>137</v>
      </c>
      <c r="I205" s="151" t="s">
        <v>350</v>
      </c>
      <c r="J205" s="167">
        <v>557.04200000000003</v>
      </c>
      <c r="K205" s="172">
        <v>46</v>
      </c>
      <c r="L205" s="172">
        <v>2.3E-3</v>
      </c>
      <c r="M205" s="222">
        <v>2.0000000000000001E-4</v>
      </c>
    </row>
    <row r="206" spans="1:13" ht="15.75" customHeight="1">
      <c r="A206" s="144"/>
      <c r="B206" s="150"/>
      <c r="C206" s="151" t="s">
        <v>363</v>
      </c>
      <c r="D206" s="151" t="s">
        <v>364</v>
      </c>
      <c r="E206" s="151" t="s">
        <v>306</v>
      </c>
      <c r="F206" s="152">
        <v>2530</v>
      </c>
      <c r="G206" s="151" t="s">
        <v>245</v>
      </c>
      <c r="H206" s="151">
        <v>137</v>
      </c>
      <c r="I206" s="151" t="s">
        <v>350</v>
      </c>
      <c r="J206" s="167">
        <v>346.61</v>
      </c>
      <c r="K206" s="172">
        <v>29</v>
      </c>
      <c r="L206" s="172">
        <v>1.4E-3</v>
      </c>
      <c r="M206" s="222">
        <v>1E-4</v>
      </c>
    </row>
    <row r="207" spans="1:13" ht="15.75" customHeight="1">
      <c r="A207" s="144"/>
      <c r="B207" s="150"/>
      <c r="C207" s="151" t="s">
        <v>365</v>
      </c>
      <c r="D207" s="151" t="s">
        <v>366</v>
      </c>
      <c r="E207" s="151" t="s">
        <v>306</v>
      </c>
      <c r="F207" s="152">
        <v>6889</v>
      </c>
      <c r="G207" s="151" t="s">
        <v>245</v>
      </c>
      <c r="H207" s="151">
        <v>137</v>
      </c>
      <c r="I207" s="151" t="s">
        <v>350</v>
      </c>
      <c r="J207" s="167">
        <v>943.79300000000001</v>
      </c>
      <c r="K207" s="172">
        <v>78</v>
      </c>
      <c r="L207" s="172">
        <v>3.8E-3</v>
      </c>
      <c r="M207" s="222">
        <v>4.0000000000000002E-4</v>
      </c>
    </row>
    <row r="208" spans="1:13" ht="15.75" customHeight="1">
      <c r="A208" s="144"/>
      <c r="B208" s="150"/>
      <c r="C208" s="151" t="s">
        <v>367</v>
      </c>
      <c r="D208" s="151" t="s">
        <v>368</v>
      </c>
      <c r="E208" s="151" t="s">
        <v>306</v>
      </c>
      <c r="F208" s="152">
        <v>8151</v>
      </c>
      <c r="G208" s="151" t="s">
        <v>245</v>
      </c>
      <c r="H208" s="151">
        <v>137</v>
      </c>
      <c r="I208" s="151" t="s">
        <v>350</v>
      </c>
      <c r="J208" s="167">
        <v>1116.6869999999999</v>
      </c>
      <c r="K208" s="172">
        <v>92</v>
      </c>
      <c r="L208" s="172">
        <v>4.4999999999999997E-3</v>
      </c>
      <c r="M208" s="222">
        <v>4.0000000000000002E-4</v>
      </c>
    </row>
    <row r="209" spans="1:13" ht="15.75" customHeight="1">
      <c r="A209" s="144"/>
      <c r="B209" s="150"/>
      <c r="C209" s="151" t="s">
        <v>369</v>
      </c>
      <c r="D209" s="151" t="s">
        <v>370</v>
      </c>
      <c r="E209" s="151" t="s">
        <v>306</v>
      </c>
      <c r="F209" s="152">
        <v>12285</v>
      </c>
      <c r="G209" s="151" t="s">
        <v>245</v>
      </c>
      <c r="H209" s="151">
        <v>137</v>
      </c>
      <c r="I209" s="151" t="s">
        <v>350</v>
      </c>
      <c r="J209" s="167">
        <v>1683.0450000000001</v>
      </c>
      <c r="K209" s="172">
        <v>139</v>
      </c>
      <c r="L209" s="172">
        <v>6.7999999999999996E-3</v>
      </c>
      <c r="M209" s="222">
        <v>6.9999999999999999E-4</v>
      </c>
    </row>
    <row r="210" spans="1:13" ht="15.75" customHeight="1">
      <c r="A210" s="144"/>
      <c r="B210" s="150"/>
      <c r="C210" s="151" t="s">
        <v>371</v>
      </c>
      <c r="D210" s="151" t="s">
        <v>372</v>
      </c>
      <c r="E210" s="151" t="s">
        <v>306</v>
      </c>
      <c r="F210" s="152">
        <v>27170</v>
      </c>
      <c r="G210" s="151" t="s">
        <v>245</v>
      </c>
      <c r="H210" s="151">
        <v>137</v>
      </c>
      <c r="I210" s="151" t="s">
        <v>350</v>
      </c>
      <c r="J210" s="167">
        <v>3722.29</v>
      </c>
      <c r="K210" s="172">
        <v>307</v>
      </c>
      <c r="L210" s="172">
        <v>1.5100000000000001E-2</v>
      </c>
      <c r="M210" s="222">
        <v>1.5E-3</v>
      </c>
    </row>
    <row r="211" spans="1:13" ht="15.75" customHeight="1">
      <c r="A211" s="144"/>
      <c r="B211" s="150"/>
      <c r="C211" s="151" t="s">
        <v>373</v>
      </c>
      <c r="D211" s="151" t="s">
        <v>374</v>
      </c>
      <c r="E211" s="151" t="s">
        <v>306</v>
      </c>
      <c r="F211" s="152">
        <v>28504</v>
      </c>
      <c r="G211" s="151" t="s">
        <v>245</v>
      </c>
      <c r="H211" s="151">
        <v>137</v>
      </c>
      <c r="I211" s="151" t="s">
        <v>350</v>
      </c>
      <c r="J211" s="167">
        <v>3905.0479999999998</v>
      </c>
      <c r="K211" s="172">
        <v>322</v>
      </c>
      <c r="L211" s="172">
        <v>1.5800000000000002E-2</v>
      </c>
      <c r="M211" s="222">
        <v>1.6000000000000001E-3</v>
      </c>
    </row>
    <row r="212" spans="1:13" ht="15.75" customHeight="1">
      <c r="A212" s="144"/>
      <c r="B212" s="150"/>
      <c r="C212" s="151"/>
      <c r="D212" s="151"/>
      <c r="E212" s="151"/>
      <c r="F212" s="151"/>
      <c r="G212" s="151"/>
      <c r="H212" s="151"/>
      <c r="I212" s="151"/>
      <c r="J212" s="151"/>
      <c r="K212" s="151"/>
      <c r="L212" s="151"/>
      <c r="M212" s="151"/>
    </row>
    <row r="213" spans="1:13" ht="15.75" customHeight="1">
      <c r="A213" s="144"/>
      <c r="B213" s="153"/>
      <c r="C213" s="155"/>
      <c r="D213" s="155"/>
      <c r="E213" s="155"/>
      <c r="F213" s="155"/>
      <c r="G213" s="155"/>
      <c r="H213" s="155"/>
      <c r="I213" s="155"/>
      <c r="J213" s="155"/>
      <c r="K213" s="155"/>
      <c r="L213" s="155"/>
      <c r="M213" s="155"/>
    </row>
    <row r="214" spans="1:13" ht="15.75" customHeight="1">
      <c r="A214" s="144"/>
      <c r="B214" s="150" t="s">
        <v>375</v>
      </c>
      <c r="C214" s="177" t="s">
        <v>376</v>
      </c>
      <c r="D214" s="151"/>
      <c r="E214" s="151"/>
      <c r="F214" s="151"/>
      <c r="G214" s="151"/>
      <c r="H214" s="151"/>
      <c r="I214" s="151"/>
      <c r="J214" s="151"/>
      <c r="K214" s="151"/>
      <c r="L214" s="151"/>
      <c r="M214" s="151"/>
    </row>
    <row r="215" spans="1:13" ht="15.75" customHeight="1">
      <c r="A215" s="144"/>
      <c r="B215" s="150"/>
      <c r="C215" s="151" t="s">
        <v>377</v>
      </c>
      <c r="D215" s="151" t="s">
        <v>378</v>
      </c>
      <c r="E215" s="151" t="s">
        <v>306</v>
      </c>
      <c r="F215" s="152">
        <v>6889</v>
      </c>
      <c r="G215" s="151" t="s">
        <v>245</v>
      </c>
      <c r="H215" s="151">
        <v>137</v>
      </c>
      <c r="I215" s="151" t="s">
        <v>350</v>
      </c>
      <c r="J215" s="167">
        <v>943.79300000000001</v>
      </c>
      <c r="K215" s="220">
        <v>78</v>
      </c>
      <c r="L215" s="223">
        <v>3.8E-3</v>
      </c>
      <c r="M215" s="223">
        <v>4.0000000000000002E-4</v>
      </c>
    </row>
    <row r="216" spans="1:13" ht="15.75" customHeight="1">
      <c r="A216" s="144"/>
      <c r="B216" s="150"/>
      <c r="C216" s="151" t="s">
        <v>379</v>
      </c>
      <c r="D216" s="151" t="s">
        <v>380</v>
      </c>
      <c r="E216" s="151" t="s">
        <v>306</v>
      </c>
      <c r="F216" s="152">
        <v>6851</v>
      </c>
      <c r="G216" s="151" t="s">
        <v>245</v>
      </c>
      <c r="H216" s="151">
        <v>137</v>
      </c>
      <c r="I216" s="151" t="s">
        <v>350</v>
      </c>
      <c r="J216" s="167">
        <v>938.58699999999999</v>
      </c>
      <c r="K216" s="220">
        <v>77</v>
      </c>
      <c r="L216" s="223">
        <v>3.8E-3</v>
      </c>
      <c r="M216" s="223">
        <v>4.0000000000000002E-4</v>
      </c>
    </row>
    <row r="217" spans="1:13" ht="15.75" customHeight="1">
      <c r="A217" s="144"/>
      <c r="B217" s="150"/>
      <c r="C217" s="151" t="s">
        <v>381</v>
      </c>
      <c r="D217" s="151" t="s">
        <v>382</v>
      </c>
      <c r="E217" s="151" t="s">
        <v>306</v>
      </c>
      <c r="F217" s="152">
        <v>26106</v>
      </c>
      <c r="G217" s="151" t="s">
        <v>245</v>
      </c>
      <c r="H217" s="151">
        <v>137</v>
      </c>
      <c r="I217" s="151" t="s">
        <v>350</v>
      </c>
      <c r="J217" s="167">
        <v>3576.5219999999999</v>
      </c>
      <c r="K217" s="220">
        <v>295</v>
      </c>
      <c r="L217" s="223">
        <v>0</v>
      </c>
      <c r="M217" s="223">
        <v>0</v>
      </c>
    </row>
    <row r="218" spans="1:13" ht="15.75" customHeight="1">
      <c r="A218" s="144"/>
      <c r="B218" s="150"/>
      <c r="C218" s="151" t="s">
        <v>383</v>
      </c>
      <c r="D218" s="151" t="s">
        <v>384</v>
      </c>
      <c r="E218" s="151" t="s">
        <v>306</v>
      </c>
      <c r="F218" s="152">
        <v>11826</v>
      </c>
      <c r="G218" s="151" t="s">
        <v>245</v>
      </c>
      <c r="H218" s="151">
        <v>137</v>
      </c>
      <c r="I218" s="151" t="s">
        <v>350</v>
      </c>
      <c r="J218" s="167">
        <v>1620.162</v>
      </c>
      <c r="K218" s="220">
        <v>134</v>
      </c>
      <c r="L218" s="223">
        <v>0</v>
      </c>
      <c r="M218" s="223">
        <v>0</v>
      </c>
    </row>
    <row r="219" spans="1:13" ht="15.75" customHeight="1">
      <c r="A219" s="144"/>
      <c r="B219" s="150"/>
      <c r="C219" s="151" t="s">
        <v>385</v>
      </c>
      <c r="D219" s="151" t="s">
        <v>386</v>
      </c>
      <c r="E219" s="151" t="s">
        <v>306</v>
      </c>
      <c r="F219" s="152">
        <v>22997</v>
      </c>
      <c r="G219" s="151" t="s">
        <v>245</v>
      </c>
      <c r="H219" s="151">
        <v>137</v>
      </c>
      <c r="I219" s="151" t="s">
        <v>350</v>
      </c>
      <c r="J219" s="167">
        <v>3150.5889999999999</v>
      </c>
      <c r="K219" s="220">
        <v>260</v>
      </c>
      <c r="L219" s="223">
        <v>1.2800000000000001E-2</v>
      </c>
      <c r="M219" s="172">
        <v>1.2999999999999999E-3</v>
      </c>
    </row>
    <row r="220" spans="1:13" ht="15.75" customHeight="1">
      <c r="A220" s="144"/>
      <c r="B220" s="150"/>
      <c r="C220" s="151" t="s">
        <v>387</v>
      </c>
      <c r="D220" s="151" t="s">
        <v>388</v>
      </c>
      <c r="E220" s="151" t="s">
        <v>306</v>
      </c>
      <c r="F220" s="152">
        <v>14592</v>
      </c>
      <c r="G220" s="151" t="s">
        <v>245</v>
      </c>
      <c r="H220" s="151">
        <v>137</v>
      </c>
      <c r="I220" s="151" t="s">
        <v>350</v>
      </c>
      <c r="J220" s="167">
        <v>1999.104</v>
      </c>
      <c r="K220" s="220">
        <v>165</v>
      </c>
      <c r="L220" s="223">
        <v>8.0999999999999996E-3</v>
      </c>
      <c r="M220" s="172">
        <v>8.0000000000000004E-4</v>
      </c>
    </row>
    <row r="221" spans="1:13" ht="15.75" customHeight="1">
      <c r="A221" s="144"/>
      <c r="B221" s="150"/>
      <c r="C221" s="151" t="s">
        <v>389</v>
      </c>
      <c r="D221" s="151" t="s">
        <v>390</v>
      </c>
      <c r="E221" s="151" t="s">
        <v>306</v>
      </c>
      <c r="F221" s="152">
        <v>24984</v>
      </c>
      <c r="G221" s="151" t="s">
        <v>245</v>
      </c>
      <c r="H221" s="151">
        <v>137</v>
      </c>
      <c r="I221" s="151" t="s">
        <v>350</v>
      </c>
      <c r="J221" s="167">
        <v>3422.808</v>
      </c>
      <c r="K221" s="220">
        <v>282</v>
      </c>
      <c r="L221" s="223">
        <v>1.3899999999999999E-2</v>
      </c>
      <c r="M221" s="172">
        <v>1.4E-3</v>
      </c>
    </row>
    <row r="222" spans="1:13" ht="15.75" customHeight="1">
      <c r="A222" s="144"/>
      <c r="B222" s="150"/>
      <c r="C222" s="151" t="s">
        <v>391</v>
      </c>
      <c r="D222" s="151" t="s">
        <v>392</v>
      </c>
      <c r="E222" s="151" t="s">
        <v>306</v>
      </c>
      <c r="F222" s="152">
        <v>24301</v>
      </c>
      <c r="G222" s="151" t="s">
        <v>245</v>
      </c>
      <c r="H222" s="151">
        <v>137</v>
      </c>
      <c r="I222" s="151" t="s">
        <v>350</v>
      </c>
      <c r="J222" s="167">
        <v>3329.2370000000001</v>
      </c>
      <c r="K222" s="220">
        <v>275</v>
      </c>
      <c r="L222" s="223">
        <v>1.35E-2</v>
      </c>
      <c r="M222" s="172">
        <v>1.2999999999999999E-3</v>
      </c>
    </row>
    <row r="223" spans="1:13" ht="15.75" customHeight="1">
      <c r="A223" s="144"/>
      <c r="B223" s="150"/>
      <c r="C223" s="151"/>
      <c r="D223" s="151"/>
      <c r="E223" s="151"/>
      <c r="F223" s="151"/>
      <c r="G223" s="151"/>
      <c r="H223" s="151"/>
      <c r="I223" s="151"/>
      <c r="J223" s="151"/>
      <c r="K223" s="151"/>
      <c r="L223" s="151"/>
      <c r="M223" s="151"/>
    </row>
    <row r="224" spans="1:13" ht="15.75" customHeight="1">
      <c r="A224" s="144"/>
      <c r="B224" s="153"/>
      <c r="C224" s="155"/>
      <c r="D224" s="155"/>
      <c r="E224" s="155"/>
      <c r="F224" s="155"/>
      <c r="G224" s="155"/>
      <c r="H224" s="155"/>
      <c r="I224" s="155"/>
      <c r="J224" s="155"/>
      <c r="K224" s="155"/>
      <c r="L224" s="155"/>
      <c r="M224" s="155"/>
    </row>
    <row r="225" spans="1:13" ht="15.75" customHeight="1">
      <c r="A225" s="144"/>
      <c r="B225" s="150" t="s">
        <v>393</v>
      </c>
      <c r="C225" s="177" t="s">
        <v>394</v>
      </c>
      <c r="D225" s="151"/>
      <c r="E225" s="151"/>
      <c r="F225" s="151"/>
      <c r="G225" s="151"/>
      <c r="H225" s="151"/>
      <c r="I225" s="151"/>
      <c r="J225" s="151"/>
      <c r="K225" s="151"/>
      <c r="L225" s="151"/>
      <c r="M225" s="151"/>
    </row>
    <row r="226" spans="1:13" ht="15.75" customHeight="1">
      <c r="A226" s="144"/>
      <c r="B226" s="150"/>
      <c r="C226" s="151" t="s">
        <v>371</v>
      </c>
      <c r="D226" s="151" t="s">
        <v>395</v>
      </c>
      <c r="E226" s="151" t="s">
        <v>306</v>
      </c>
      <c r="F226" s="152">
        <v>3269</v>
      </c>
      <c r="G226" s="151" t="s">
        <v>245</v>
      </c>
      <c r="H226" s="158">
        <v>140984</v>
      </c>
      <c r="I226" s="151" t="s">
        <v>345</v>
      </c>
      <c r="J226" s="167">
        <v>460.87669599999998</v>
      </c>
      <c r="K226" s="172">
        <v>36.28</v>
      </c>
      <c r="L226" s="184">
        <v>0</v>
      </c>
      <c r="M226" s="184">
        <v>0</v>
      </c>
    </row>
    <row r="227" spans="1:13" ht="15.75" customHeight="1">
      <c r="A227" s="144"/>
      <c r="B227" s="150"/>
      <c r="C227" s="151" t="s">
        <v>369</v>
      </c>
      <c r="D227" s="151" t="s">
        <v>396</v>
      </c>
      <c r="E227" s="151" t="s">
        <v>306</v>
      </c>
      <c r="F227" s="152">
        <v>3014</v>
      </c>
      <c r="G227" s="151" t="s">
        <v>245</v>
      </c>
      <c r="H227" s="158">
        <v>140983</v>
      </c>
      <c r="I227" s="151" t="s">
        <v>345</v>
      </c>
      <c r="J227" s="167">
        <v>424.92276199999998</v>
      </c>
      <c r="K227" s="172">
        <v>85.14</v>
      </c>
      <c r="L227" s="184">
        <v>0</v>
      </c>
      <c r="M227" s="184">
        <v>0</v>
      </c>
    </row>
    <row r="228" spans="1:13" ht="15.75" customHeight="1">
      <c r="A228" s="144"/>
      <c r="B228" s="150"/>
      <c r="C228" s="151" t="s">
        <v>358</v>
      </c>
      <c r="D228" s="151" t="s">
        <v>397</v>
      </c>
      <c r="E228" s="151" t="s">
        <v>306</v>
      </c>
      <c r="F228" s="152">
        <v>3234</v>
      </c>
      <c r="G228" s="151" t="s">
        <v>245</v>
      </c>
      <c r="H228" s="158">
        <v>140987</v>
      </c>
      <c r="I228" s="151" t="s">
        <v>345</v>
      </c>
      <c r="J228" s="167">
        <v>455.95195799999999</v>
      </c>
      <c r="K228" s="172">
        <v>33.46</v>
      </c>
      <c r="L228" s="184">
        <v>0</v>
      </c>
      <c r="M228" s="184">
        <v>0</v>
      </c>
    </row>
    <row r="229" spans="1:13" ht="15.75" customHeight="1">
      <c r="A229" s="144"/>
      <c r="B229" s="150"/>
      <c r="C229" s="151" t="s">
        <v>398</v>
      </c>
      <c r="D229" s="151" t="s">
        <v>397</v>
      </c>
      <c r="E229" s="151" t="s">
        <v>306</v>
      </c>
      <c r="F229" s="152">
        <v>7670</v>
      </c>
      <c r="G229" s="151" t="s">
        <v>245</v>
      </c>
      <c r="H229" s="158">
        <v>140987</v>
      </c>
      <c r="I229" s="151" t="s">
        <v>345</v>
      </c>
      <c r="J229" s="167">
        <v>1081.3702900000001</v>
      </c>
      <c r="K229" s="184">
        <v>35.9</v>
      </c>
      <c r="L229" s="184">
        <v>0</v>
      </c>
      <c r="M229" s="184">
        <v>0</v>
      </c>
    </row>
    <row r="230" spans="1:13" ht="15.75" customHeight="1">
      <c r="A230" s="144"/>
      <c r="B230" s="150"/>
      <c r="C230" s="151"/>
      <c r="D230" s="151"/>
      <c r="E230" s="151"/>
      <c r="F230" s="158"/>
      <c r="G230" s="151"/>
      <c r="H230" s="151"/>
      <c r="I230" s="151"/>
      <c r="J230" s="158"/>
      <c r="K230" s="151"/>
      <c r="L230" s="151"/>
      <c r="M230" s="151"/>
    </row>
    <row r="231" spans="1:13" ht="15.75" customHeight="1">
      <c r="A231" s="144"/>
      <c r="B231" s="153"/>
      <c r="C231" s="155"/>
      <c r="D231" s="155"/>
      <c r="E231" s="155"/>
      <c r="F231" s="155"/>
      <c r="G231" s="155"/>
      <c r="H231" s="155"/>
      <c r="I231" s="155"/>
      <c r="J231" s="155"/>
      <c r="K231" s="155"/>
      <c r="L231" s="155"/>
      <c r="M231" s="155"/>
    </row>
    <row r="232" spans="1:13" ht="15.75" customHeight="1">
      <c r="A232" s="144"/>
      <c r="B232" s="150" t="s">
        <v>399</v>
      </c>
      <c r="C232" s="218" t="s">
        <v>400</v>
      </c>
      <c r="D232" s="151"/>
      <c r="E232" s="151"/>
      <c r="F232" s="151"/>
      <c r="G232" s="151"/>
      <c r="H232" s="151"/>
      <c r="I232" s="151"/>
      <c r="J232" s="151"/>
      <c r="K232" s="151"/>
      <c r="L232" s="151"/>
      <c r="M232" s="151"/>
    </row>
    <row r="233" spans="1:13" ht="15.75" customHeight="1">
      <c r="A233" s="144"/>
      <c r="B233" s="150"/>
      <c r="C233" s="151" t="s">
        <v>401</v>
      </c>
      <c r="D233" s="151" t="s">
        <v>402</v>
      </c>
      <c r="E233" s="151" t="s">
        <v>306</v>
      </c>
      <c r="F233" s="152">
        <v>30919</v>
      </c>
      <c r="G233" s="151" t="s">
        <v>245</v>
      </c>
      <c r="H233" s="158">
        <v>141494</v>
      </c>
      <c r="I233" s="151" t="s">
        <v>345</v>
      </c>
      <c r="J233" s="167">
        <v>4374.8529859999999</v>
      </c>
      <c r="K233" s="172">
        <v>349</v>
      </c>
      <c r="L233" s="223">
        <v>1.7000000000000001E-2</v>
      </c>
      <c r="M233" s="184">
        <v>0</v>
      </c>
    </row>
    <row r="234" spans="1:13" ht="15.75" customHeight="1">
      <c r="A234" s="144"/>
      <c r="B234" s="150"/>
      <c r="C234" s="151" t="s">
        <v>403</v>
      </c>
      <c r="D234" s="151" t="s">
        <v>204</v>
      </c>
      <c r="E234" s="151" t="s">
        <v>306</v>
      </c>
      <c r="F234" s="152">
        <v>28591</v>
      </c>
      <c r="G234" s="151" t="s">
        <v>245</v>
      </c>
      <c r="H234" s="158">
        <v>141494</v>
      </c>
      <c r="I234" s="151" t="s">
        <v>345</v>
      </c>
      <c r="J234" s="167">
        <v>4045.4549539999998</v>
      </c>
      <c r="K234" s="172">
        <v>323</v>
      </c>
      <c r="L234" s="223">
        <v>1.6E-2</v>
      </c>
      <c r="M234" s="184">
        <v>0</v>
      </c>
    </row>
    <row r="235" spans="1:13" ht="15.75" customHeight="1">
      <c r="A235" s="144"/>
      <c r="B235" s="150"/>
      <c r="C235" s="151" t="s">
        <v>404</v>
      </c>
      <c r="D235" s="151" t="s">
        <v>220</v>
      </c>
      <c r="E235" s="151" t="s">
        <v>306</v>
      </c>
      <c r="F235" s="152">
        <v>24896</v>
      </c>
      <c r="G235" s="151" t="s">
        <v>245</v>
      </c>
      <c r="H235" s="158">
        <v>141494</v>
      </c>
      <c r="I235" s="151" t="s">
        <v>345</v>
      </c>
      <c r="J235" s="167">
        <v>3522.6346239999998</v>
      </c>
      <c r="K235" s="172">
        <v>281</v>
      </c>
      <c r="L235" s="223">
        <v>1.4E-2</v>
      </c>
      <c r="M235" s="184">
        <v>0</v>
      </c>
    </row>
    <row r="236" spans="1:13" ht="15.75" customHeight="1">
      <c r="A236" s="144"/>
      <c r="B236" s="150"/>
      <c r="C236" s="151" t="s">
        <v>405</v>
      </c>
      <c r="D236" s="151" t="s">
        <v>222</v>
      </c>
      <c r="E236" s="151" t="s">
        <v>306</v>
      </c>
      <c r="F236" s="152">
        <v>29876</v>
      </c>
      <c r="G236" s="151" t="s">
        <v>245</v>
      </c>
      <c r="H236" s="158">
        <v>141494</v>
      </c>
      <c r="I236" s="151" t="s">
        <v>345</v>
      </c>
      <c r="J236" s="167">
        <v>4227.2747440000003</v>
      </c>
      <c r="K236" s="172">
        <v>338</v>
      </c>
      <c r="L236" s="223">
        <v>1.7000000000000001E-2</v>
      </c>
      <c r="M236" s="184">
        <v>0</v>
      </c>
    </row>
    <row r="237" spans="1:13" ht="15.75" customHeight="1">
      <c r="A237" s="144"/>
      <c r="B237" s="150"/>
      <c r="C237" s="151"/>
      <c r="D237" s="151"/>
      <c r="E237" s="151"/>
      <c r="F237" s="151"/>
      <c r="G237" s="151"/>
      <c r="H237" s="151"/>
      <c r="I237" s="151"/>
      <c r="J237" s="151"/>
      <c r="K237" s="151"/>
      <c r="L237" s="151"/>
      <c r="M237" s="151"/>
    </row>
    <row r="238" spans="1:13" ht="15.75" customHeight="1">
      <c r="A238" s="144"/>
      <c r="B238" s="153"/>
      <c r="C238" s="155"/>
      <c r="D238" s="155"/>
      <c r="E238" s="155"/>
      <c r="F238" s="155"/>
      <c r="G238" s="155"/>
      <c r="H238" s="155"/>
      <c r="I238" s="155"/>
      <c r="J238" s="155"/>
      <c r="K238" s="155"/>
      <c r="L238" s="155"/>
      <c r="M238" s="155"/>
    </row>
    <row r="239" spans="1:13" ht="15.75" customHeight="1">
      <c r="A239" s="144"/>
      <c r="B239" s="150" t="s">
        <v>406</v>
      </c>
      <c r="C239" s="177" t="s">
        <v>407</v>
      </c>
      <c r="D239" s="151"/>
      <c r="E239" s="151"/>
      <c r="F239" s="151"/>
      <c r="G239" s="151"/>
      <c r="H239" s="151"/>
      <c r="I239" s="151"/>
      <c r="J239" s="151"/>
      <c r="K239" s="151"/>
      <c r="L239" s="151"/>
      <c r="M239" s="151"/>
    </row>
    <row r="240" spans="1:13" ht="15.75" customHeight="1">
      <c r="A240" s="144"/>
      <c r="B240" s="150"/>
      <c r="C240" s="151" t="s">
        <v>408</v>
      </c>
      <c r="D240" s="151" t="s">
        <v>409</v>
      </c>
      <c r="E240" s="151" t="s">
        <v>306</v>
      </c>
      <c r="F240" s="152">
        <v>422</v>
      </c>
      <c r="G240" s="151" t="s">
        <v>245</v>
      </c>
      <c r="H240" s="158">
        <v>137030</v>
      </c>
      <c r="I240" s="151" t="s">
        <v>345</v>
      </c>
      <c r="J240" s="167">
        <v>57.826659999999997</v>
      </c>
      <c r="K240" s="174">
        <v>5</v>
      </c>
      <c r="L240" s="184">
        <v>0</v>
      </c>
      <c r="M240" s="184">
        <v>0</v>
      </c>
    </row>
    <row r="241" spans="1:13" ht="15.75" customHeight="1">
      <c r="A241" s="144"/>
      <c r="B241" s="150"/>
      <c r="C241" s="151" t="s">
        <v>410</v>
      </c>
      <c r="D241" s="151" t="s">
        <v>411</v>
      </c>
      <c r="E241" s="151" t="s">
        <v>306</v>
      </c>
      <c r="F241" s="152">
        <v>622</v>
      </c>
      <c r="G241" s="151" t="s">
        <v>245</v>
      </c>
      <c r="H241" s="158">
        <v>137030</v>
      </c>
      <c r="I241" s="151" t="s">
        <v>345</v>
      </c>
      <c r="J241" s="167">
        <v>85.232659999999996</v>
      </c>
      <c r="K241" s="174">
        <v>7</v>
      </c>
      <c r="L241" s="184">
        <v>0</v>
      </c>
      <c r="M241" s="184">
        <v>0</v>
      </c>
    </row>
    <row r="242" spans="1:13" ht="15.75" customHeight="1">
      <c r="A242" s="144"/>
      <c r="B242" s="150"/>
      <c r="C242" s="151" t="s">
        <v>412</v>
      </c>
      <c r="D242" s="151" t="s">
        <v>413</v>
      </c>
      <c r="E242" s="151" t="s">
        <v>306</v>
      </c>
      <c r="F242" s="152">
        <v>12264</v>
      </c>
      <c r="G242" s="151" t="s">
        <v>245</v>
      </c>
      <c r="H242" s="158">
        <v>138200</v>
      </c>
      <c r="I242" s="151" t="s">
        <v>345</v>
      </c>
      <c r="J242" s="167">
        <v>1694.8848</v>
      </c>
      <c r="K242" s="174">
        <v>140</v>
      </c>
      <c r="L242" s="184">
        <v>0.01</v>
      </c>
      <c r="M242" s="184">
        <v>0</v>
      </c>
    </row>
    <row r="243" spans="1:13" ht="15.75" customHeight="1">
      <c r="A243" s="144"/>
      <c r="B243" s="150"/>
      <c r="C243" s="151" t="s">
        <v>414</v>
      </c>
      <c r="D243" s="151" t="s">
        <v>415</v>
      </c>
      <c r="E243" s="151" t="s">
        <v>306</v>
      </c>
      <c r="F243" s="152">
        <v>15360</v>
      </c>
      <c r="G243" s="151" t="s">
        <v>245</v>
      </c>
      <c r="H243" s="158">
        <v>138200</v>
      </c>
      <c r="I243" s="151" t="s">
        <v>345</v>
      </c>
      <c r="J243" s="167">
        <v>2122.752</v>
      </c>
      <c r="K243" s="174">
        <v>175</v>
      </c>
      <c r="L243" s="184">
        <v>0.01</v>
      </c>
      <c r="M243" s="184">
        <v>0</v>
      </c>
    </row>
    <row r="244" spans="1:13" ht="15.75" customHeight="1">
      <c r="A244" s="144"/>
      <c r="B244" s="150"/>
      <c r="C244" s="151" t="s">
        <v>416</v>
      </c>
      <c r="D244" s="151" t="s">
        <v>417</v>
      </c>
      <c r="E244" s="151" t="s">
        <v>306</v>
      </c>
      <c r="F244" s="152">
        <v>15672</v>
      </c>
      <c r="G244" s="151" t="s">
        <v>245</v>
      </c>
      <c r="H244" s="158">
        <v>138200</v>
      </c>
      <c r="I244" s="151" t="s">
        <v>345</v>
      </c>
      <c r="J244" s="167">
        <v>2165.8703999999998</v>
      </c>
      <c r="K244" s="174">
        <v>179</v>
      </c>
      <c r="L244" s="184">
        <v>0.01</v>
      </c>
      <c r="M244" s="184">
        <v>0</v>
      </c>
    </row>
    <row r="245" spans="1:13" ht="15.75" customHeight="1">
      <c r="A245" s="144"/>
      <c r="B245" s="150"/>
      <c r="C245" s="151" t="s">
        <v>418</v>
      </c>
      <c r="D245" s="151" t="s">
        <v>419</v>
      </c>
      <c r="E245" s="151" t="s">
        <v>306</v>
      </c>
      <c r="F245" s="152">
        <v>33156</v>
      </c>
      <c r="G245" s="151" t="s">
        <v>245</v>
      </c>
      <c r="H245" s="158">
        <v>139400</v>
      </c>
      <c r="I245" s="151" t="s">
        <v>345</v>
      </c>
      <c r="J245" s="167">
        <v>4621.9463999999998</v>
      </c>
      <c r="K245" s="174">
        <v>381</v>
      </c>
      <c r="L245" s="184">
        <v>0.02</v>
      </c>
      <c r="M245" s="184">
        <v>0</v>
      </c>
    </row>
    <row r="246" spans="1:13" ht="15.75" customHeight="1">
      <c r="A246" s="144"/>
      <c r="B246" s="150"/>
      <c r="C246" s="151" t="s">
        <v>420</v>
      </c>
      <c r="D246" s="151" t="s">
        <v>421</v>
      </c>
      <c r="E246" s="151" t="s">
        <v>306</v>
      </c>
      <c r="F246" s="152">
        <v>9396</v>
      </c>
      <c r="G246" s="151" t="s">
        <v>245</v>
      </c>
      <c r="H246" s="158">
        <v>138600</v>
      </c>
      <c r="I246" s="151" t="s">
        <v>345</v>
      </c>
      <c r="J246" s="167">
        <v>1302.2855999999999</v>
      </c>
      <c r="K246" s="174">
        <v>107</v>
      </c>
      <c r="L246" s="184">
        <v>0.01</v>
      </c>
      <c r="M246" s="184">
        <v>0</v>
      </c>
    </row>
    <row r="247" spans="1:13" ht="15.75" customHeight="1">
      <c r="A247" s="144"/>
      <c r="B247" s="150"/>
      <c r="C247" s="151" t="s">
        <v>422</v>
      </c>
      <c r="D247" s="151" t="s">
        <v>423</v>
      </c>
      <c r="E247" s="151" t="s">
        <v>306</v>
      </c>
      <c r="F247" s="152">
        <v>510</v>
      </c>
      <c r="G247" s="151" t="s">
        <v>245</v>
      </c>
      <c r="H247" s="158">
        <v>138500</v>
      </c>
      <c r="I247" s="151" t="s">
        <v>345</v>
      </c>
      <c r="J247" s="167">
        <v>70.635000000000005</v>
      </c>
      <c r="K247" s="174">
        <v>6</v>
      </c>
      <c r="L247" s="184">
        <v>0</v>
      </c>
      <c r="M247" s="184">
        <v>0</v>
      </c>
    </row>
    <row r="248" spans="1:13" ht="15.75" customHeight="1">
      <c r="A248" s="144"/>
      <c r="B248" s="161"/>
      <c r="C248" s="162"/>
      <c r="D248" s="162"/>
      <c r="E248" s="162"/>
      <c r="F248" s="162"/>
      <c r="G248" s="162"/>
      <c r="H248" s="162"/>
      <c r="I248" s="162"/>
      <c r="J248" s="162"/>
      <c r="K248" s="162"/>
      <c r="L248" s="162"/>
      <c r="M248" s="162"/>
    </row>
    <row r="249" spans="1:13" ht="15.75" customHeight="1">
      <c r="A249" s="144"/>
      <c r="B249" s="189"/>
      <c r="C249" s="190"/>
      <c r="D249" s="190"/>
      <c r="E249" s="190"/>
      <c r="F249" s="190"/>
      <c r="G249" s="190"/>
      <c r="H249" s="190"/>
      <c r="I249" s="190"/>
      <c r="J249" s="190"/>
      <c r="K249" s="190"/>
      <c r="L249" s="190"/>
      <c r="M249" s="190"/>
    </row>
    <row r="250" spans="1:13" ht="15.75" customHeight="1">
      <c r="A250" s="144"/>
      <c r="B250" s="144"/>
      <c r="C250" s="144"/>
      <c r="D250" s="144"/>
      <c r="E250" s="144"/>
      <c r="F250" s="144"/>
      <c r="G250" s="144"/>
      <c r="H250" s="144"/>
      <c r="I250" s="144"/>
      <c r="J250" s="144"/>
      <c r="K250" s="144"/>
      <c r="L250" s="144"/>
      <c r="M250" s="144"/>
    </row>
    <row r="251" spans="1:13" ht="15.75" customHeight="1">
      <c r="A251" s="144"/>
      <c r="B251" s="144"/>
      <c r="C251" s="144"/>
      <c r="D251" s="144"/>
      <c r="E251" s="144"/>
      <c r="F251" s="144"/>
      <c r="G251" s="144"/>
      <c r="H251" s="144"/>
      <c r="I251" s="144"/>
      <c r="J251" s="144"/>
      <c r="K251" s="144"/>
      <c r="L251" s="144"/>
      <c r="M251" s="144"/>
    </row>
    <row r="252" spans="1:13" ht="15.75" customHeight="1">
      <c r="A252" s="144"/>
      <c r="B252" s="144"/>
      <c r="C252" s="144"/>
      <c r="D252" s="144"/>
      <c r="E252" s="144"/>
      <c r="F252" s="191">
        <f>SUM(F67:F251)</f>
        <v>13301550</v>
      </c>
      <c r="G252" s="144"/>
      <c r="H252" s="144"/>
      <c r="I252" s="144"/>
      <c r="J252" s="191">
        <f t="shared" ref="J252:M252" si="1">SUM(J67:J251)</f>
        <v>1836609.00718</v>
      </c>
      <c r="K252" s="191">
        <f t="shared" si="1"/>
        <v>159907.03683495402</v>
      </c>
      <c r="L252" s="224">
        <f t="shared" si="1"/>
        <v>19.216284754966193</v>
      </c>
      <c r="M252" s="224">
        <f t="shared" si="1"/>
        <v>1.2236940435383052</v>
      </c>
    </row>
    <row r="253" spans="1:13" ht="15.75" customHeight="1">
      <c r="A253" s="144"/>
      <c r="B253" s="144"/>
      <c r="C253" s="144"/>
      <c r="D253" s="144"/>
      <c r="E253" s="144"/>
      <c r="F253" s="144"/>
      <c r="G253" s="144"/>
      <c r="H253" s="144"/>
      <c r="I253" s="144"/>
      <c r="J253" s="144"/>
      <c r="K253" s="144"/>
      <c r="L253" s="144"/>
      <c r="M253" s="144"/>
    </row>
    <row r="254" spans="1:13" ht="15.75" customHeight="1">
      <c r="A254" s="144"/>
      <c r="B254" s="144"/>
      <c r="C254" s="144"/>
      <c r="D254" s="144"/>
      <c r="E254" s="144"/>
      <c r="F254" s="144"/>
      <c r="G254" s="144"/>
      <c r="H254" s="144"/>
      <c r="I254" s="144"/>
      <c r="J254" s="144"/>
      <c r="K254" s="144"/>
      <c r="L254" s="144"/>
      <c r="M254" s="144"/>
    </row>
    <row r="255" spans="1:13" ht="15.75" customHeight="1">
      <c r="A255" s="144"/>
      <c r="B255" s="144"/>
      <c r="C255" s="144"/>
      <c r="D255" s="144"/>
      <c r="E255" s="144"/>
      <c r="F255" s="144"/>
      <c r="G255" s="144"/>
      <c r="H255" s="144"/>
      <c r="I255" s="144"/>
      <c r="J255" s="144"/>
      <c r="K255" s="144"/>
      <c r="L255" s="144"/>
      <c r="M255" s="144"/>
    </row>
    <row r="256" spans="1:13" ht="15.75" customHeight="1">
      <c r="A256" s="144"/>
      <c r="B256" s="193" t="s">
        <v>424</v>
      </c>
      <c r="C256" s="194"/>
      <c r="D256" s="195"/>
      <c r="E256" s="144"/>
      <c r="F256" s="144"/>
      <c r="G256" s="144"/>
      <c r="H256" s="144"/>
      <c r="I256" s="144"/>
      <c r="J256" s="144"/>
      <c r="K256" s="144"/>
      <c r="L256" s="144"/>
      <c r="M256" s="144"/>
    </row>
    <row r="257" spans="1:13" ht="15.75" customHeight="1">
      <c r="A257" s="144"/>
      <c r="B257" s="144"/>
      <c r="C257" s="144"/>
      <c r="D257" s="144"/>
      <c r="E257" s="144"/>
      <c r="F257" s="144"/>
      <c r="G257" s="144"/>
      <c r="H257" s="144"/>
      <c r="I257" s="144"/>
      <c r="J257" s="144"/>
      <c r="K257" s="144"/>
      <c r="L257" s="144"/>
      <c r="M257" s="144"/>
    </row>
    <row r="258" spans="1:13" ht="15.75" customHeight="1">
      <c r="A258" s="144"/>
      <c r="B258" s="145" t="s">
        <v>174</v>
      </c>
      <c r="C258" s="146" t="s">
        <v>175</v>
      </c>
      <c r="D258" s="146" t="s">
        <v>176</v>
      </c>
      <c r="E258" s="146" t="s">
        <v>177</v>
      </c>
      <c r="F258" s="146" t="s">
        <v>178</v>
      </c>
      <c r="G258" s="146" t="s">
        <v>178</v>
      </c>
      <c r="H258" s="146" t="s">
        <v>179</v>
      </c>
      <c r="I258" s="146" t="s">
        <v>180</v>
      </c>
      <c r="J258" s="147" t="s">
        <v>181</v>
      </c>
      <c r="K258" s="146" t="s">
        <v>425</v>
      </c>
      <c r="L258" s="146" t="s">
        <v>426</v>
      </c>
      <c r="M258" s="146" t="s">
        <v>427</v>
      </c>
    </row>
    <row r="259" spans="1:13" ht="15.75" customHeight="1">
      <c r="A259" s="144"/>
      <c r="B259" s="148"/>
      <c r="C259" s="149"/>
      <c r="D259" s="149"/>
      <c r="E259" s="149"/>
      <c r="F259" s="149"/>
      <c r="G259" s="149" t="s">
        <v>185</v>
      </c>
      <c r="H259" s="149" t="s">
        <v>186</v>
      </c>
      <c r="I259" s="149" t="s">
        <v>187</v>
      </c>
      <c r="J259" s="149" t="s">
        <v>188</v>
      </c>
      <c r="K259" s="149" t="s">
        <v>189</v>
      </c>
      <c r="L259" s="149" t="s">
        <v>189</v>
      </c>
      <c r="M259" s="149" t="s">
        <v>189</v>
      </c>
    </row>
    <row r="260" spans="1:13" ht="15.75" customHeight="1">
      <c r="A260" s="144"/>
      <c r="B260" s="150" t="s">
        <v>214</v>
      </c>
      <c r="C260" s="168" t="s">
        <v>215</v>
      </c>
      <c r="D260" s="151"/>
      <c r="E260" s="151"/>
      <c r="F260" s="158"/>
      <c r="G260" s="151"/>
      <c r="H260" s="158"/>
      <c r="I260" s="151"/>
      <c r="J260" s="158"/>
      <c r="K260" s="158"/>
      <c r="L260" s="167"/>
      <c r="M260" s="167"/>
    </row>
    <row r="261" spans="1:13" ht="15.75" customHeight="1">
      <c r="A261" s="144"/>
      <c r="B261" s="150"/>
      <c r="C261" s="151" t="s">
        <v>216</v>
      </c>
      <c r="D261" s="169" t="s">
        <v>200</v>
      </c>
      <c r="E261" s="151" t="s">
        <v>428</v>
      </c>
      <c r="F261" s="152">
        <v>4923</v>
      </c>
      <c r="G261" s="151" t="s">
        <v>245</v>
      </c>
      <c r="H261" s="158">
        <v>136253</v>
      </c>
      <c r="I261" s="151" t="s">
        <v>246</v>
      </c>
      <c r="J261" s="158">
        <v>670.77351899999996</v>
      </c>
      <c r="K261" s="158">
        <v>72.896023689767617</v>
      </c>
      <c r="L261" s="167">
        <v>2.2175772538139994E-3</v>
      </c>
      <c r="M261" s="178">
        <v>4.4351545076279987E-4</v>
      </c>
    </row>
    <row r="262" spans="1:13" ht="15.75" customHeight="1">
      <c r="A262" s="144"/>
      <c r="B262" s="150"/>
      <c r="C262" s="151"/>
      <c r="D262" s="151"/>
      <c r="E262" s="151"/>
      <c r="F262" s="158"/>
      <c r="G262" s="151"/>
      <c r="H262" s="158"/>
      <c r="I262" s="151"/>
      <c r="J262" s="173"/>
      <c r="K262" s="179"/>
      <c r="L262" s="180"/>
      <c r="M262" s="178"/>
    </row>
    <row r="263" spans="1:13" ht="15.75" customHeight="1">
      <c r="A263" s="144"/>
      <c r="B263" s="150"/>
      <c r="C263" s="151" t="s">
        <v>218</v>
      </c>
      <c r="D263" s="169" t="s">
        <v>204</v>
      </c>
      <c r="E263" s="151" t="s">
        <v>428</v>
      </c>
      <c r="F263" s="152">
        <v>9873</v>
      </c>
      <c r="G263" s="151" t="s">
        <v>245</v>
      </c>
      <c r="H263" s="158">
        <v>140366</v>
      </c>
      <c r="I263" s="151" t="s">
        <v>246</v>
      </c>
      <c r="J263" s="158">
        <v>1385.8335179999999</v>
      </c>
      <c r="K263" s="158">
        <v>158.57728038937941</v>
      </c>
      <c r="L263" s="167">
        <v>4.5815656105079993E-3</v>
      </c>
      <c r="M263" s="178">
        <v>9.1631312210159975E-4</v>
      </c>
    </row>
    <row r="264" spans="1:13" ht="15.75" customHeight="1">
      <c r="A264" s="144"/>
      <c r="B264" s="150"/>
      <c r="C264" s="151"/>
      <c r="D264" s="151"/>
      <c r="E264" s="151"/>
      <c r="F264" s="152"/>
      <c r="G264" s="151"/>
      <c r="H264" s="158"/>
      <c r="I264" s="151"/>
      <c r="J264" s="151"/>
      <c r="K264" s="151"/>
      <c r="L264" s="151"/>
      <c r="M264" s="151"/>
    </row>
    <row r="265" spans="1:13" ht="15.75" customHeight="1">
      <c r="A265" s="144"/>
      <c r="B265" s="153"/>
      <c r="C265" s="155"/>
      <c r="D265" s="155"/>
      <c r="E265" s="155"/>
      <c r="F265" s="182"/>
      <c r="G265" s="155"/>
      <c r="H265" s="156"/>
      <c r="I265" s="155"/>
      <c r="J265" s="155"/>
      <c r="K265" s="155"/>
      <c r="L265" s="155"/>
      <c r="M265" s="155"/>
    </row>
    <row r="266" spans="1:13" ht="15.75" customHeight="1">
      <c r="A266" s="144"/>
      <c r="B266" s="150" t="s">
        <v>223</v>
      </c>
      <c r="C266" s="168" t="s">
        <v>224</v>
      </c>
      <c r="D266" s="151"/>
      <c r="E266" s="151"/>
      <c r="F266" s="158"/>
      <c r="G266" s="151"/>
      <c r="H266" s="158"/>
      <c r="I266" s="151"/>
      <c r="J266" s="158"/>
      <c r="K266" s="158"/>
      <c r="L266" s="167"/>
      <c r="M266" s="151"/>
    </row>
    <row r="267" spans="1:13" ht="15.75" customHeight="1">
      <c r="A267" s="144"/>
      <c r="B267" s="150"/>
      <c r="C267" s="151" t="s">
        <v>429</v>
      </c>
      <c r="D267" s="151" t="s">
        <v>200</v>
      </c>
      <c r="E267" s="151" t="s">
        <v>430</v>
      </c>
      <c r="F267" s="152">
        <v>49558</v>
      </c>
      <c r="G267" s="151" t="s">
        <v>245</v>
      </c>
      <c r="H267" s="204">
        <v>0.152</v>
      </c>
      <c r="I267" s="151" t="s">
        <v>283</v>
      </c>
      <c r="J267" s="174">
        <v>7532.8159999999998</v>
      </c>
      <c r="K267" s="170">
        <v>0.4310880890544232</v>
      </c>
      <c r="L267" s="204">
        <v>2.4E-2</v>
      </c>
      <c r="M267" s="184">
        <v>4.0000000000000001E-3</v>
      </c>
    </row>
    <row r="268" spans="1:13" ht="15.75" customHeight="1">
      <c r="A268" s="144"/>
      <c r="B268" s="150"/>
      <c r="C268" s="151"/>
      <c r="D268" s="151"/>
      <c r="E268" s="151"/>
      <c r="F268" s="158"/>
      <c r="G268" s="151"/>
      <c r="H268" s="158"/>
      <c r="I268" s="151"/>
      <c r="J268" s="173"/>
      <c r="K268" s="179"/>
      <c r="L268" s="183"/>
      <c r="M268" s="151"/>
    </row>
    <row r="269" spans="1:13" ht="15.75" customHeight="1">
      <c r="A269" s="144"/>
      <c r="B269" s="150"/>
      <c r="C269" s="151" t="s">
        <v>414</v>
      </c>
      <c r="D269" s="151" t="s">
        <v>431</v>
      </c>
      <c r="E269" s="151" t="s">
        <v>430</v>
      </c>
      <c r="F269" s="152">
        <v>1102317</v>
      </c>
      <c r="G269" s="151" t="s">
        <v>245</v>
      </c>
      <c r="H269" s="204">
        <v>0.152</v>
      </c>
      <c r="I269" s="151" t="s">
        <v>432</v>
      </c>
      <c r="J269" s="152">
        <v>167552.18400000001</v>
      </c>
      <c r="K269" s="158">
        <v>71.531541184385247</v>
      </c>
      <c r="L269" s="174">
        <v>0.55000000000000004</v>
      </c>
      <c r="M269" s="184">
        <v>0.11</v>
      </c>
    </row>
    <row r="270" spans="1:13" ht="15.75" customHeight="1">
      <c r="A270" s="144"/>
      <c r="B270" s="150"/>
      <c r="C270" s="151"/>
      <c r="D270" s="151"/>
      <c r="E270" s="151"/>
      <c r="F270" s="152"/>
      <c r="G270" s="151"/>
      <c r="H270" s="158"/>
      <c r="I270" s="215"/>
      <c r="J270" s="173"/>
      <c r="K270" s="151"/>
      <c r="L270" s="151"/>
      <c r="M270" s="151"/>
    </row>
    <row r="271" spans="1:13" ht="15.75" customHeight="1">
      <c r="A271" s="144"/>
      <c r="B271" s="153"/>
      <c r="C271" s="155"/>
      <c r="D271" s="155"/>
      <c r="E271" s="155"/>
      <c r="F271" s="182"/>
      <c r="G271" s="155"/>
      <c r="H271" s="156"/>
      <c r="I271" s="216"/>
      <c r="J271" s="207"/>
      <c r="K271" s="155"/>
      <c r="L271" s="155"/>
      <c r="M271" s="155"/>
    </row>
    <row r="272" spans="1:13" ht="15.75" customHeight="1">
      <c r="A272" s="144"/>
      <c r="B272" s="150" t="s">
        <v>312</v>
      </c>
      <c r="C272" s="168" t="s">
        <v>313</v>
      </c>
      <c r="D272" s="151"/>
      <c r="E272" s="151"/>
      <c r="F272" s="151"/>
      <c r="G272" s="151"/>
      <c r="H272" s="151"/>
      <c r="I272" s="151"/>
      <c r="J272" s="151"/>
      <c r="K272" s="151"/>
      <c r="L272" s="151"/>
      <c r="M272" s="151"/>
    </row>
    <row r="273" spans="1:13" ht="15.75" customHeight="1">
      <c r="A273" s="144"/>
      <c r="B273" s="150"/>
      <c r="C273" s="151" t="s">
        <v>314</v>
      </c>
      <c r="D273" s="151" t="s">
        <v>315</v>
      </c>
      <c r="E273" s="151" t="s">
        <v>433</v>
      </c>
      <c r="F273" s="187">
        <v>249656</v>
      </c>
      <c r="G273" s="151" t="s">
        <v>245</v>
      </c>
      <c r="H273" s="187">
        <v>152802</v>
      </c>
      <c r="I273" s="151" t="s">
        <v>316</v>
      </c>
      <c r="J273" s="186">
        <v>38147.936112000003</v>
      </c>
      <c r="K273" s="186">
        <v>2790.5670959514705</v>
      </c>
      <c r="L273" s="184">
        <v>0.11</v>
      </c>
      <c r="M273" s="184">
        <v>0</v>
      </c>
    </row>
    <row r="274" spans="1:13" ht="15.75" customHeight="1">
      <c r="A274" s="144"/>
      <c r="B274" s="150"/>
      <c r="C274" s="151"/>
      <c r="D274" s="151"/>
      <c r="E274" s="151"/>
      <c r="F274" s="185"/>
      <c r="G274" s="151"/>
      <c r="H274" s="186"/>
      <c r="I274" s="151"/>
      <c r="J274" s="186"/>
      <c r="K274" s="151"/>
      <c r="L274" s="151"/>
      <c r="M274" s="151"/>
    </row>
    <row r="275" spans="1:13" ht="15.75" customHeight="1">
      <c r="A275" s="144"/>
      <c r="B275" s="153"/>
      <c r="C275" s="155"/>
      <c r="D275" s="155"/>
      <c r="E275" s="155"/>
      <c r="F275" s="155"/>
      <c r="G275" s="155"/>
      <c r="H275" s="155"/>
      <c r="I275" s="155"/>
      <c r="J275" s="155"/>
      <c r="K275" s="155"/>
      <c r="L275" s="155"/>
      <c r="M275" s="155"/>
    </row>
    <row r="276" spans="1:13" ht="15.75" customHeight="1">
      <c r="A276" s="144"/>
      <c r="B276" s="150" t="s">
        <v>228</v>
      </c>
      <c r="C276" s="177" t="s">
        <v>229</v>
      </c>
      <c r="D276" s="151"/>
      <c r="E276" s="151"/>
      <c r="F276" s="151"/>
      <c r="G276" s="151"/>
      <c r="H276" s="151"/>
      <c r="I276" s="151"/>
      <c r="J276" s="151"/>
      <c r="K276" s="151"/>
      <c r="L276" s="151"/>
      <c r="M276" s="151"/>
    </row>
    <row r="277" spans="1:13" ht="15.75" customHeight="1">
      <c r="A277" s="144"/>
      <c r="B277" s="150"/>
      <c r="C277" s="151" t="s">
        <v>232</v>
      </c>
      <c r="D277" s="151" t="s">
        <v>233</v>
      </c>
      <c r="E277" s="151" t="s">
        <v>428</v>
      </c>
      <c r="F277" s="187">
        <v>9935</v>
      </c>
      <c r="G277" s="151" t="s">
        <v>245</v>
      </c>
      <c r="H277" s="186">
        <v>139181</v>
      </c>
      <c r="I277" s="151" t="s">
        <v>316</v>
      </c>
      <c r="J277" s="152">
        <v>1382.7632349999999</v>
      </c>
      <c r="K277" s="217">
        <v>131.24336860582227</v>
      </c>
      <c r="L277" s="188">
        <v>4.5727068644345519E-3</v>
      </c>
      <c r="M277" s="188">
        <v>9.1454137288691031E-4</v>
      </c>
    </row>
    <row r="278" spans="1:13" ht="15.75" customHeight="1">
      <c r="A278" s="144"/>
      <c r="B278" s="150"/>
      <c r="C278" s="151"/>
      <c r="D278" s="151"/>
      <c r="E278" s="151"/>
      <c r="F278" s="151"/>
      <c r="G278" s="151"/>
      <c r="H278" s="151"/>
      <c r="I278" s="151"/>
      <c r="J278" s="151"/>
      <c r="K278" s="151"/>
      <c r="L278" s="151"/>
      <c r="M278" s="151"/>
    </row>
    <row r="279" spans="1:13" ht="15.75" customHeight="1">
      <c r="A279" s="144"/>
      <c r="B279" s="153"/>
      <c r="C279" s="155"/>
      <c r="D279" s="155"/>
      <c r="E279" s="155"/>
      <c r="F279" s="155"/>
      <c r="G279" s="155"/>
      <c r="H279" s="155"/>
      <c r="I279" s="155"/>
      <c r="J279" s="155"/>
      <c r="K279" s="155"/>
      <c r="L279" s="155"/>
      <c r="M279" s="155"/>
    </row>
    <row r="280" spans="1:13" ht="15.75" customHeight="1">
      <c r="A280" s="144"/>
      <c r="B280" s="150" t="s">
        <v>236</v>
      </c>
      <c r="C280" s="177" t="s">
        <v>237</v>
      </c>
      <c r="D280" s="151"/>
      <c r="E280" s="151"/>
      <c r="F280" s="151"/>
      <c r="G280" s="151"/>
      <c r="H280" s="151"/>
      <c r="I280" s="151"/>
      <c r="J280" s="151"/>
      <c r="K280" s="151"/>
      <c r="L280" s="151"/>
      <c r="M280" s="151"/>
    </row>
    <row r="281" spans="1:13" ht="15.75" customHeight="1">
      <c r="A281" s="144"/>
      <c r="B281" s="150"/>
      <c r="C281" s="151" t="s">
        <v>238</v>
      </c>
      <c r="D281" s="151" t="s">
        <v>200</v>
      </c>
      <c r="E281" s="151" t="s">
        <v>428</v>
      </c>
      <c r="F281" s="187">
        <v>7699</v>
      </c>
      <c r="G281" s="151" t="s">
        <v>245</v>
      </c>
      <c r="H281" s="186">
        <v>137690</v>
      </c>
      <c r="I281" s="151" t="s">
        <v>316</v>
      </c>
      <c r="J281" s="152">
        <v>1060.0753099999999</v>
      </c>
      <c r="K281" s="158">
        <v>100.59156780056819</v>
      </c>
      <c r="L281" s="188">
        <v>1.1802244874361517E-2</v>
      </c>
      <c r="M281" s="188">
        <v>1.7187735253924538E-3</v>
      </c>
    </row>
    <row r="282" spans="1:13" ht="15.75" customHeight="1">
      <c r="A282" s="144"/>
      <c r="B282" s="150"/>
      <c r="C282" s="151"/>
      <c r="D282" s="151"/>
      <c r="E282" s="151"/>
      <c r="F282" s="151"/>
      <c r="G282" s="151"/>
      <c r="H282" s="151"/>
      <c r="I282" s="151"/>
      <c r="J282" s="158"/>
      <c r="K282" s="186"/>
      <c r="L282" s="151"/>
      <c r="M282" s="151"/>
    </row>
    <row r="283" spans="1:13" ht="15.75" customHeight="1">
      <c r="A283" s="144"/>
      <c r="B283" s="150"/>
      <c r="C283" s="151" t="s">
        <v>239</v>
      </c>
      <c r="D283" s="151" t="s">
        <v>204</v>
      </c>
      <c r="E283" s="151" t="s">
        <v>428</v>
      </c>
      <c r="F283" s="187">
        <v>12750</v>
      </c>
      <c r="G283" s="151" t="s">
        <v>245</v>
      </c>
      <c r="H283" s="186">
        <v>137690</v>
      </c>
      <c r="I283" s="151" t="s">
        <v>316</v>
      </c>
      <c r="J283" s="152">
        <v>1755.5474999999999</v>
      </c>
      <c r="K283" s="158">
        <v>85.408819032700322</v>
      </c>
      <c r="L283" s="188">
        <v>1.0017460693981805E-2</v>
      </c>
      <c r="M283" s="188">
        <v>1.4588815464473444E-3</v>
      </c>
    </row>
    <row r="284" spans="1:13" ht="15.75" customHeight="1">
      <c r="A284" s="144"/>
      <c r="B284" s="150"/>
      <c r="C284" s="151"/>
      <c r="D284" s="151"/>
      <c r="E284" s="151"/>
      <c r="F284" s="151"/>
      <c r="G284" s="151"/>
      <c r="H284" s="151"/>
      <c r="I284" s="151"/>
      <c r="J284" s="158"/>
      <c r="K284" s="151"/>
      <c r="L284" s="151"/>
      <c r="M284" s="151"/>
    </row>
    <row r="285" spans="1:13" ht="15.75" customHeight="1">
      <c r="A285" s="144"/>
      <c r="B285" s="153"/>
      <c r="C285" s="155"/>
      <c r="D285" s="155"/>
      <c r="E285" s="155"/>
      <c r="F285" s="155"/>
      <c r="G285" s="155"/>
      <c r="H285" s="155"/>
      <c r="I285" s="155"/>
      <c r="J285" s="155"/>
      <c r="K285" s="155"/>
      <c r="L285" s="155"/>
      <c r="M285" s="155"/>
    </row>
    <row r="286" spans="1:13" ht="15.75" customHeight="1">
      <c r="A286" s="144"/>
      <c r="B286" s="150" t="s">
        <v>434</v>
      </c>
      <c r="C286" s="177" t="s">
        <v>435</v>
      </c>
      <c r="D286" s="151"/>
      <c r="E286" s="151"/>
      <c r="F286" s="151"/>
      <c r="G286" s="151"/>
      <c r="H286" s="151"/>
      <c r="I286" s="151"/>
      <c r="J286" s="151"/>
      <c r="K286" s="151"/>
      <c r="L286" s="151"/>
      <c r="M286" s="151"/>
    </row>
    <row r="287" spans="1:13" ht="15.75" customHeight="1">
      <c r="A287" s="144"/>
      <c r="B287" s="150"/>
      <c r="C287" s="151" t="s">
        <v>436</v>
      </c>
      <c r="D287" s="151" t="s">
        <v>437</v>
      </c>
      <c r="E287" s="151" t="s">
        <v>433</v>
      </c>
      <c r="F287" s="167">
        <v>1687.2</v>
      </c>
      <c r="G287" s="151" t="s">
        <v>245</v>
      </c>
      <c r="H287" s="158">
        <v>152802</v>
      </c>
      <c r="I287" s="151" t="s">
        <v>345</v>
      </c>
      <c r="J287" s="167">
        <v>257.80753440000001</v>
      </c>
      <c r="K287" s="172">
        <v>20</v>
      </c>
      <c r="L287" s="172">
        <v>1.1999999999999999E-3</v>
      </c>
      <c r="M287" s="172">
        <v>0</v>
      </c>
    </row>
    <row r="288" spans="1:13" ht="15.75" customHeight="1">
      <c r="A288" s="144"/>
      <c r="B288" s="150"/>
      <c r="C288" s="151" t="s">
        <v>438</v>
      </c>
      <c r="D288" s="151" t="s">
        <v>439</v>
      </c>
      <c r="E288" s="151" t="s">
        <v>433</v>
      </c>
      <c r="F288" s="167">
        <v>1732.8</v>
      </c>
      <c r="G288" s="151" t="s">
        <v>245</v>
      </c>
      <c r="H288" s="158">
        <v>152802</v>
      </c>
      <c r="I288" s="151" t="s">
        <v>345</v>
      </c>
      <c r="J288" s="167">
        <v>264.77530559999997</v>
      </c>
      <c r="K288" s="172">
        <v>20</v>
      </c>
      <c r="L288" s="172">
        <v>1.1999999999999999E-3</v>
      </c>
      <c r="M288" s="172">
        <v>0</v>
      </c>
    </row>
    <row r="289" spans="1:13" ht="15.75" customHeight="1">
      <c r="A289" s="144"/>
      <c r="B289" s="150"/>
      <c r="C289" s="151" t="s">
        <v>440</v>
      </c>
      <c r="D289" s="151" t="s">
        <v>441</v>
      </c>
      <c r="E289" s="151" t="s">
        <v>433</v>
      </c>
      <c r="F289" s="167">
        <v>1732.8</v>
      </c>
      <c r="G289" s="151" t="s">
        <v>245</v>
      </c>
      <c r="H289" s="158">
        <v>152802</v>
      </c>
      <c r="I289" s="151" t="s">
        <v>345</v>
      </c>
      <c r="J289" s="167">
        <v>264.77530559999997</v>
      </c>
      <c r="K289" s="172">
        <v>21</v>
      </c>
      <c r="L289" s="172">
        <v>1.1999999999999999E-3</v>
      </c>
      <c r="M289" s="172">
        <v>0</v>
      </c>
    </row>
    <row r="290" spans="1:13" ht="15.75" customHeight="1">
      <c r="A290" s="144"/>
      <c r="B290" s="150"/>
      <c r="C290" s="151" t="s">
        <v>442</v>
      </c>
      <c r="D290" s="151" t="s">
        <v>443</v>
      </c>
      <c r="E290" s="151" t="s">
        <v>433</v>
      </c>
      <c r="F290" s="167">
        <v>1732.8</v>
      </c>
      <c r="G290" s="151" t="s">
        <v>245</v>
      </c>
      <c r="H290" s="158">
        <v>152802</v>
      </c>
      <c r="I290" s="151" t="s">
        <v>345</v>
      </c>
      <c r="J290" s="167">
        <v>264.77530559999997</v>
      </c>
      <c r="K290" s="172">
        <v>21</v>
      </c>
      <c r="L290" s="172">
        <v>1.1999999999999999E-3</v>
      </c>
      <c r="M290" s="172">
        <v>0</v>
      </c>
    </row>
    <row r="291" spans="1:13" ht="15.75" customHeight="1">
      <c r="A291" s="144"/>
      <c r="B291" s="150"/>
      <c r="C291" s="151" t="s">
        <v>444</v>
      </c>
      <c r="D291" s="151" t="s">
        <v>445</v>
      </c>
      <c r="E291" s="151" t="s">
        <v>433</v>
      </c>
      <c r="F291" s="167">
        <v>1778.4</v>
      </c>
      <c r="G291" s="151" t="s">
        <v>245</v>
      </c>
      <c r="H291" s="158">
        <v>152802</v>
      </c>
      <c r="I291" s="151" t="s">
        <v>345</v>
      </c>
      <c r="J291" s="167">
        <v>271.74307680000004</v>
      </c>
      <c r="K291" s="172">
        <v>21</v>
      </c>
      <c r="L291" s="172">
        <v>1.1999999999999999E-3</v>
      </c>
      <c r="M291" s="172">
        <v>0</v>
      </c>
    </row>
    <row r="292" spans="1:13" ht="15.75" customHeight="1">
      <c r="A292" s="144"/>
      <c r="B292" s="161"/>
      <c r="C292" s="162"/>
      <c r="D292" s="162"/>
      <c r="E292" s="162"/>
      <c r="F292" s="162"/>
      <c r="G292" s="162"/>
      <c r="H292" s="162"/>
      <c r="I292" s="162"/>
      <c r="J292" s="162"/>
      <c r="K292" s="162"/>
      <c r="L292" s="162"/>
      <c r="M292" s="162"/>
    </row>
    <row r="293" spans="1:13" ht="15.75" customHeight="1">
      <c r="A293" s="144"/>
      <c r="B293" s="150"/>
      <c r="C293" s="151"/>
      <c r="D293" s="151"/>
      <c r="E293" s="151"/>
      <c r="F293" s="151"/>
      <c r="G293" s="151"/>
      <c r="H293" s="151"/>
      <c r="I293" s="151"/>
      <c r="J293" s="151"/>
      <c r="K293" s="151"/>
      <c r="L293" s="151"/>
      <c r="M293" s="151"/>
    </row>
    <row r="294" spans="1:13" ht="15.75" customHeight="1">
      <c r="A294" s="144"/>
      <c r="B294" s="150" t="s">
        <v>446</v>
      </c>
      <c r="C294" s="177" t="s">
        <v>447</v>
      </c>
      <c r="D294" s="151"/>
      <c r="E294" s="151"/>
      <c r="F294" s="151"/>
      <c r="G294" s="151"/>
      <c r="H294" s="151"/>
      <c r="I294" s="151"/>
      <c r="J294" s="151"/>
      <c r="K294" s="151"/>
      <c r="L294" s="151"/>
      <c r="M294" s="151"/>
    </row>
    <row r="295" spans="1:13" ht="15.75" customHeight="1">
      <c r="A295" s="144"/>
      <c r="B295" s="150"/>
      <c r="C295" s="151" t="s">
        <v>448</v>
      </c>
      <c r="D295" s="151" t="s">
        <v>449</v>
      </c>
      <c r="E295" s="151" t="s">
        <v>433</v>
      </c>
      <c r="F295" s="152">
        <v>108</v>
      </c>
      <c r="G295" s="151" t="s">
        <v>245</v>
      </c>
      <c r="H295" s="158">
        <v>137030</v>
      </c>
      <c r="I295" s="151" t="s">
        <v>345</v>
      </c>
      <c r="J295" s="225">
        <v>14.827</v>
      </c>
      <c r="K295" s="152">
        <v>1</v>
      </c>
      <c r="L295" s="223">
        <v>4.8999999999999998E-5</v>
      </c>
      <c r="M295" s="184">
        <v>9.810000000000001E-4</v>
      </c>
    </row>
    <row r="296" spans="1:13" ht="15.75" customHeight="1">
      <c r="A296" s="144"/>
      <c r="B296" s="150"/>
      <c r="C296" s="151"/>
      <c r="D296" s="151"/>
      <c r="E296" s="151"/>
      <c r="F296" s="151"/>
      <c r="G296" s="151"/>
      <c r="H296" s="151"/>
      <c r="I296" s="151"/>
      <c r="J296" s="151"/>
      <c r="K296" s="151"/>
      <c r="L296" s="151"/>
      <c r="M296" s="151"/>
    </row>
    <row r="297" spans="1:13" ht="15.75" customHeight="1">
      <c r="A297" s="144"/>
      <c r="B297" s="189"/>
      <c r="C297" s="190"/>
      <c r="D297" s="190"/>
      <c r="E297" s="190"/>
      <c r="F297" s="190"/>
      <c r="G297" s="190"/>
      <c r="H297" s="190"/>
      <c r="I297" s="190"/>
      <c r="J297" s="190"/>
      <c r="K297" s="190"/>
      <c r="L297" s="190"/>
      <c r="M297" s="190"/>
    </row>
    <row r="298" spans="1:13" ht="15.75" customHeight="1">
      <c r="A298" s="144"/>
      <c r="B298" s="144"/>
      <c r="C298" s="144"/>
      <c r="D298" s="144"/>
      <c r="E298" s="144"/>
      <c r="F298" s="144"/>
      <c r="G298" s="144"/>
      <c r="H298" s="144"/>
      <c r="I298" s="144"/>
      <c r="J298" s="144"/>
      <c r="K298" s="144"/>
      <c r="L298" s="144"/>
      <c r="M298" s="144"/>
    </row>
    <row r="299" spans="1:13" ht="15.75" customHeight="1">
      <c r="A299" s="144"/>
      <c r="B299" s="144"/>
      <c r="C299" s="144"/>
      <c r="D299" s="144"/>
      <c r="E299" s="144"/>
      <c r="F299" s="144"/>
      <c r="G299" s="144"/>
      <c r="H299" s="144"/>
      <c r="I299" s="144"/>
      <c r="J299" s="144"/>
      <c r="K299" s="144"/>
      <c r="L299" s="144"/>
      <c r="M299" s="144"/>
    </row>
    <row r="300" spans="1:13" ht="15.75" customHeight="1">
      <c r="A300" s="144"/>
      <c r="B300" s="144"/>
      <c r="C300" s="144"/>
      <c r="D300" s="144"/>
      <c r="E300" s="144"/>
      <c r="F300" s="226">
        <f>SUM(F261:F299)</f>
        <v>1455483</v>
      </c>
      <c r="G300" s="144"/>
      <c r="H300" s="144"/>
      <c r="I300" s="144"/>
      <c r="J300" s="191">
        <f t="shared" ref="J300:M300" si="2">SUM(J261:J299)</f>
        <v>220826.63272199992</v>
      </c>
      <c r="K300" s="191">
        <f t="shared" si="2"/>
        <v>3515.2467847431476</v>
      </c>
      <c r="L300" s="224">
        <f t="shared" si="2"/>
        <v>0.72324055529709974</v>
      </c>
      <c r="M300" s="224">
        <f t="shared" si="2"/>
        <v>0.12043302501759111</v>
      </c>
    </row>
    <row r="301" spans="1:13" ht="15.75" customHeight="1">
      <c r="A301" s="144"/>
      <c r="B301" s="144"/>
      <c r="C301" s="144"/>
      <c r="D301" s="144"/>
      <c r="E301" s="144"/>
      <c r="F301" s="144"/>
      <c r="G301" s="144"/>
      <c r="H301" s="144"/>
      <c r="I301" s="144"/>
      <c r="J301" s="144"/>
      <c r="K301" s="144"/>
      <c r="L301" s="144"/>
      <c r="M301" s="144"/>
    </row>
    <row r="302" spans="1:13" ht="15.75" customHeight="1">
      <c r="A302" s="144"/>
      <c r="B302" s="193" t="s">
        <v>450</v>
      </c>
      <c r="C302" s="194"/>
      <c r="D302" s="195"/>
      <c r="E302" s="144"/>
      <c r="F302" s="144"/>
      <c r="G302" s="144"/>
      <c r="H302" s="144"/>
      <c r="I302" s="144"/>
      <c r="J302" s="144"/>
      <c r="K302" s="144"/>
      <c r="L302" s="144"/>
      <c r="M302" s="144"/>
    </row>
    <row r="303" spans="1:13" ht="15.75" customHeight="1">
      <c r="A303" s="144"/>
      <c r="B303" s="144"/>
      <c r="C303" s="144"/>
      <c r="D303" s="144"/>
      <c r="E303" s="144"/>
      <c r="F303" s="144"/>
      <c r="G303" s="144"/>
      <c r="H303" s="144"/>
      <c r="I303" s="144"/>
      <c r="J303" s="144"/>
      <c r="K303" s="144"/>
      <c r="L303" s="144"/>
      <c r="M303" s="144"/>
    </row>
    <row r="304" spans="1:13" ht="15.75" customHeight="1">
      <c r="A304" s="144"/>
      <c r="B304" s="145" t="s">
        <v>174</v>
      </c>
      <c r="C304" s="146" t="s">
        <v>175</v>
      </c>
      <c r="D304" s="146" t="s">
        <v>176</v>
      </c>
      <c r="E304" s="146" t="s">
        <v>177</v>
      </c>
      <c r="F304" s="146" t="s">
        <v>178</v>
      </c>
      <c r="G304" s="146" t="s">
        <v>178</v>
      </c>
      <c r="H304" s="146" t="s">
        <v>179</v>
      </c>
      <c r="I304" s="146" t="s">
        <v>180</v>
      </c>
      <c r="J304" s="147" t="s">
        <v>181</v>
      </c>
      <c r="K304" s="146" t="s">
        <v>451</v>
      </c>
      <c r="L304" s="146" t="s">
        <v>452</v>
      </c>
      <c r="M304" s="146" t="s">
        <v>453</v>
      </c>
    </row>
    <row r="305" spans="1:13" ht="15.75" customHeight="1">
      <c r="A305" s="144"/>
      <c r="B305" s="148"/>
      <c r="C305" s="149"/>
      <c r="D305" s="149"/>
      <c r="E305" s="149"/>
      <c r="F305" s="149"/>
      <c r="G305" s="149" t="s">
        <v>185</v>
      </c>
      <c r="H305" s="149" t="s">
        <v>186</v>
      </c>
      <c r="I305" s="149" t="s">
        <v>187</v>
      </c>
      <c r="J305" s="149" t="s">
        <v>188</v>
      </c>
      <c r="K305" s="149" t="s">
        <v>189</v>
      </c>
      <c r="L305" s="149" t="s">
        <v>189</v>
      </c>
      <c r="M305" s="149" t="s">
        <v>189</v>
      </c>
    </row>
    <row r="306" spans="1:13" ht="15.75" customHeight="1">
      <c r="A306" s="144"/>
      <c r="B306" s="150"/>
      <c r="C306" s="151"/>
      <c r="D306" s="151"/>
      <c r="E306" s="151"/>
      <c r="F306" s="151"/>
      <c r="G306" s="151"/>
      <c r="H306" s="151"/>
      <c r="I306" s="151"/>
      <c r="J306" s="151"/>
      <c r="K306" s="152"/>
      <c r="L306" s="151"/>
      <c r="M306" s="151"/>
    </row>
    <row r="307" spans="1:13" ht="15.75" customHeight="1">
      <c r="A307" s="144"/>
      <c r="B307" s="153" t="s">
        <v>190</v>
      </c>
      <c r="C307" s="154" t="s">
        <v>191</v>
      </c>
      <c r="D307" s="155"/>
      <c r="E307" s="155"/>
      <c r="F307" s="156"/>
      <c r="G307" s="155"/>
      <c r="H307" s="155"/>
      <c r="I307" s="155"/>
      <c r="J307" s="157"/>
      <c r="K307" s="155"/>
      <c r="L307" s="155"/>
      <c r="M307" s="155"/>
    </row>
    <row r="308" spans="1:13" ht="15.75" customHeight="1">
      <c r="A308" s="144"/>
      <c r="B308" s="150"/>
      <c r="C308" s="151" t="s">
        <v>454</v>
      </c>
      <c r="D308" s="151" t="s">
        <v>455</v>
      </c>
      <c r="E308" s="151" t="s">
        <v>456</v>
      </c>
      <c r="F308" s="152">
        <v>3414700</v>
      </c>
      <c r="G308" s="151" t="s">
        <v>457</v>
      </c>
      <c r="H308" s="158">
        <v>1020</v>
      </c>
      <c r="I308" s="151" t="s">
        <v>458</v>
      </c>
      <c r="J308" s="227">
        <v>3482.9940000000001</v>
      </c>
      <c r="K308" s="151">
        <v>205.16</v>
      </c>
      <c r="L308" s="188">
        <v>0</v>
      </c>
      <c r="M308" s="188">
        <v>0</v>
      </c>
    </row>
    <row r="309" spans="1:13" ht="15.75" customHeight="1">
      <c r="A309" s="144"/>
      <c r="B309" s="150"/>
      <c r="C309" s="151"/>
      <c r="D309" s="169"/>
      <c r="E309" s="151"/>
      <c r="F309" s="158"/>
      <c r="G309" s="151"/>
      <c r="H309" s="158"/>
      <c r="I309" s="151"/>
      <c r="J309" s="151"/>
      <c r="K309" s="158"/>
      <c r="L309" s="167"/>
      <c r="M309" s="151"/>
    </row>
    <row r="310" spans="1:13" ht="15.75" customHeight="1">
      <c r="A310" s="144"/>
      <c r="B310" s="153"/>
      <c r="C310" s="155"/>
      <c r="D310" s="175"/>
      <c r="E310" s="155"/>
      <c r="F310" s="156"/>
      <c r="G310" s="155"/>
      <c r="H310" s="156"/>
      <c r="I310" s="155"/>
      <c r="J310" s="155"/>
      <c r="K310" s="156"/>
      <c r="L310" s="176"/>
      <c r="M310" s="155"/>
    </row>
    <row r="311" spans="1:13" ht="15.75" customHeight="1">
      <c r="A311" s="144"/>
      <c r="B311" s="150" t="s">
        <v>205</v>
      </c>
      <c r="C311" s="177" t="s">
        <v>206</v>
      </c>
      <c r="D311" s="169"/>
      <c r="E311" s="151"/>
      <c r="F311" s="158"/>
      <c r="G311" s="151"/>
      <c r="H311" s="158"/>
      <c r="I311" s="151"/>
      <c r="J311" s="151"/>
      <c r="K311" s="158"/>
      <c r="L311" s="167"/>
      <c r="M311" s="151"/>
    </row>
    <row r="312" spans="1:13" ht="15.75" customHeight="1">
      <c r="A312" s="144"/>
      <c r="B312" s="150"/>
      <c r="C312" s="151" t="s">
        <v>207</v>
      </c>
      <c r="D312" s="169" t="s">
        <v>208</v>
      </c>
      <c r="E312" s="151" t="s">
        <v>459</v>
      </c>
      <c r="F312" s="152">
        <v>20272000</v>
      </c>
      <c r="G312" s="151" t="s">
        <v>457</v>
      </c>
      <c r="H312" s="158">
        <v>1063</v>
      </c>
      <c r="I312" s="151" t="s">
        <v>460</v>
      </c>
      <c r="J312" s="152">
        <v>21549.135999999999</v>
      </c>
      <c r="K312" s="158">
        <v>2268.3908720086761</v>
      </c>
      <c r="L312" s="167">
        <v>2.5999999999999999E-2</v>
      </c>
      <c r="M312" s="151">
        <v>3.0000000000000001E-3</v>
      </c>
    </row>
    <row r="313" spans="1:13" ht="15.75" customHeight="1">
      <c r="A313" s="144"/>
      <c r="B313" s="150"/>
      <c r="C313" s="151"/>
      <c r="D313" s="169"/>
      <c r="E313" s="151"/>
      <c r="F313" s="158"/>
      <c r="G313" s="151"/>
      <c r="H313" s="158"/>
      <c r="I313" s="151"/>
      <c r="J313" s="173"/>
      <c r="K313" s="151"/>
      <c r="L313" s="151"/>
      <c r="M313" s="151"/>
    </row>
    <row r="314" spans="1:13" ht="15.75" customHeight="1">
      <c r="A314" s="144"/>
      <c r="B314" s="150"/>
      <c r="C314" s="151" t="s">
        <v>212</v>
      </c>
      <c r="D314" s="169" t="s">
        <v>213</v>
      </c>
      <c r="E314" s="151" t="s">
        <v>459</v>
      </c>
      <c r="F314" s="152">
        <v>31279</v>
      </c>
      <c r="G314" s="151" t="s">
        <v>457</v>
      </c>
      <c r="H314" s="158">
        <v>1054</v>
      </c>
      <c r="I314" s="151" t="s">
        <v>460</v>
      </c>
      <c r="J314" s="152">
        <v>32.968066</v>
      </c>
      <c r="K314" s="158">
        <v>3.1297323889962043</v>
      </c>
      <c r="L314" s="167">
        <v>0.04</v>
      </c>
      <c r="M314" s="151">
        <v>4.0000000000000001E-3</v>
      </c>
    </row>
    <row r="315" spans="1:13" ht="15.75" customHeight="1">
      <c r="A315" s="144"/>
      <c r="B315" s="150"/>
      <c r="C315" s="151"/>
      <c r="D315" s="151"/>
      <c r="E315" s="151"/>
      <c r="F315" s="158"/>
      <c r="G315" s="151"/>
      <c r="H315" s="158"/>
      <c r="I315" s="151"/>
      <c r="J315" s="158"/>
      <c r="K315" s="158"/>
      <c r="L315" s="167"/>
      <c r="M315" s="151"/>
    </row>
    <row r="316" spans="1:13" ht="15.75" customHeight="1">
      <c r="A316" s="144"/>
      <c r="B316" s="153"/>
      <c r="C316" s="154"/>
      <c r="D316" s="155"/>
      <c r="E316" s="155"/>
      <c r="F316" s="156"/>
      <c r="G316" s="155"/>
      <c r="H316" s="156"/>
      <c r="I316" s="155"/>
      <c r="J316" s="156"/>
      <c r="K316" s="156"/>
      <c r="L316" s="176"/>
      <c r="M316" s="155"/>
    </row>
    <row r="317" spans="1:13" ht="15.75" customHeight="1">
      <c r="A317" s="144"/>
      <c r="B317" s="150" t="s">
        <v>214</v>
      </c>
      <c r="C317" s="168" t="s">
        <v>215</v>
      </c>
      <c r="D317" s="151"/>
      <c r="E317" s="151"/>
      <c r="F317" s="158"/>
      <c r="G317" s="151"/>
      <c r="H317" s="158"/>
      <c r="I317" s="151"/>
      <c r="J317" s="158"/>
      <c r="K317" s="158"/>
      <c r="L317" s="167"/>
      <c r="M317" s="167"/>
    </row>
    <row r="318" spans="1:13" ht="15.75" customHeight="1">
      <c r="A318" s="144"/>
      <c r="B318" s="150"/>
      <c r="C318" s="151" t="s">
        <v>216</v>
      </c>
      <c r="D318" s="169" t="s">
        <v>200</v>
      </c>
      <c r="E318" s="151" t="s">
        <v>461</v>
      </c>
      <c r="F318" s="152">
        <v>53600</v>
      </c>
      <c r="G318" s="151" t="s">
        <v>457</v>
      </c>
      <c r="H318" s="158">
        <v>1057.7</v>
      </c>
      <c r="I318" s="151" t="s">
        <v>460</v>
      </c>
      <c r="J318" s="158">
        <v>56692.72</v>
      </c>
      <c r="K318" s="158">
        <v>6161.0569634866024</v>
      </c>
      <c r="L318" s="167">
        <v>6.2475377439999993E-2</v>
      </c>
      <c r="M318" s="178">
        <v>6.2475377439999997E-3</v>
      </c>
    </row>
    <row r="319" spans="1:13" ht="15.75" customHeight="1">
      <c r="A319" s="144"/>
      <c r="B319" s="150"/>
      <c r="C319" s="151"/>
      <c r="D319" s="151"/>
      <c r="E319" s="151"/>
      <c r="F319" s="158"/>
      <c r="G319" s="151"/>
      <c r="H319" s="158"/>
      <c r="I319" s="151"/>
      <c r="J319" s="173"/>
      <c r="K319" s="179"/>
      <c r="L319" s="180"/>
      <c r="M319" s="178"/>
    </row>
    <row r="320" spans="1:13" ht="15.75" customHeight="1">
      <c r="A320" s="144"/>
      <c r="B320" s="150"/>
      <c r="C320" s="151" t="s">
        <v>218</v>
      </c>
      <c r="D320" s="169" t="s">
        <v>204</v>
      </c>
      <c r="E320" s="151" t="s">
        <v>461</v>
      </c>
      <c r="F320" s="152">
        <v>38650</v>
      </c>
      <c r="G320" s="151" t="s">
        <v>457</v>
      </c>
      <c r="H320" s="158">
        <v>1057.7</v>
      </c>
      <c r="I320" s="151" t="s">
        <v>460</v>
      </c>
      <c r="J320" s="158">
        <v>40880.105000000003</v>
      </c>
      <c r="K320" s="158">
        <v>4439.4687771083809</v>
      </c>
      <c r="L320" s="167">
        <v>4.5049875710000006E-2</v>
      </c>
      <c r="M320" s="178">
        <v>4.5062139741500005E-3</v>
      </c>
    </row>
    <row r="321" spans="1:13" ht="15.75" customHeight="1">
      <c r="A321" s="144"/>
      <c r="B321" s="150"/>
      <c r="C321" s="151"/>
      <c r="D321" s="169"/>
      <c r="E321" s="151"/>
      <c r="F321" s="158"/>
      <c r="G321" s="151"/>
      <c r="H321" s="158"/>
      <c r="I321" s="151"/>
      <c r="J321" s="158"/>
      <c r="K321" s="158"/>
      <c r="L321" s="167"/>
      <c r="M321" s="178"/>
    </row>
    <row r="322" spans="1:13" ht="15.75" customHeight="1">
      <c r="A322" s="144"/>
      <c r="B322" s="150"/>
      <c r="C322" s="151" t="s">
        <v>219</v>
      </c>
      <c r="D322" s="169" t="s">
        <v>220</v>
      </c>
      <c r="E322" s="151" t="s">
        <v>461</v>
      </c>
      <c r="F322" s="152">
        <v>1079160</v>
      </c>
      <c r="G322" s="151" t="s">
        <v>457</v>
      </c>
      <c r="H322" s="158">
        <v>1057.7</v>
      </c>
      <c r="I322" s="151" t="s">
        <v>460</v>
      </c>
      <c r="J322" s="158">
        <v>1141427.5319999999</v>
      </c>
      <c r="K322" s="158">
        <v>59431.915601819797</v>
      </c>
      <c r="L322" s="167">
        <v>1.2578531402639999</v>
      </c>
      <c r="M322" s="178">
        <v>0.1257853140264</v>
      </c>
    </row>
    <row r="323" spans="1:13" ht="15.75" customHeight="1">
      <c r="A323" s="144"/>
      <c r="B323" s="150"/>
      <c r="C323" s="151"/>
      <c r="D323" s="169"/>
      <c r="E323" s="151"/>
      <c r="F323" s="158"/>
      <c r="G323" s="151"/>
      <c r="H323" s="158"/>
      <c r="I323" s="151"/>
      <c r="J323" s="158"/>
      <c r="K323" s="158"/>
      <c r="L323" s="167"/>
      <c r="M323" s="178"/>
    </row>
    <row r="324" spans="1:13" ht="15.75" customHeight="1">
      <c r="A324" s="144"/>
      <c r="B324" s="150"/>
      <c r="C324" s="151" t="s">
        <v>221</v>
      </c>
      <c r="D324" s="169" t="s">
        <v>222</v>
      </c>
      <c r="E324" s="151" t="s">
        <v>461</v>
      </c>
      <c r="F324" s="152">
        <v>3583460</v>
      </c>
      <c r="G324" s="151" t="s">
        <v>457</v>
      </c>
      <c r="H324" s="158">
        <v>1057.7</v>
      </c>
      <c r="I324" s="151" t="s">
        <v>460</v>
      </c>
      <c r="J324" s="158">
        <v>3790225.642</v>
      </c>
      <c r="K324" s="158">
        <v>210142.7355208864</v>
      </c>
      <c r="L324" s="167">
        <v>4.1768286574839992</v>
      </c>
      <c r="M324" s="178">
        <v>0.41768286574840002</v>
      </c>
    </row>
    <row r="325" spans="1:13" ht="15.75" customHeight="1">
      <c r="A325" s="144"/>
      <c r="B325" s="150"/>
      <c r="C325" s="151"/>
      <c r="D325" s="169"/>
      <c r="E325" s="151"/>
      <c r="F325" s="158"/>
      <c r="G325" s="151"/>
      <c r="H325" s="158"/>
      <c r="I325" s="151"/>
      <c r="J325" s="173"/>
      <c r="K325" s="158"/>
      <c r="L325" s="167"/>
      <c r="M325" s="178"/>
    </row>
    <row r="326" spans="1:13" ht="15.75" customHeight="1">
      <c r="A326" s="144"/>
      <c r="B326" s="150"/>
      <c r="C326" s="151" t="s">
        <v>263</v>
      </c>
      <c r="D326" s="200" t="s">
        <v>264</v>
      </c>
      <c r="E326" s="151" t="s">
        <v>461</v>
      </c>
      <c r="F326" s="152">
        <v>8830</v>
      </c>
      <c r="G326" s="151" t="s">
        <v>457</v>
      </c>
      <c r="H326" s="158">
        <v>1057.7</v>
      </c>
      <c r="I326" s="151" t="s">
        <v>460</v>
      </c>
      <c r="J326" s="158">
        <v>9339.491</v>
      </c>
      <c r="K326" s="173">
        <v>695.68021472023781</v>
      </c>
      <c r="L326" s="167">
        <v>1.0292119081999999E-2</v>
      </c>
      <c r="M326" s="178">
        <v>1.0292119081999999E-3</v>
      </c>
    </row>
    <row r="327" spans="1:13" ht="15.75" customHeight="1">
      <c r="A327" s="144"/>
      <c r="B327" s="150"/>
      <c r="C327" s="151"/>
      <c r="D327" s="169"/>
      <c r="E327" s="151"/>
      <c r="F327" s="158"/>
      <c r="G327" s="151"/>
      <c r="H327" s="158"/>
      <c r="I327" s="151"/>
      <c r="J327" s="173"/>
      <c r="K327" s="173"/>
      <c r="L327" s="183"/>
      <c r="M327" s="178"/>
    </row>
    <row r="328" spans="1:13" ht="15.75" customHeight="1">
      <c r="A328" s="144"/>
      <c r="B328" s="150"/>
      <c r="C328" s="151" t="s">
        <v>265</v>
      </c>
      <c r="D328" s="200" t="s">
        <v>266</v>
      </c>
      <c r="E328" s="151" t="s">
        <v>461</v>
      </c>
      <c r="F328" s="152">
        <v>12030</v>
      </c>
      <c r="G328" s="151" t="s">
        <v>457</v>
      </c>
      <c r="H328" s="158">
        <v>1057.7</v>
      </c>
      <c r="I328" s="151" t="s">
        <v>460</v>
      </c>
      <c r="J328" s="158">
        <v>12724.130999999999</v>
      </c>
      <c r="K328" s="173">
        <v>899.14703620517992</v>
      </c>
      <c r="L328" s="167">
        <v>1.4021992361999998E-2</v>
      </c>
      <c r="M328" s="178">
        <v>1.4021992361999999E-3</v>
      </c>
    </row>
    <row r="329" spans="1:13" ht="15.75" customHeight="1">
      <c r="A329" s="144"/>
      <c r="B329" s="150"/>
      <c r="C329" s="151"/>
      <c r="D329" s="169"/>
      <c r="E329" s="151"/>
      <c r="F329" s="152"/>
      <c r="G329" s="151"/>
      <c r="H329" s="158"/>
      <c r="I329" s="151"/>
      <c r="J329" s="173"/>
      <c r="K329" s="173"/>
      <c r="L329" s="183"/>
      <c r="M329" s="178"/>
    </row>
    <row r="330" spans="1:13" ht="15.75" customHeight="1">
      <c r="A330" s="144"/>
      <c r="B330" s="150"/>
      <c r="C330" s="151"/>
      <c r="D330" s="200" t="s">
        <v>267</v>
      </c>
      <c r="E330" s="151" t="s">
        <v>461</v>
      </c>
      <c r="F330" s="152">
        <v>15520</v>
      </c>
      <c r="G330" s="151" t="s">
        <v>457</v>
      </c>
      <c r="H330" s="158">
        <v>1057.7</v>
      </c>
      <c r="I330" s="151" t="s">
        <v>460</v>
      </c>
      <c r="J330" s="158">
        <v>16415.504000000001</v>
      </c>
      <c r="K330" s="173">
        <v>1159.9968413885613</v>
      </c>
      <c r="L330" s="167">
        <v>1.8089885408000002E-2</v>
      </c>
      <c r="M330" s="178">
        <v>1.8089885407999999E-3</v>
      </c>
    </row>
    <row r="331" spans="1:13" ht="15.75" customHeight="1">
      <c r="A331" s="144"/>
      <c r="B331" s="150"/>
      <c r="C331" s="151"/>
      <c r="D331" s="169"/>
      <c r="E331" s="151"/>
      <c r="F331" s="158"/>
      <c r="G331" s="151"/>
      <c r="H331" s="158"/>
      <c r="I331" s="151"/>
      <c r="J331" s="173"/>
      <c r="K331" s="173"/>
      <c r="L331" s="183"/>
      <c r="M331" s="178"/>
    </row>
    <row r="332" spans="1:13" ht="15.75" customHeight="1">
      <c r="A332" s="144"/>
      <c r="B332" s="150"/>
      <c r="C332" s="151" t="s">
        <v>268</v>
      </c>
      <c r="D332" s="200" t="s">
        <v>269</v>
      </c>
      <c r="E332" s="151" t="s">
        <v>461</v>
      </c>
      <c r="F332" s="152">
        <v>6200</v>
      </c>
      <c r="G332" s="151" t="s">
        <v>457</v>
      </c>
      <c r="H332" s="158">
        <v>1057.7</v>
      </c>
      <c r="I332" s="151" t="s">
        <v>460</v>
      </c>
      <c r="J332" s="158">
        <v>6557.74</v>
      </c>
      <c r="K332" s="173">
        <v>499.86754402377903</v>
      </c>
      <c r="L332" s="167">
        <v>7.226629479999999E-3</v>
      </c>
      <c r="M332" s="178">
        <v>5.5085403351420445E-5</v>
      </c>
    </row>
    <row r="333" spans="1:13" ht="15.75" customHeight="1">
      <c r="A333" s="144"/>
      <c r="B333" s="150"/>
      <c r="C333" s="151"/>
      <c r="D333" s="151"/>
      <c r="E333" s="151"/>
      <c r="F333" s="158"/>
      <c r="G333" s="151"/>
      <c r="H333" s="158"/>
      <c r="I333" s="151"/>
      <c r="J333" s="158"/>
      <c r="K333" s="158"/>
      <c r="L333" s="167"/>
      <c r="M333" s="151"/>
    </row>
    <row r="334" spans="1:13" ht="15.75" customHeight="1">
      <c r="A334" s="144"/>
      <c r="B334" s="153"/>
      <c r="C334" s="155"/>
      <c r="D334" s="155"/>
      <c r="E334" s="155"/>
      <c r="F334" s="156"/>
      <c r="G334" s="155"/>
      <c r="H334" s="156"/>
      <c r="I334" s="155"/>
      <c r="J334" s="156"/>
      <c r="K334" s="156"/>
      <c r="L334" s="176"/>
      <c r="M334" s="155"/>
    </row>
    <row r="335" spans="1:13" ht="15.75" customHeight="1">
      <c r="A335" s="144"/>
      <c r="B335" s="150" t="s">
        <v>276</v>
      </c>
      <c r="C335" s="168" t="s">
        <v>277</v>
      </c>
      <c r="D335" s="151"/>
      <c r="E335" s="151"/>
      <c r="F335" s="158"/>
      <c r="G335" s="151"/>
      <c r="H335" s="158"/>
      <c r="I335" s="151"/>
      <c r="J335" s="158"/>
      <c r="K335" s="158"/>
      <c r="L335" s="167"/>
      <c r="M335" s="151"/>
    </row>
    <row r="336" spans="1:13" ht="15.75" customHeight="1">
      <c r="A336" s="144"/>
      <c r="B336" s="150"/>
      <c r="C336" s="151" t="s">
        <v>278</v>
      </c>
      <c r="D336" s="151" t="s">
        <v>279</v>
      </c>
      <c r="E336" s="151" t="s">
        <v>461</v>
      </c>
      <c r="F336" s="152">
        <v>4900</v>
      </c>
      <c r="G336" s="151" t="s">
        <v>457</v>
      </c>
      <c r="H336" s="158">
        <v>1057.7</v>
      </c>
      <c r="I336" s="151" t="s">
        <v>458</v>
      </c>
      <c r="J336" s="158">
        <v>5182.7299999999996</v>
      </c>
      <c r="K336" s="152">
        <v>330.85078492139968</v>
      </c>
      <c r="L336" s="174">
        <v>5.7113684599999987E-3</v>
      </c>
      <c r="M336" s="203">
        <v>5.7113684599999996E-4</v>
      </c>
    </row>
    <row r="337" spans="1:13" ht="15.75" customHeight="1">
      <c r="A337" s="144"/>
      <c r="B337" s="150"/>
      <c r="C337" s="151"/>
      <c r="D337" s="151"/>
      <c r="E337" s="151"/>
      <c r="F337" s="152"/>
      <c r="G337" s="151"/>
      <c r="H337" s="158"/>
      <c r="I337" s="151"/>
      <c r="J337" s="151"/>
      <c r="K337" s="151"/>
      <c r="L337" s="151"/>
      <c r="M337" s="151"/>
    </row>
    <row r="338" spans="1:13" ht="15.75" customHeight="1">
      <c r="A338" s="144"/>
      <c r="B338" s="153"/>
      <c r="C338" s="155"/>
      <c r="D338" s="155"/>
      <c r="E338" s="155"/>
      <c r="F338" s="182"/>
      <c r="G338" s="155"/>
      <c r="H338" s="156"/>
      <c r="I338" s="155"/>
      <c r="J338" s="155"/>
      <c r="K338" s="155"/>
      <c r="L338" s="155"/>
      <c r="M338" s="155"/>
    </row>
    <row r="339" spans="1:13" ht="15.75" customHeight="1">
      <c r="A339" s="144"/>
      <c r="B339" s="150" t="s">
        <v>223</v>
      </c>
      <c r="C339" s="168" t="s">
        <v>224</v>
      </c>
      <c r="D339" s="151"/>
      <c r="E339" s="151"/>
      <c r="F339" s="158"/>
      <c r="G339" s="151"/>
      <c r="H339" s="158"/>
      <c r="I339" s="151"/>
      <c r="J339" s="158"/>
      <c r="K339" s="158"/>
      <c r="L339" s="167"/>
      <c r="M339" s="151"/>
    </row>
    <row r="340" spans="1:13" ht="15.75" customHeight="1">
      <c r="A340" s="144"/>
      <c r="B340" s="150"/>
      <c r="C340" s="151" t="s">
        <v>429</v>
      </c>
      <c r="D340" s="151" t="s">
        <v>200</v>
      </c>
      <c r="E340" s="151" t="s">
        <v>461</v>
      </c>
      <c r="F340" s="152">
        <v>137890000</v>
      </c>
      <c r="G340" s="151" t="s">
        <v>462</v>
      </c>
      <c r="H340" s="204">
        <v>1.083</v>
      </c>
      <c r="I340" s="151" t="s">
        <v>463</v>
      </c>
      <c r="J340" s="152">
        <v>149334870</v>
      </c>
      <c r="K340" s="170">
        <v>8546.5688901669037</v>
      </c>
      <c r="L340" s="204">
        <v>0.16200000000000001</v>
      </c>
      <c r="M340" s="184">
        <v>1.7000000000000001E-2</v>
      </c>
    </row>
    <row r="341" spans="1:13" ht="15.75" customHeight="1">
      <c r="A341" s="144"/>
      <c r="B341" s="150"/>
      <c r="C341" s="151"/>
      <c r="D341" s="151"/>
      <c r="E341" s="151"/>
      <c r="F341" s="158"/>
      <c r="G341" s="151"/>
      <c r="H341" s="158"/>
      <c r="I341" s="151"/>
      <c r="J341" s="173"/>
      <c r="K341" s="179"/>
      <c r="L341" s="183"/>
      <c r="M341" s="151"/>
    </row>
    <row r="342" spans="1:13" ht="15.75" customHeight="1">
      <c r="A342" s="144"/>
      <c r="B342" s="150"/>
      <c r="C342" s="151" t="s">
        <v>225</v>
      </c>
      <c r="D342" s="151" t="s">
        <v>204</v>
      </c>
      <c r="E342" s="151" t="s">
        <v>459</v>
      </c>
      <c r="F342" s="152">
        <v>152620000</v>
      </c>
      <c r="G342" s="151" t="s">
        <v>462</v>
      </c>
      <c r="H342" s="151">
        <v>1.079</v>
      </c>
      <c r="I342" s="151" t="s">
        <v>463</v>
      </c>
      <c r="J342" s="152">
        <v>164676980</v>
      </c>
      <c r="K342" s="173">
        <v>34972.701542857976</v>
      </c>
      <c r="L342" s="174">
        <v>0.18</v>
      </c>
      <c r="M342" s="184">
        <v>1.7999999999999999E-2</v>
      </c>
    </row>
    <row r="343" spans="1:13" ht="15.75" customHeight="1">
      <c r="A343" s="144"/>
      <c r="B343" s="150"/>
      <c r="C343" s="151"/>
      <c r="D343" s="151"/>
      <c r="E343" s="151"/>
      <c r="F343" s="158"/>
      <c r="G343" s="151"/>
      <c r="H343" s="158"/>
      <c r="I343" s="151"/>
      <c r="J343" s="173"/>
      <c r="K343" s="179"/>
      <c r="L343" s="183"/>
      <c r="M343" s="151"/>
    </row>
    <row r="344" spans="1:13" ht="15.75" customHeight="1">
      <c r="A344" s="144"/>
      <c r="B344" s="150"/>
      <c r="C344" s="151" t="s">
        <v>227</v>
      </c>
      <c r="D344" s="151" t="s">
        <v>220</v>
      </c>
      <c r="E344" s="151" t="s">
        <v>459</v>
      </c>
      <c r="F344" s="152">
        <v>44820000</v>
      </c>
      <c r="G344" s="151" t="s">
        <v>462</v>
      </c>
      <c r="H344" s="204">
        <v>1.0780000000000001</v>
      </c>
      <c r="I344" s="151" t="s">
        <v>463</v>
      </c>
      <c r="J344" s="152">
        <v>48315960</v>
      </c>
      <c r="K344" s="173">
        <v>195843.74436401241</v>
      </c>
      <c r="L344" s="204">
        <v>5.2999999999999999E-2</v>
      </c>
      <c r="M344" s="184">
        <v>6.0000000000000001E-3</v>
      </c>
    </row>
    <row r="345" spans="1:13" ht="15.75" customHeight="1">
      <c r="A345" s="144"/>
      <c r="B345" s="150"/>
      <c r="C345" s="151"/>
      <c r="D345" s="151"/>
      <c r="E345" s="151"/>
      <c r="F345" s="158"/>
      <c r="G345" s="151"/>
      <c r="H345" s="158"/>
      <c r="I345" s="151"/>
      <c r="J345" s="173"/>
      <c r="K345" s="179"/>
      <c r="L345" s="183"/>
      <c r="M345" s="151"/>
    </row>
    <row r="346" spans="1:13" ht="15.75" customHeight="1">
      <c r="A346" s="144"/>
      <c r="B346" s="150"/>
      <c r="C346" s="151" t="s">
        <v>414</v>
      </c>
      <c r="D346" s="151" t="s">
        <v>431</v>
      </c>
      <c r="E346" s="151" t="s">
        <v>459</v>
      </c>
      <c r="F346" s="152">
        <v>32710000</v>
      </c>
      <c r="G346" s="151" t="s">
        <v>462</v>
      </c>
      <c r="H346" s="204">
        <v>1.0880000000000001</v>
      </c>
      <c r="I346" s="151" t="s">
        <v>463</v>
      </c>
      <c r="J346" s="152">
        <v>35588480</v>
      </c>
      <c r="K346" s="167">
        <v>15193.468458815614</v>
      </c>
      <c r="L346" s="204">
        <v>3.9E-2</v>
      </c>
      <c r="M346" s="184">
        <v>3.0000000000000001E-3</v>
      </c>
    </row>
    <row r="347" spans="1:13" ht="15.75" customHeight="1">
      <c r="A347" s="144"/>
      <c r="B347" s="150"/>
      <c r="C347" s="151"/>
      <c r="D347" s="151"/>
      <c r="E347" s="151"/>
      <c r="F347" s="152"/>
      <c r="G347" s="151"/>
      <c r="H347" s="204"/>
      <c r="I347" s="151"/>
      <c r="J347" s="173"/>
      <c r="K347" s="179"/>
      <c r="L347" s="205"/>
      <c r="M347" s="151"/>
    </row>
    <row r="348" spans="1:13" ht="15.75" customHeight="1">
      <c r="A348" s="144"/>
      <c r="B348" s="153"/>
      <c r="C348" s="155"/>
      <c r="D348" s="155"/>
      <c r="E348" s="155"/>
      <c r="F348" s="182"/>
      <c r="G348" s="155"/>
      <c r="H348" s="206"/>
      <c r="I348" s="155"/>
      <c r="J348" s="207"/>
      <c r="K348" s="208"/>
      <c r="L348" s="209"/>
      <c r="M348" s="155"/>
    </row>
    <row r="349" spans="1:13" ht="15.75" customHeight="1">
      <c r="A349" s="144"/>
      <c r="B349" s="150" t="s">
        <v>284</v>
      </c>
      <c r="C349" s="177" t="s">
        <v>285</v>
      </c>
      <c r="D349" s="151"/>
      <c r="E349" s="151"/>
      <c r="F349" s="158"/>
      <c r="G349" s="151"/>
      <c r="H349" s="158"/>
      <c r="I349" s="151"/>
      <c r="J349" s="158"/>
      <c r="K349" s="158"/>
      <c r="L349" s="167"/>
      <c r="M349" s="151"/>
    </row>
    <row r="350" spans="1:13" ht="15.75" customHeight="1">
      <c r="A350" s="144"/>
      <c r="B350" s="150"/>
      <c r="C350" s="151" t="s">
        <v>286</v>
      </c>
      <c r="D350" s="151" t="s">
        <v>287</v>
      </c>
      <c r="E350" s="151" t="s">
        <v>461</v>
      </c>
      <c r="F350" s="152">
        <v>822000000</v>
      </c>
      <c r="G350" s="151" t="s">
        <v>457</v>
      </c>
      <c r="H350" s="158">
        <v>1040</v>
      </c>
      <c r="I350" s="151" t="s">
        <v>464</v>
      </c>
      <c r="J350" s="158">
        <v>854880</v>
      </c>
      <c r="K350" s="158">
        <v>51445.784017912389</v>
      </c>
      <c r="L350" s="167">
        <v>1.1088432857243098</v>
      </c>
      <c r="M350" s="188">
        <v>0.13633319086774301</v>
      </c>
    </row>
    <row r="351" spans="1:13" ht="15.75" customHeight="1">
      <c r="A351" s="144"/>
      <c r="B351" s="150"/>
      <c r="C351" s="151"/>
      <c r="D351" s="151"/>
      <c r="E351" s="151"/>
      <c r="F351" s="152"/>
      <c r="G351" s="151"/>
      <c r="H351" s="158"/>
      <c r="I351" s="151"/>
      <c r="J351" s="158"/>
      <c r="K351" s="158"/>
      <c r="L351" s="167"/>
      <c r="M351" s="167"/>
    </row>
    <row r="352" spans="1:13" ht="15.75" customHeight="1">
      <c r="A352" s="144"/>
      <c r="B352" s="150"/>
      <c r="C352" s="151" t="s">
        <v>298</v>
      </c>
      <c r="D352" s="151" t="s">
        <v>465</v>
      </c>
      <c r="E352" s="151" t="s">
        <v>461</v>
      </c>
      <c r="F352" s="152">
        <v>750000000</v>
      </c>
      <c r="G352" s="151" t="s">
        <v>457</v>
      </c>
      <c r="H352" s="158">
        <v>1049</v>
      </c>
      <c r="I352" s="151" t="s">
        <v>464</v>
      </c>
      <c r="J352" s="158">
        <v>786750</v>
      </c>
      <c r="K352" s="158">
        <v>47345.791896046903</v>
      </c>
      <c r="L352" s="167">
        <v>0.90755425398904499</v>
      </c>
      <c r="M352" s="188">
        <v>9.7586478923553224E-2</v>
      </c>
    </row>
    <row r="353" spans="1:13" ht="15.75" customHeight="1">
      <c r="A353" s="144"/>
      <c r="B353" s="150"/>
      <c r="C353" s="151"/>
      <c r="D353" s="151"/>
      <c r="E353" s="151"/>
      <c r="F353" s="152"/>
      <c r="G353" s="151"/>
      <c r="H353" s="158"/>
      <c r="I353" s="151"/>
      <c r="J353" s="173"/>
      <c r="K353" s="179"/>
      <c r="L353" s="210"/>
      <c r="M353" s="210"/>
    </row>
    <row r="354" spans="1:13" ht="15.75" customHeight="1">
      <c r="A354" s="144"/>
      <c r="B354" s="150"/>
      <c r="C354" s="151" t="s">
        <v>300</v>
      </c>
      <c r="D354" s="151" t="s">
        <v>466</v>
      </c>
      <c r="E354" s="151" t="s">
        <v>461</v>
      </c>
      <c r="F354" s="152">
        <v>722000000</v>
      </c>
      <c r="G354" s="151" t="s">
        <v>457</v>
      </c>
      <c r="H354" s="158">
        <v>1049</v>
      </c>
      <c r="I354" s="151" t="s">
        <v>464</v>
      </c>
      <c r="J354" s="158">
        <v>757378</v>
      </c>
      <c r="K354" s="158">
        <v>42785.202390389029</v>
      </c>
      <c r="L354" s="167">
        <v>0.87714537930182523</v>
      </c>
      <c r="M354" s="188">
        <v>9.7460597700202808E-2</v>
      </c>
    </row>
    <row r="355" spans="1:13" ht="15.75" customHeight="1">
      <c r="A355" s="144"/>
      <c r="B355" s="150"/>
      <c r="C355" s="151"/>
      <c r="D355" s="151"/>
      <c r="E355" s="151"/>
      <c r="F355" s="152"/>
      <c r="G355" s="151"/>
      <c r="H355" s="158"/>
      <c r="I355" s="151"/>
      <c r="J355" s="158"/>
      <c r="K355" s="173"/>
      <c r="L355" s="183"/>
      <c r="M355" s="151"/>
    </row>
    <row r="356" spans="1:13" ht="15.75" customHeight="1">
      <c r="A356" s="144"/>
      <c r="B356" s="153"/>
      <c r="C356" s="155"/>
      <c r="D356" s="155"/>
      <c r="E356" s="155"/>
      <c r="F356" s="182"/>
      <c r="G356" s="155"/>
      <c r="H356" s="156"/>
      <c r="I356" s="155"/>
      <c r="J356" s="156"/>
      <c r="K356" s="207"/>
      <c r="L356" s="213"/>
      <c r="M356" s="155"/>
    </row>
    <row r="357" spans="1:13" ht="15.75" customHeight="1">
      <c r="A357" s="144"/>
      <c r="B357" s="150" t="s">
        <v>302</v>
      </c>
      <c r="C357" s="168" t="s">
        <v>303</v>
      </c>
      <c r="D357" s="151"/>
      <c r="E357" s="151"/>
      <c r="F357" s="158"/>
      <c r="G357" s="151"/>
      <c r="H357" s="158"/>
      <c r="I357" s="151"/>
      <c r="J357" s="151"/>
      <c r="K357" s="158"/>
      <c r="L357" s="167"/>
      <c r="M357" s="151"/>
    </row>
    <row r="358" spans="1:13" ht="15.75" customHeight="1">
      <c r="A358" s="144"/>
      <c r="B358" s="150"/>
      <c r="C358" s="151" t="s">
        <v>467</v>
      </c>
      <c r="D358" s="151" t="s">
        <v>468</v>
      </c>
      <c r="E358" s="151" t="s">
        <v>461</v>
      </c>
      <c r="F358" s="144">
        <v>0</v>
      </c>
      <c r="G358" s="151" t="s">
        <v>457</v>
      </c>
      <c r="H358" s="158">
        <v>1020</v>
      </c>
      <c r="I358" s="151" t="s">
        <v>307</v>
      </c>
      <c r="J358" s="173">
        <v>0</v>
      </c>
      <c r="K358" s="144">
        <v>0</v>
      </c>
      <c r="L358" s="199">
        <v>0</v>
      </c>
      <c r="M358" s="214">
        <v>0</v>
      </c>
    </row>
    <row r="359" spans="1:13" ht="15.75" customHeight="1">
      <c r="A359" s="144"/>
      <c r="B359" s="150"/>
      <c r="C359" s="151"/>
      <c r="D359" s="151"/>
      <c r="E359" s="151"/>
      <c r="F359" s="186"/>
      <c r="G359" s="151"/>
      <c r="H359" s="186"/>
      <c r="I359" s="151"/>
      <c r="J359" s="158"/>
      <c r="K359" s="218"/>
      <c r="L359" s="151"/>
      <c r="M359" s="151"/>
    </row>
    <row r="360" spans="1:13" ht="15.75" customHeight="1">
      <c r="A360" s="144"/>
      <c r="B360" s="153"/>
      <c r="C360" s="155"/>
      <c r="D360" s="155"/>
      <c r="E360" s="155"/>
      <c r="F360" s="155"/>
      <c r="G360" s="155"/>
      <c r="H360" s="155"/>
      <c r="I360" s="155"/>
      <c r="J360" s="155"/>
      <c r="K360" s="155"/>
      <c r="L360" s="155"/>
      <c r="M360" s="155"/>
    </row>
    <row r="361" spans="1:13" ht="15.75" customHeight="1">
      <c r="A361" s="144"/>
      <c r="B361" s="150" t="s">
        <v>469</v>
      </c>
      <c r="C361" s="168" t="s">
        <v>470</v>
      </c>
      <c r="D361" s="151"/>
      <c r="E361" s="151"/>
      <c r="F361" s="151"/>
      <c r="G361" s="151"/>
      <c r="H361" s="151"/>
      <c r="I361" s="151"/>
      <c r="J361" s="151"/>
      <c r="K361" s="151"/>
      <c r="L361" s="151"/>
      <c r="M361" s="151"/>
    </row>
    <row r="362" spans="1:13" ht="15.75" customHeight="1">
      <c r="A362" s="144"/>
      <c r="B362" s="150"/>
      <c r="C362" s="151" t="s">
        <v>471</v>
      </c>
      <c r="D362" s="151" t="s">
        <v>472</v>
      </c>
      <c r="E362" s="151" t="s">
        <v>461</v>
      </c>
      <c r="F362" s="152">
        <v>389000000</v>
      </c>
      <c r="G362" s="151" t="s">
        <v>457</v>
      </c>
      <c r="H362" s="186">
        <v>1041</v>
      </c>
      <c r="I362" s="151" t="s">
        <v>473</v>
      </c>
      <c r="J362" s="173">
        <v>404949</v>
      </c>
      <c r="K362" s="179">
        <v>19898</v>
      </c>
      <c r="L362" s="199">
        <v>0.45</v>
      </c>
      <c r="M362" s="218">
        <v>0.04</v>
      </c>
    </row>
    <row r="363" spans="1:13" ht="15.75" customHeight="1">
      <c r="A363" s="144"/>
      <c r="B363" s="150"/>
      <c r="C363" s="151"/>
      <c r="D363" s="151"/>
      <c r="E363" s="151"/>
      <c r="F363" s="151"/>
      <c r="G363" s="151"/>
      <c r="H363" s="151"/>
      <c r="I363" s="151"/>
      <c r="J363" s="151"/>
      <c r="K363" s="151"/>
      <c r="L363" s="151"/>
      <c r="M363" s="151"/>
    </row>
    <row r="364" spans="1:13" ht="15.75" customHeight="1">
      <c r="A364" s="144"/>
      <c r="B364" s="153"/>
      <c r="C364" s="155"/>
      <c r="D364" s="155"/>
      <c r="E364" s="155"/>
      <c r="F364" s="155"/>
      <c r="G364" s="155"/>
      <c r="H364" s="155"/>
      <c r="I364" s="155"/>
      <c r="J364" s="155"/>
      <c r="K364" s="155"/>
      <c r="L364" s="155"/>
      <c r="M364" s="155"/>
    </row>
    <row r="365" spans="1:13" ht="15.75" customHeight="1">
      <c r="A365" s="144"/>
      <c r="B365" s="150" t="s">
        <v>322</v>
      </c>
      <c r="C365" s="177" t="s">
        <v>323</v>
      </c>
      <c r="D365" s="151"/>
      <c r="E365" s="151"/>
      <c r="F365" s="151"/>
      <c r="G365" s="151"/>
      <c r="H365" s="151"/>
      <c r="I365" s="151"/>
      <c r="J365" s="151"/>
      <c r="K365" s="151"/>
      <c r="L365" s="151"/>
      <c r="M365" s="151"/>
    </row>
    <row r="366" spans="1:13" ht="15.75" customHeight="1">
      <c r="A366" s="144"/>
      <c r="B366" s="150"/>
      <c r="C366" s="151" t="s">
        <v>324</v>
      </c>
      <c r="D366" s="151" t="s">
        <v>325</v>
      </c>
      <c r="E366" s="151" t="s">
        <v>461</v>
      </c>
      <c r="F366" s="187">
        <v>684480000</v>
      </c>
      <c r="G366" s="151" t="s">
        <v>457</v>
      </c>
      <c r="H366" s="186">
        <v>1055.5999999999999</v>
      </c>
      <c r="I366" s="151" t="s">
        <v>474</v>
      </c>
      <c r="J366" s="152">
        <v>722537.08799999987</v>
      </c>
      <c r="K366" s="158">
        <v>35452.350190995559</v>
      </c>
      <c r="L366" s="188">
        <v>0.79646083978268145</v>
      </c>
      <c r="M366" s="167">
        <v>7.964608397826814E-2</v>
      </c>
    </row>
    <row r="367" spans="1:13" ht="15.75" customHeight="1">
      <c r="A367" s="144"/>
      <c r="B367" s="150"/>
      <c r="C367" s="151"/>
      <c r="D367" s="151"/>
      <c r="E367" s="151"/>
      <c r="F367" s="151"/>
      <c r="G367" s="151"/>
      <c r="H367" s="151"/>
      <c r="I367" s="151"/>
      <c r="J367" s="151"/>
      <c r="K367" s="151"/>
      <c r="L367" s="151"/>
      <c r="M367" s="151"/>
    </row>
    <row r="368" spans="1:13" ht="15.75" customHeight="1">
      <c r="A368" s="144"/>
      <c r="B368" s="150"/>
      <c r="C368" s="151" t="s">
        <v>324</v>
      </c>
      <c r="D368" s="151" t="s">
        <v>326</v>
      </c>
      <c r="E368" s="151" t="s">
        <v>461</v>
      </c>
      <c r="F368" s="187">
        <v>749420000</v>
      </c>
      <c r="G368" s="151" t="s">
        <v>457</v>
      </c>
      <c r="H368" s="186">
        <v>1055.5999999999999</v>
      </c>
      <c r="I368" s="151" t="s">
        <v>474</v>
      </c>
      <c r="J368" s="152">
        <v>791087.75199999986</v>
      </c>
      <c r="K368" s="158">
        <v>37802.280332268456</v>
      </c>
      <c r="L368" s="188">
        <v>0.87202501541306843</v>
      </c>
      <c r="M368" s="167">
        <v>8.7202501541306848E-2</v>
      </c>
    </row>
    <row r="369" spans="1:13" ht="15.75" customHeight="1">
      <c r="A369" s="144"/>
      <c r="B369" s="150"/>
      <c r="C369" s="151"/>
      <c r="D369" s="151"/>
      <c r="E369" s="151"/>
      <c r="F369" s="151"/>
      <c r="G369" s="151"/>
      <c r="H369" s="151"/>
      <c r="I369" s="151"/>
      <c r="J369" s="151"/>
      <c r="K369" s="151"/>
      <c r="L369" s="151"/>
      <c r="M369" s="162"/>
    </row>
    <row r="370" spans="1:13" ht="15.75" customHeight="1">
      <c r="A370" s="144"/>
      <c r="B370" s="153"/>
      <c r="C370" s="155"/>
      <c r="D370" s="155"/>
      <c r="E370" s="155"/>
      <c r="F370" s="155"/>
      <c r="G370" s="155"/>
      <c r="H370" s="155"/>
      <c r="I370" s="155"/>
      <c r="J370" s="155"/>
      <c r="K370" s="155"/>
      <c r="L370" s="155"/>
      <c r="M370" s="155"/>
    </row>
    <row r="371" spans="1:13" ht="15.75" customHeight="1">
      <c r="A371" s="144"/>
      <c r="B371" s="150" t="s">
        <v>341</v>
      </c>
      <c r="C371" s="177" t="s">
        <v>342</v>
      </c>
      <c r="D371" s="151"/>
      <c r="E371" s="151"/>
      <c r="F371" s="151"/>
      <c r="G371" s="151"/>
      <c r="H371" s="151"/>
      <c r="I371" s="151"/>
      <c r="J371" s="151"/>
      <c r="K371" s="151"/>
      <c r="L371" s="151"/>
      <c r="M371" s="151"/>
    </row>
    <row r="372" spans="1:13" ht="15.75" customHeight="1">
      <c r="A372" s="144"/>
      <c r="B372" s="150"/>
      <c r="C372" s="151" t="s">
        <v>343</v>
      </c>
      <c r="D372" s="151" t="s">
        <v>200</v>
      </c>
      <c r="E372" s="151" t="s">
        <v>456</v>
      </c>
      <c r="F372" s="187">
        <v>2508181.9923371645</v>
      </c>
      <c r="G372" s="151" t="s">
        <v>457</v>
      </c>
      <c r="H372" s="151">
        <v>1.044</v>
      </c>
      <c r="I372" s="151" t="s">
        <v>475</v>
      </c>
      <c r="J372" s="152">
        <v>2618542</v>
      </c>
      <c r="K372" s="158">
        <v>155717.06178143556</v>
      </c>
      <c r="L372" s="188">
        <v>11.279938960025527</v>
      </c>
      <c r="M372" s="188">
        <v>3.8930762782388983</v>
      </c>
    </row>
    <row r="373" spans="1:13" ht="15.75" customHeight="1">
      <c r="A373" s="144"/>
      <c r="B373" s="150"/>
      <c r="C373" s="151"/>
      <c r="D373" s="151"/>
      <c r="E373" s="151"/>
      <c r="F373" s="151"/>
      <c r="G373" s="151"/>
      <c r="H373" s="151"/>
      <c r="I373" s="151"/>
      <c r="J373" s="158"/>
      <c r="K373" s="151"/>
      <c r="L373" s="151"/>
      <c r="M373" s="151"/>
    </row>
    <row r="374" spans="1:13" ht="15.75" customHeight="1">
      <c r="A374" s="144"/>
      <c r="B374" s="150"/>
      <c r="C374" s="151" t="s">
        <v>346</v>
      </c>
      <c r="D374" s="151" t="s">
        <v>204</v>
      </c>
      <c r="E374" s="151" t="s">
        <v>456</v>
      </c>
      <c r="F374" s="152">
        <v>2942385.0574712642</v>
      </c>
      <c r="G374" s="151" t="s">
        <v>457</v>
      </c>
      <c r="H374" s="151">
        <v>1.044</v>
      </c>
      <c r="I374" s="151" t="s">
        <v>475</v>
      </c>
      <c r="J374" s="152">
        <v>3071850</v>
      </c>
      <c r="K374" s="158">
        <v>182727.26264964786</v>
      </c>
      <c r="L374" s="188">
        <v>13.16622561068665</v>
      </c>
      <c r="M374" s="188">
        <v>4.5882301370574687</v>
      </c>
    </row>
    <row r="375" spans="1:13" ht="15.75" customHeight="1">
      <c r="A375" s="144"/>
      <c r="B375" s="150"/>
      <c r="C375" s="151"/>
      <c r="D375" s="151"/>
      <c r="E375" s="151"/>
      <c r="F375" s="151"/>
      <c r="G375" s="151"/>
      <c r="H375" s="151"/>
      <c r="I375" s="151"/>
      <c r="J375" s="151"/>
      <c r="K375" s="151"/>
      <c r="L375" s="151"/>
      <c r="M375" s="151"/>
    </row>
    <row r="376" spans="1:13" ht="15.75" customHeight="1">
      <c r="A376" s="144"/>
      <c r="B376" s="153"/>
      <c r="C376" s="155"/>
      <c r="D376" s="155"/>
      <c r="E376" s="155"/>
      <c r="F376" s="155"/>
      <c r="G376" s="155"/>
      <c r="H376" s="155"/>
      <c r="I376" s="155"/>
      <c r="J376" s="155"/>
      <c r="K376" s="155"/>
      <c r="L376" s="155"/>
      <c r="M376" s="155"/>
    </row>
    <row r="377" spans="1:13" ht="15.75" customHeight="1">
      <c r="A377" s="144"/>
      <c r="B377" s="150"/>
      <c r="C377" s="151"/>
      <c r="D377" s="151"/>
      <c r="E377" s="151"/>
      <c r="F377" s="151"/>
      <c r="G377" s="151"/>
      <c r="H377" s="151"/>
      <c r="I377" s="151"/>
      <c r="J377" s="151"/>
      <c r="K377" s="151"/>
      <c r="L377" s="151"/>
      <c r="M377" s="151"/>
    </row>
    <row r="378" spans="1:13" ht="15.75" customHeight="1">
      <c r="A378" s="144"/>
      <c r="B378" s="150" t="s">
        <v>476</v>
      </c>
      <c r="C378" s="168" t="s">
        <v>477</v>
      </c>
      <c r="D378" s="151"/>
      <c r="E378" s="151"/>
      <c r="F378" s="151"/>
      <c r="G378" s="151"/>
      <c r="H378" s="151"/>
      <c r="I378" s="151"/>
      <c r="J378" s="151"/>
      <c r="K378" s="151"/>
      <c r="L378" s="151"/>
      <c r="M378" s="151"/>
    </row>
    <row r="379" spans="1:13" ht="15.75" customHeight="1">
      <c r="A379" s="144"/>
      <c r="B379" s="150"/>
      <c r="C379" s="151" t="s">
        <v>471</v>
      </c>
      <c r="D379" s="151" t="s">
        <v>290</v>
      </c>
      <c r="E379" s="151" t="s">
        <v>461</v>
      </c>
      <c r="F379" s="152">
        <v>2049999.9999999998</v>
      </c>
      <c r="G379" s="151" t="s">
        <v>457</v>
      </c>
      <c r="H379" s="186">
        <v>1042</v>
      </c>
      <c r="I379" s="151" t="s">
        <v>474</v>
      </c>
      <c r="J379" s="186">
        <v>2136.1</v>
      </c>
      <c r="K379" s="152">
        <v>125</v>
      </c>
      <c r="L379" s="172">
        <v>0</v>
      </c>
      <c r="M379" s="184">
        <v>0</v>
      </c>
    </row>
    <row r="380" spans="1:13" ht="15.75" customHeight="1">
      <c r="A380" s="144"/>
      <c r="B380" s="150"/>
      <c r="C380" s="151" t="s">
        <v>478</v>
      </c>
      <c r="D380" s="151" t="s">
        <v>292</v>
      </c>
      <c r="E380" s="151" t="s">
        <v>461</v>
      </c>
      <c r="F380" s="152">
        <v>3660000</v>
      </c>
      <c r="G380" s="151" t="s">
        <v>457</v>
      </c>
      <c r="H380" s="186">
        <v>1042</v>
      </c>
      <c r="I380" s="151" t="s">
        <v>474</v>
      </c>
      <c r="J380" s="186">
        <v>3813.72</v>
      </c>
      <c r="K380" s="152">
        <v>223</v>
      </c>
      <c r="L380" s="172">
        <v>0</v>
      </c>
      <c r="M380" s="184">
        <v>0</v>
      </c>
    </row>
    <row r="381" spans="1:13" ht="15.75" customHeight="1">
      <c r="A381" s="144"/>
      <c r="B381" s="150"/>
      <c r="C381" s="151" t="s">
        <v>479</v>
      </c>
      <c r="D381" s="151" t="s">
        <v>294</v>
      </c>
      <c r="E381" s="151" t="s">
        <v>461</v>
      </c>
      <c r="F381" s="152">
        <v>3500000</v>
      </c>
      <c r="G381" s="151" t="s">
        <v>457</v>
      </c>
      <c r="H381" s="186">
        <v>1042</v>
      </c>
      <c r="I381" s="151" t="s">
        <v>474</v>
      </c>
      <c r="J381" s="186">
        <v>3647</v>
      </c>
      <c r="K381" s="152">
        <v>213</v>
      </c>
      <c r="L381" s="172">
        <v>0</v>
      </c>
      <c r="M381" s="184">
        <v>0</v>
      </c>
    </row>
    <row r="382" spans="1:13" ht="15.75" customHeight="1">
      <c r="A382" s="144"/>
      <c r="B382" s="150"/>
      <c r="C382" s="151" t="s">
        <v>480</v>
      </c>
      <c r="D382" s="151" t="s">
        <v>296</v>
      </c>
      <c r="E382" s="151" t="s">
        <v>461</v>
      </c>
      <c r="F382" s="152">
        <v>3650000</v>
      </c>
      <c r="G382" s="151" t="s">
        <v>457</v>
      </c>
      <c r="H382" s="186">
        <v>1042</v>
      </c>
      <c r="I382" s="151" t="s">
        <v>474</v>
      </c>
      <c r="J382" s="186">
        <v>3803.3</v>
      </c>
      <c r="K382" s="152">
        <v>222</v>
      </c>
      <c r="L382" s="172">
        <v>0</v>
      </c>
      <c r="M382" s="184">
        <v>0</v>
      </c>
    </row>
    <row r="383" spans="1:13" ht="15.75" customHeight="1">
      <c r="A383" s="144"/>
      <c r="B383" s="150"/>
      <c r="C383" s="151" t="s">
        <v>481</v>
      </c>
      <c r="D383" s="151" t="s">
        <v>482</v>
      </c>
      <c r="E383" s="151" t="s">
        <v>461</v>
      </c>
      <c r="F383" s="152">
        <v>2200000</v>
      </c>
      <c r="G383" s="151" t="s">
        <v>457</v>
      </c>
      <c r="H383" s="186">
        <v>1042</v>
      </c>
      <c r="I383" s="151" t="s">
        <v>474</v>
      </c>
      <c r="J383" s="186">
        <v>2292.4</v>
      </c>
      <c r="K383" s="152">
        <v>134</v>
      </c>
      <c r="L383" s="184">
        <v>0</v>
      </c>
      <c r="M383" s="184">
        <v>0</v>
      </c>
    </row>
    <row r="384" spans="1:13" ht="15.75" customHeight="1">
      <c r="A384" s="144"/>
      <c r="B384" s="150"/>
      <c r="C384" s="151" t="s">
        <v>483</v>
      </c>
      <c r="D384" s="151" t="s">
        <v>484</v>
      </c>
      <c r="E384" s="151" t="s">
        <v>461</v>
      </c>
      <c r="F384" s="152">
        <v>3310000</v>
      </c>
      <c r="G384" s="151" t="s">
        <v>457</v>
      </c>
      <c r="H384" s="186">
        <v>1042</v>
      </c>
      <c r="I384" s="151" t="s">
        <v>474</v>
      </c>
      <c r="J384" s="186">
        <v>3449.02</v>
      </c>
      <c r="K384" s="152">
        <v>202</v>
      </c>
      <c r="L384" s="172">
        <v>0</v>
      </c>
      <c r="M384" s="184">
        <v>0</v>
      </c>
    </row>
    <row r="385" spans="1:13" ht="15.75" customHeight="1">
      <c r="A385" s="144"/>
      <c r="B385" s="150"/>
      <c r="C385" s="151" t="s">
        <v>485</v>
      </c>
      <c r="D385" s="151" t="s">
        <v>486</v>
      </c>
      <c r="E385" s="151" t="s">
        <v>461</v>
      </c>
      <c r="F385" s="152">
        <v>3300000</v>
      </c>
      <c r="G385" s="151" t="s">
        <v>457</v>
      </c>
      <c r="H385" s="186">
        <v>1042</v>
      </c>
      <c r="I385" s="151" t="s">
        <v>474</v>
      </c>
      <c r="J385" s="186">
        <v>3438.6</v>
      </c>
      <c r="K385" s="152">
        <v>201</v>
      </c>
      <c r="L385" s="172">
        <v>0</v>
      </c>
      <c r="M385" s="184">
        <v>0</v>
      </c>
    </row>
    <row r="386" spans="1:13" ht="15.75" customHeight="1">
      <c r="A386" s="144"/>
      <c r="B386" s="150"/>
      <c r="C386" s="151" t="s">
        <v>487</v>
      </c>
      <c r="D386" s="151" t="s">
        <v>488</v>
      </c>
      <c r="E386" s="151" t="s">
        <v>461</v>
      </c>
      <c r="F386" s="152">
        <v>3850000</v>
      </c>
      <c r="G386" s="151" t="s">
        <v>457</v>
      </c>
      <c r="H386" s="186">
        <v>1042</v>
      </c>
      <c r="I386" s="151" t="s">
        <v>474</v>
      </c>
      <c r="J386" s="186">
        <v>4011.7</v>
      </c>
      <c r="K386" s="152">
        <v>234</v>
      </c>
      <c r="L386" s="172">
        <v>0</v>
      </c>
      <c r="M386" s="184">
        <v>0</v>
      </c>
    </row>
    <row r="387" spans="1:13" ht="15.75" customHeight="1">
      <c r="A387" s="144"/>
      <c r="B387" s="150"/>
      <c r="C387" s="151"/>
      <c r="D387" s="151"/>
      <c r="E387" s="151"/>
      <c r="F387" s="151"/>
      <c r="G387" s="151"/>
      <c r="H387" s="151"/>
      <c r="I387" s="151"/>
      <c r="J387" s="151"/>
      <c r="K387" s="158"/>
      <c r="L387" s="151"/>
      <c r="M387" s="151"/>
    </row>
    <row r="388" spans="1:13" ht="15.75" customHeight="1">
      <c r="A388" s="144"/>
      <c r="B388" s="153"/>
      <c r="C388" s="155"/>
      <c r="D388" s="155"/>
      <c r="E388" s="155"/>
      <c r="F388" s="155"/>
      <c r="G388" s="155"/>
      <c r="H388" s="155"/>
      <c r="I388" s="155"/>
      <c r="J388" s="155"/>
      <c r="K388" s="155"/>
      <c r="L388" s="155"/>
      <c r="M388" s="155"/>
    </row>
    <row r="389" spans="1:13" ht="15.75" customHeight="1">
      <c r="A389" s="144"/>
      <c r="B389" s="150" t="s">
        <v>489</v>
      </c>
      <c r="C389" s="168" t="s">
        <v>490</v>
      </c>
      <c r="D389" s="151"/>
      <c r="E389" s="151"/>
      <c r="F389" s="151"/>
      <c r="G389" s="151"/>
      <c r="H389" s="151"/>
      <c r="I389" s="151"/>
      <c r="J389" s="151"/>
      <c r="K389" s="151"/>
      <c r="L389" s="151"/>
      <c r="M389" s="151"/>
    </row>
    <row r="390" spans="1:13" ht="15.75" customHeight="1">
      <c r="A390" s="144"/>
      <c r="B390" s="150"/>
      <c r="C390" s="151" t="s">
        <v>491</v>
      </c>
      <c r="D390" s="151" t="s">
        <v>492</v>
      </c>
      <c r="E390" s="151" t="s">
        <v>456</v>
      </c>
      <c r="F390" s="152">
        <v>857635996.15014446</v>
      </c>
      <c r="G390" s="151" t="s">
        <v>457</v>
      </c>
      <c r="H390" s="228">
        <v>1.0389999999999999</v>
      </c>
      <c r="I390" s="151" t="s">
        <v>475</v>
      </c>
      <c r="J390" s="152">
        <v>891083.8</v>
      </c>
      <c r="K390" s="220">
        <v>47869.4</v>
      </c>
      <c r="L390" s="220">
        <v>0.81</v>
      </c>
      <c r="M390" s="220">
        <v>0.08</v>
      </c>
    </row>
    <row r="391" spans="1:13" ht="15.75" customHeight="1">
      <c r="A391" s="144"/>
      <c r="B391" s="150"/>
      <c r="C391" s="151" t="s">
        <v>493</v>
      </c>
      <c r="D391" s="151" t="s">
        <v>494</v>
      </c>
      <c r="E391" s="151" t="s">
        <v>456</v>
      </c>
      <c r="F391" s="152">
        <v>700504331.08758426</v>
      </c>
      <c r="G391" s="151" t="s">
        <v>457</v>
      </c>
      <c r="H391" s="228">
        <v>1.0389999999999999</v>
      </c>
      <c r="I391" s="151" t="s">
        <v>475</v>
      </c>
      <c r="J391" s="152">
        <v>727824</v>
      </c>
      <c r="K391" s="220">
        <v>40398.400000000001</v>
      </c>
      <c r="L391" s="220">
        <v>0.68</v>
      </c>
      <c r="M391" s="220">
        <v>7.0000000000000007E-2</v>
      </c>
    </row>
    <row r="392" spans="1:13" ht="15.75" customHeight="1">
      <c r="A392" s="144"/>
      <c r="B392" s="150"/>
      <c r="C392" s="151" t="s">
        <v>495</v>
      </c>
      <c r="D392" s="151" t="s">
        <v>496</v>
      </c>
      <c r="E392" s="151" t="s">
        <v>456</v>
      </c>
      <c r="F392" s="152">
        <v>1936556304.1385949</v>
      </c>
      <c r="G392" s="151" t="s">
        <v>457</v>
      </c>
      <c r="H392" s="228">
        <v>1.0389999999999999</v>
      </c>
      <c r="I392" s="151" t="s">
        <v>475</v>
      </c>
      <c r="J392" s="152">
        <v>2012082</v>
      </c>
      <c r="K392" s="220">
        <v>111845.6</v>
      </c>
      <c r="L392" s="220">
        <v>1.88</v>
      </c>
      <c r="M392" s="220">
        <v>0.19</v>
      </c>
    </row>
    <row r="393" spans="1:13" ht="15.75" customHeight="1">
      <c r="A393" s="144"/>
      <c r="B393" s="150"/>
      <c r="C393" s="151" t="s">
        <v>497</v>
      </c>
      <c r="D393" s="151" t="s">
        <v>498</v>
      </c>
      <c r="E393" s="151" t="s">
        <v>456</v>
      </c>
      <c r="F393" s="152">
        <v>1661330125.1203082</v>
      </c>
      <c r="G393" s="151" t="s">
        <v>457</v>
      </c>
      <c r="H393" s="228">
        <v>1.0389999999999999</v>
      </c>
      <c r="I393" s="151" t="s">
        <v>475</v>
      </c>
      <c r="J393" s="152">
        <v>1726122</v>
      </c>
      <c r="K393" s="220">
        <v>96395.9</v>
      </c>
      <c r="L393" s="220">
        <v>1.62</v>
      </c>
      <c r="M393" s="220">
        <v>0.16</v>
      </c>
    </row>
    <row r="394" spans="1:13" ht="15.75" customHeight="1">
      <c r="A394" s="144"/>
      <c r="B394" s="150"/>
      <c r="C394" s="151" t="s">
        <v>499</v>
      </c>
      <c r="D394" s="151" t="s">
        <v>500</v>
      </c>
      <c r="E394" s="151" t="s">
        <v>456</v>
      </c>
      <c r="F394" s="152">
        <v>6716790</v>
      </c>
      <c r="G394" s="151" t="s">
        <v>457</v>
      </c>
      <c r="H394" s="228">
        <v>1.0389999999999999</v>
      </c>
      <c r="I394" s="151" t="s">
        <v>475</v>
      </c>
      <c r="J394" s="152">
        <v>6978.7448099999992</v>
      </c>
      <c r="K394" s="220">
        <v>403</v>
      </c>
      <c r="L394" s="220">
        <v>7.0000000000000001E-3</v>
      </c>
      <c r="M394" s="220">
        <v>7.0000000000000001E-3</v>
      </c>
    </row>
    <row r="395" spans="1:13" ht="15.75" customHeight="1">
      <c r="A395" s="144"/>
      <c r="B395" s="150"/>
      <c r="C395" s="151"/>
      <c r="D395" s="151"/>
      <c r="E395" s="151"/>
      <c r="F395" s="151"/>
      <c r="G395" s="151"/>
      <c r="H395" s="151"/>
      <c r="I395" s="151"/>
      <c r="J395" s="151"/>
      <c r="K395" s="151"/>
      <c r="L395" s="151"/>
      <c r="M395" s="151"/>
    </row>
    <row r="396" spans="1:13" ht="15.75" customHeight="1">
      <c r="A396" s="144"/>
      <c r="B396" s="150"/>
      <c r="C396" s="151"/>
      <c r="D396" s="151"/>
      <c r="E396" s="151"/>
      <c r="F396" s="151"/>
      <c r="G396" s="151"/>
      <c r="H396" s="151"/>
      <c r="I396" s="151"/>
      <c r="J396" s="151"/>
      <c r="K396" s="151"/>
      <c r="L396" s="151"/>
      <c r="M396" s="151"/>
    </row>
    <row r="397" spans="1:13" ht="15.75" customHeight="1">
      <c r="A397" s="144"/>
      <c r="B397" s="150" t="s">
        <v>446</v>
      </c>
      <c r="C397" s="177" t="s">
        <v>447</v>
      </c>
      <c r="D397" s="151"/>
      <c r="E397" s="151"/>
      <c r="F397" s="151"/>
      <c r="G397" s="151"/>
      <c r="H397" s="151"/>
      <c r="I397" s="151"/>
      <c r="J397" s="151"/>
      <c r="K397" s="151"/>
      <c r="L397" s="151"/>
      <c r="M397" s="151"/>
    </row>
    <row r="398" spans="1:13" ht="15.75" customHeight="1">
      <c r="A398" s="144"/>
      <c r="B398" s="150"/>
      <c r="C398" s="151" t="s">
        <v>487</v>
      </c>
      <c r="D398" s="151" t="s">
        <v>501</v>
      </c>
      <c r="E398" s="151" t="s">
        <v>461</v>
      </c>
      <c r="F398" s="152">
        <v>11784250000</v>
      </c>
      <c r="G398" s="151" t="s">
        <v>457</v>
      </c>
      <c r="H398" s="151">
        <v>1.0589999999999999</v>
      </c>
      <c r="I398" s="151" t="s">
        <v>502</v>
      </c>
      <c r="J398" s="173">
        <v>12479521</v>
      </c>
      <c r="K398" s="152">
        <v>766132</v>
      </c>
      <c r="L398" s="223">
        <v>0.13800000000000001</v>
      </c>
      <c r="M398" s="184">
        <v>1.38</v>
      </c>
    </row>
    <row r="399" spans="1:13" ht="15.75" customHeight="1">
      <c r="A399" s="144"/>
      <c r="B399" s="150"/>
      <c r="C399" s="151" t="s">
        <v>503</v>
      </c>
      <c r="D399" s="151" t="s">
        <v>504</v>
      </c>
      <c r="E399" s="151" t="s">
        <v>461</v>
      </c>
      <c r="F399" s="152">
        <v>12856810000</v>
      </c>
      <c r="G399" s="151" t="s">
        <v>457</v>
      </c>
      <c r="H399" s="151">
        <v>1.0589999999999999</v>
      </c>
      <c r="I399" s="151" t="s">
        <v>502</v>
      </c>
      <c r="J399" s="173">
        <v>13615362</v>
      </c>
      <c r="K399" s="152">
        <v>837399</v>
      </c>
      <c r="L399" s="223">
        <v>0.15</v>
      </c>
      <c r="M399" s="184">
        <v>1.5</v>
      </c>
    </row>
    <row r="400" spans="1:13" ht="15.75" customHeight="1">
      <c r="A400" s="144"/>
      <c r="B400" s="150"/>
      <c r="C400" s="151" t="s">
        <v>505</v>
      </c>
      <c r="D400" s="151" t="s">
        <v>506</v>
      </c>
      <c r="E400" s="151" t="s">
        <v>461</v>
      </c>
      <c r="F400" s="152">
        <v>14921000</v>
      </c>
      <c r="G400" s="151" t="s">
        <v>457</v>
      </c>
      <c r="H400" s="151">
        <v>1.0589999999999999</v>
      </c>
      <c r="I400" s="151" t="s">
        <v>502</v>
      </c>
      <c r="J400" s="173">
        <v>15801.339</v>
      </c>
      <c r="K400" s="152">
        <v>682</v>
      </c>
      <c r="L400" s="223">
        <v>1.7399999999999999E-2</v>
      </c>
      <c r="M400" s="184">
        <v>1.74E-3</v>
      </c>
    </row>
    <row r="401" spans="1:13" ht="15.75" customHeight="1">
      <c r="A401" s="144"/>
      <c r="B401" s="150"/>
      <c r="C401" s="151" t="s">
        <v>507</v>
      </c>
      <c r="D401" s="151" t="s">
        <v>508</v>
      </c>
      <c r="E401" s="151" t="s">
        <v>461</v>
      </c>
      <c r="F401" s="152">
        <v>18227000</v>
      </c>
      <c r="G401" s="151" t="s">
        <v>457</v>
      </c>
      <c r="H401" s="151">
        <v>1.0589999999999999</v>
      </c>
      <c r="I401" s="151" t="s">
        <v>502</v>
      </c>
      <c r="J401" s="173">
        <v>19302</v>
      </c>
      <c r="K401" s="152">
        <v>1129</v>
      </c>
      <c r="L401" s="223">
        <v>2.1299999999999999E-2</v>
      </c>
      <c r="M401" s="184">
        <v>2.1299999999999999E-3</v>
      </c>
    </row>
    <row r="402" spans="1:13" ht="15.75" customHeight="1">
      <c r="A402" s="144"/>
      <c r="B402" s="150"/>
      <c r="C402" s="151"/>
      <c r="D402" s="151"/>
      <c r="E402" s="151"/>
      <c r="F402" s="151"/>
      <c r="G402" s="151"/>
      <c r="H402" s="151"/>
      <c r="I402" s="151"/>
      <c r="J402" s="151"/>
      <c r="K402" s="151"/>
      <c r="L402" s="151"/>
      <c r="M402" s="151"/>
    </row>
    <row r="403" spans="1:13" ht="15.75" customHeight="1">
      <c r="A403" s="144"/>
      <c r="B403" s="153"/>
      <c r="C403" s="155"/>
      <c r="D403" s="155"/>
      <c r="E403" s="155"/>
      <c r="F403" s="155"/>
      <c r="G403" s="155"/>
      <c r="H403" s="155"/>
      <c r="I403" s="155"/>
      <c r="J403" s="155"/>
      <c r="K403" s="155"/>
      <c r="L403" s="155"/>
      <c r="M403" s="155"/>
    </row>
    <row r="404" spans="1:13" ht="15.75" customHeight="1">
      <c r="A404" s="144"/>
      <c r="B404" s="150" t="s">
        <v>509</v>
      </c>
      <c r="C404" s="177" t="s">
        <v>510</v>
      </c>
      <c r="D404" s="151"/>
      <c r="E404" s="151" t="s">
        <v>511</v>
      </c>
      <c r="F404" s="229">
        <v>0</v>
      </c>
      <c r="G404" s="151" t="s">
        <v>245</v>
      </c>
      <c r="H404" s="158">
        <v>91333</v>
      </c>
      <c r="I404" s="151" t="s">
        <v>345</v>
      </c>
      <c r="J404" s="158"/>
      <c r="K404" s="158"/>
      <c r="L404" s="158"/>
      <c r="M404" s="158"/>
    </row>
    <row r="405" spans="1:13" ht="15.75" customHeight="1">
      <c r="A405" s="144"/>
      <c r="B405" s="150"/>
      <c r="C405" s="177"/>
      <c r="D405" s="151"/>
      <c r="E405" s="151"/>
      <c r="F405" s="158"/>
      <c r="G405" s="151"/>
      <c r="H405" s="158"/>
      <c r="I405" s="151"/>
      <c r="J405" s="158"/>
      <c r="K405" s="158"/>
      <c r="L405" s="158"/>
      <c r="M405" s="158"/>
    </row>
    <row r="406" spans="1:13" ht="15.75" customHeight="1">
      <c r="A406" s="144"/>
      <c r="B406" s="153"/>
      <c r="C406" s="155"/>
      <c r="D406" s="155"/>
      <c r="E406" s="155"/>
      <c r="F406" s="155"/>
      <c r="G406" s="155"/>
      <c r="H406" s="155"/>
      <c r="I406" s="155"/>
      <c r="J406" s="156"/>
      <c r="K406" s="156"/>
      <c r="L406" s="156"/>
      <c r="M406" s="156"/>
    </row>
    <row r="407" spans="1:13" ht="15.75" customHeight="1">
      <c r="A407" s="144"/>
      <c r="B407" s="150" t="s">
        <v>512</v>
      </c>
      <c r="C407" s="177" t="s">
        <v>513</v>
      </c>
      <c r="D407" s="151"/>
      <c r="E407" s="151"/>
      <c r="F407" s="151"/>
      <c r="G407" s="151"/>
      <c r="H407" s="151"/>
      <c r="I407" s="151"/>
      <c r="J407" s="158"/>
      <c r="K407" s="158"/>
      <c r="L407" s="158"/>
      <c r="M407" s="158"/>
    </row>
    <row r="408" spans="1:13" ht="15.75" customHeight="1">
      <c r="A408" s="144"/>
      <c r="B408" s="150"/>
      <c r="C408" s="151" t="s">
        <v>514</v>
      </c>
      <c r="D408" s="151" t="s">
        <v>515</v>
      </c>
      <c r="E408" s="151" t="s">
        <v>461</v>
      </c>
      <c r="F408" s="152">
        <v>170000000</v>
      </c>
      <c r="G408" s="151" t="s">
        <v>457</v>
      </c>
      <c r="H408" s="158">
        <v>1027</v>
      </c>
      <c r="I408" s="151" t="s">
        <v>474</v>
      </c>
      <c r="J408" s="173">
        <v>174590</v>
      </c>
      <c r="K408" s="152">
        <v>10273</v>
      </c>
      <c r="L408" s="171">
        <v>0.19</v>
      </c>
      <c r="M408" s="171">
        <v>0.02</v>
      </c>
    </row>
    <row r="409" spans="1:13" ht="15.75" customHeight="1">
      <c r="A409" s="144"/>
      <c r="B409" s="189"/>
      <c r="C409" s="190"/>
      <c r="D409" s="190"/>
      <c r="E409" s="190"/>
      <c r="F409" s="190"/>
      <c r="G409" s="190"/>
      <c r="H409" s="190"/>
      <c r="I409" s="190"/>
      <c r="J409" s="190"/>
      <c r="K409" s="190"/>
      <c r="L409" s="190"/>
      <c r="M409" s="190"/>
    </row>
    <row r="410" spans="1:13" ht="15.75" customHeight="1">
      <c r="A410" s="144"/>
      <c r="B410" s="144"/>
      <c r="C410" s="144"/>
      <c r="D410" s="144"/>
      <c r="E410" s="144"/>
      <c r="F410" s="144"/>
      <c r="G410" s="144"/>
      <c r="H410" s="144"/>
      <c r="I410" s="144"/>
      <c r="J410" s="144"/>
      <c r="K410" s="144"/>
      <c r="L410" s="144"/>
      <c r="M410" s="144"/>
    </row>
    <row r="411" spans="1:13" ht="15.75" customHeight="1">
      <c r="A411" s="144"/>
      <c r="B411" s="144"/>
      <c r="C411" s="144"/>
      <c r="D411" s="144"/>
      <c r="E411" s="144"/>
      <c r="F411" s="144"/>
      <c r="G411" s="144"/>
      <c r="H411" s="144"/>
      <c r="I411" s="144"/>
      <c r="J411" s="144"/>
      <c r="K411" s="144"/>
      <c r="L411" s="144"/>
      <c r="M411" s="144"/>
    </row>
    <row r="412" spans="1:13" ht="15.75" customHeight="1">
      <c r="A412" s="144"/>
      <c r="B412" s="144"/>
      <c r="C412" s="144"/>
      <c r="D412" s="144"/>
      <c r="E412" s="144"/>
      <c r="F412" s="144"/>
      <c r="G412" s="144"/>
      <c r="H412" s="144"/>
      <c r="I412" s="144"/>
      <c r="J412" s="144"/>
      <c r="K412" s="144"/>
      <c r="L412" s="144"/>
      <c r="M412" s="144"/>
    </row>
    <row r="413" spans="1:13" ht="15.75" customHeight="1">
      <c r="A413" s="144"/>
      <c r="B413" s="144"/>
      <c r="C413" s="144"/>
      <c r="D413" s="144"/>
      <c r="E413" s="144"/>
      <c r="F413" s="226">
        <f>SUM(F308:F412)</f>
        <v>34551382442.54644</v>
      </c>
      <c r="G413" s="144"/>
      <c r="H413" s="144"/>
      <c r="I413" s="144"/>
      <c r="J413" s="191">
        <f t="shared" ref="J413:M413" si="3">SUM(J308:J412)</f>
        <v>444724033.25687599</v>
      </c>
      <c r="K413" s="191">
        <f t="shared" si="3"/>
        <v>3028048.9164035069</v>
      </c>
      <c r="L413" s="191">
        <f t="shared" si="3"/>
        <v>41.069442390613098</v>
      </c>
      <c r="M413" s="191">
        <f t="shared" si="3"/>
        <v>13.040493821734941</v>
      </c>
    </row>
    <row r="414" spans="1:13" ht="15.75" customHeight="1">
      <c r="A414" s="144"/>
      <c r="B414" s="144"/>
      <c r="C414" s="144"/>
      <c r="D414" s="144"/>
      <c r="E414" s="144"/>
      <c r="F414" s="144"/>
      <c r="G414" s="144"/>
      <c r="H414" s="144"/>
      <c r="I414" s="144"/>
      <c r="J414" s="144"/>
      <c r="K414" s="144"/>
      <c r="L414" s="144"/>
      <c r="M414" s="144"/>
    </row>
    <row r="415" spans="1:13" ht="15.75" customHeight="1">
      <c r="A415" s="144"/>
      <c r="B415" s="144"/>
      <c r="C415" s="144"/>
      <c r="D415" s="144"/>
      <c r="E415" s="144"/>
      <c r="F415" s="144"/>
      <c r="G415" s="144"/>
      <c r="H415" s="144"/>
      <c r="I415" s="144"/>
      <c r="J415" s="144"/>
      <c r="K415" s="144"/>
      <c r="L415" s="144"/>
      <c r="M415" s="144"/>
    </row>
    <row r="416" spans="1:13" ht="15.75" customHeight="1">
      <c r="A416" s="144"/>
      <c r="B416" s="144"/>
      <c r="C416" s="144"/>
      <c r="D416" s="144"/>
      <c r="E416" s="144"/>
      <c r="F416" s="144"/>
      <c r="G416" s="144"/>
      <c r="H416" s="144"/>
      <c r="I416" s="144"/>
      <c r="J416" s="144"/>
      <c r="K416" s="144"/>
      <c r="L416" s="144"/>
      <c r="M416" s="144"/>
    </row>
    <row r="417" spans="1:13" ht="15.75" customHeight="1">
      <c r="A417" s="144"/>
      <c r="B417" s="144"/>
      <c r="C417" s="144"/>
      <c r="D417" s="144"/>
      <c r="E417" s="144"/>
      <c r="F417" s="144"/>
      <c r="G417" s="144"/>
      <c r="H417" s="144"/>
      <c r="I417" s="144"/>
      <c r="J417" s="144"/>
      <c r="K417" s="144"/>
      <c r="L417" s="144"/>
      <c r="M417" s="144"/>
    </row>
    <row r="418" spans="1:13" ht="15.75" customHeight="1">
      <c r="A418" s="144"/>
      <c r="B418" s="230" t="s">
        <v>516</v>
      </c>
      <c r="C418" s="231"/>
      <c r="D418" s="1"/>
      <c r="E418" s="1"/>
      <c r="F418" s="1"/>
      <c r="G418" s="1"/>
      <c r="H418" s="1"/>
      <c r="I418" s="144"/>
      <c r="J418" s="144"/>
      <c r="K418" s="144"/>
      <c r="L418" s="144"/>
      <c r="M418" s="144"/>
    </row>
    <row r="419" spans="1:13" ht="15.75" customHeight="1">
      <c r="A419" s="144"/>
      <c r="B419" s="232" t="s">
        <v>517</v>
      </c>
      <c r="C419" s="1"/>
      <c r="D419" s="1"/>
      <c r="E419" s="1"/>
      <c r="F419" s="1"/>
      <c r="G419" s="1"/>
      <c r="H419" s="1"/>
      <c r="I419" s="144"/>
      <c r="J419" s="144"/>
      <c r="K419" s="144"/>
      <c r="L419" s="144"/>
      <c r="M419" s="144"/>
    </row>
    <row r="420" spans="1:13" ht="15.75" customHeight="1">
      <c r="A420" s="144"/>
      <c r="B420" s="134" t="s">
        <v>518</v>
      </c>
      <c r="C420" s="136"/>
      <c r="D420" s="1"/>
      <c r="E420" s="233">
        <v>2017</v>
      </c>
      <c r="F420" s="1"/>
      <c r="G420" s="1"/>
      <c r="H420" s="1"/>
      <c r="I420" s="144"/>
      <c r="J420" s="144"/>
      <c r="K420" s="144"/>
      <c r="L420" s="144"/>
      <c r="M420" s="144"/>
    </row>
    <row r="421" spans="1:13" ht="15.75" customHeight="1">
      <c r="A421" s="144"/>
      <c r="B421" s="1"/>
      <c r="C421" s="1"/>
      <c r="D421" s="1"/>
      <c r="E421" s="1"/>
      <c r="F421" s="1"/>
      <c r="G421" s="1"/>
      <c r="H421" s="1"/>
      <c r="I421" s="144"/>
      <c r="J421" s="144"/>
      <c r="K421" s="144"/>
      <c r="L421" s="144"/>
      <c r="M421" s="144"/>
    </row>
    <row r="422" spans="1:13" ht="15.75" customHeight="1">
      <c r="A422" s="144"/>
      <c r="B422" s="234"/>
      <c r="C422" s="235" t="s">
        <v>519</v>
      </c>
      <c r="D422" s="235" t="s">
        <v>520</v>
      </c>
      <c r="E422" s="235" t="s">
        <v>521</v>
      </c>
      <c r="F422" s="235" t="s">
        <v>522</v>
      </c>
      <c r="G422" s="236" t="s">
        <v>523</v>
      </c>
      <c r="H422" s="1"/>
      <c r="I422" s="2858" t="s">
        <v>0</v>
      </c>
      <c r="J422" s="2859"/>
      <c r="K422" s="144"/>
      <c r="L422" s="144"/>
      <c r="M422" s="144"/>
    </row>
    <row r="423" spans="1:13" ht="15.75" customHeight="1">
      <c r="A423" s="144"/>
      <c r="B423" s="237"/>
      <c r="C423" s="238" t="s">
        <v>188</v>
      </c>
      <c r="D423" s="238" t="s">
        <v>524</v>
      </c>
      <c r="E423" s="238" t="s">
        <v>525</v>
      </c>
      <c r="F423" s="238" t="s">
        <v>526</v>
      </c>
      <c r="G423" s="239" t="s">
        <v>527</v>
      </c>
      <c r="H423" s="1"/>
      <c r="I423" s="240"/>
      <c r="J423" s="241"/>
      <c r="K423" s="144"/>
      <c r="L423" s="144"/>
      <c r="M423" s="144"/>
    </row>
    <row r="424" spans="1:13" ht="15.75" customHeight="1">
      <c r="A424" s="144"/>
      <c r="B424" s="242" t="s">
        <v>194</v>
      </c>
      <c r="C424" s="243">
        <f>J58+Luke!D50</f>
        <v>115817329.50061999</v>
      </c>
      <c r="D424" s="243">
        <f>K58+Luke!E36</f>
        <v>10103713.710864715</v>
      </c>
      <c r="E424" s="244">
        <f t="shared" ref="E424:E427" si="4">D424*0.907184</f>
        <v>9165927.4190770965</v>
      </c>
      <c r="F424" s="245">
        <f t="shared" ref="F424:F428" si="5">E424/1000000</f>
        <v>9.1659274190770965</v>
      </c>
      <c r="G424" s="246">
        <f t="shared" ref="G424:G427" si="6">F424*(12/44)</f>
        <v>2.4997983870210261</v>
      </c>
      <c r="H424" s="1"/>
      <c r="I424" s="240" t="s">
        <v>528</v>
      </c>
      <c r="J424" s="247">
        <f>Summary!E4</f>
        <v>1</v>
      </c>
      <c r="K424" s="144"/>
      <c r="L424" s="144"/>
      <c r="M424" s="144"/>
    </row>
    <row r="425" spans="1:13" ht="15.75" customHeight="1">
      <c r="A425" s="144"/>
      <c r="B425" s="248" t="s">
        <v>529</v>
      </c>
      <c r="C425" s="249">
        <f t="shared" ref="C425:D425" si="7">J252</f>
        <v>1836609.00718</v>
      </c>
      <c r="D425" s="249">
        <f t="shared" si="7"/>
        <v>159907.03683495402</v>
      </c>
      <c r="E425" s="250">
        <f t="shared" si="4"/>
        <v>145065.10530408093</v>
      </c>
      <c r="F425" s="251">
        <f t="shared" si="5"/>
        <v>0.14506510530408093</v>
      </c>
      <c r="G425" s="252">
        <f t="shared" si="6"/>
        <v>3.9563210537476613E-2</v>
      </c>
      <c r="H425" s="1"/>
      <c r="I425" s="240" t="s">
        <v>530</v>
      </c>
      <c r="J425" s="247">
        <f>Summary!E5</f>
        <v>28</v>
      </c>
      <c r="K425" s="144"/>
      <c r="L425" s="144"/>
      <c r="M425" s="144"/>
    </row>
    <row r="426" spans="1:13" ht="15.75" customHeight="1">
      <c r="A426" s="144"/>
      <c r="B426" s="248" t="s">
        <v>531</v>
      </c>
      <c r="C426" s="249">
        <f t="shared" ref="C426:D426" si="8">J300</f>
        <v>220826.63272199992</v>
      </c>
      <c r="D426" s="249">
        <f t="shared" si="8"/>
        <v>3515.2467847431476</v>
      </c>
      <c r="E426" s="250">
        <f t="shared" si="4"/>
        <v>3188.9756391704277</v>
      </c>
      <c r="F426" s="251">
        <f t="shared" si="5"/>
        <v>3.1889756391704277E-3</v>
      </c>
      <c r="G426" s="252">
        <f t="shared" si="6"/>
        <v>8.6972062886466199E-4</v>
      </c>
      <c r="H426" s="1"/>
      <c r="I426" s="240" t="s">
        <v>532</v>
      </c>
      <c r="J426" s="247">
        <f>Summary!E6</f>
        <v>265</v>
      </c>
      <c r="K426" s="144"/>
      <c r="L426" s="144"/>
      <c r="M426" s="144"/>
    </row>
    <row r="427" spans="1:13" ht="15.75" customHeight="1">
      <c r="A427" s="144"/>
      <c r="B427" s="248" t="s">
        <v>456</v>
      </c>
      <c r="C427" s="249">
        <f>J413+Luke!D40</f>
        <v>445980278.45687598</v>
      </c>
      <c r="D427" s="249">
        <f>K413+Luke!E40</f>
        <v>3182740.781846995</v>
      </c>
      <c r="E427" s="250">
        <f t="shared" si="4"/>
        <v>2887331.5134390844</v>
      </c>
      <c r="F427" s="251">
        <f t="shared" si="5"/>
        <v>2.8873315134390842</v>
      </c>
      <c r="G427" s="252">
        <f t="shared" si="6"/>
        <v>0.78745404911975014</v>
      </c>
      <c r="H427" s="1"/>
      <c r="I427" s="240" t="s">
        <v>533</v>
      </c>
      <c r="J427" s="247">
        <f>Summary!E7</f>
        <v>23500</v>
      </c>
      <c r="K427" s="144"/>
      <c r="L427" s="144"/>
      <c r="M427" s="144"/>
    </row>
    <row r="428" spans="1:13" ht="15.75" customHeight="1">
      <c r="A428" s="144"/>
      <c r="B428" s="253" t="s">
        <v>88</v>
      </c>
      <c r="C428" s="254"/>
      <c r="D428" s="255">
        <f t="shared" ref="D428:E428" si="9">SUM(D424:D427)</f>
        <v>13449876.776331406</v>
      </c>
      <c r="E428" s="256">
        <f t="shared" si="9"/>
        <v>12201513.013459433</v>
      </c>
      <c r="F428" s="257">
        <f t="shared" si="5"/>
        <v>12.201513013459433</v>
      </c>
      <c r="G428" s="258">
        <f>SUM(G424:G427)</f>
        <v>3.3276853673071178</v>
      </c>
      <c r="H428" s="1"/>
      <c r="I428" s="259"/>
      <c r="J428" s="260"/>
      <c r="K428" s="144"/>
      <c r="L428" s="144"/>
      <c r="M428" s="144"/>
    </row>
    <row r="429" spans="1:13" ht="15.75" customHeight="1">
      <c r="A429" s="144"/>
      <c r="B429" s="1"/>
      <c r="C429" s="1"/>
      <c r="D429" s="1"/>
      <c r="E429" s="1"/>
      <c r="F429" s="1"/>
      <c r="G429" s="1"/>
      <c r="H429" s="1"/>
      <c r="I429" s="144"/>
      <c r="J429" s="144"/>
      <c r="K429" s="144"/>
      <c r="L429" s="144"/>
      <c r="M429" s="144"/>
    </row>
    <row r="430" spans="1:13" ht="15.75" customHeight="1">
      <c r="A430" s="144"/>
      <c r="B430" s="1"/>
      <c r="C430" s="1"/>
      <c r="D430" s="1"/>
      <c r="E430" s="1"/>
      <c r="F430" s="1"/>
      <c r="G430" s="1"/>
      <c r="H430" s="1"/>
      <c r="I430" s="144"/>
      <c r="J430" s="144"/>
      <c r="K430" s="144"/>
      <c r="L430" s="144"/>
      <c r="M430" s="144"/>
    </row>
    <row r="431" spans="1:13" ht="15.75" customHeight="1">
      <c r="A431" s="144"/>
      <c r="B431" s="230" t="s">
        <v>534</v>
      </c>
      <c r="C431" s="230"/>
      <c r="D431" s="1"/>
      <c r="E431" s="1"/>
      <c r="F431" s="1"/>
      <c r="G431" s="1"/>
      <c r="H431" s="1"/>
      <c r="I431" s="144"/>
      <c r="J431" s="144"/>
      <c r="K431" s="144"/>
      <c r="L431" s="144"/>
      <c r="M431" s="144"/>
    </row>
    <row r="432" spans="1:13" ht="15.75" customHeight="1">
      <c r="A432" s="144"/>
      <c r="B432" s="232" t="s">
        <v>517</v>
      </c>
      <c r="C432" s="1"/>
      <c r="D432" s="1"/>
      <c r="E432" s="1"/>
      <c r="F432" s="1"/>
      <c r="G432" s="1"/>
      <c r="H432" s="1"/>
      <c r="I432" s="144"/>
      <c r="J432" s="144"/>
      <c r="K432" s="144"/>
      <c r="L432" s="144"/>
      <c r="M432" s="144"/>
    </row>
    <row r="433" spans="1:13" ht="15.75" customHeight="1">
      <c r="A433" s="144"/>
      <c r="B433" s="233" t="s">
        <v>535</v>
      </c>
      <c r="C433" s="136"/>
      <c r="D433" s="136"/>
      <c r="E433" s="233">
        <v>2017</v>
      </c>
      <c r="F433" s="136"/>
      <c r="G433" s="136"/>
      <c r="H433" s="1"/>
      <c r="I433" s="144"/>
      <c r="J433" s="144"/>
      <c r="K433" s="144"/>
      <c r="L433" s="144"/>
      <c r="M433" s="144"/>
    </row>
    <row r="434" spans="1:13" ht="15.75" customHeight="1">
      <c r="A434" s="144"/>
      <c r="B434" s="261"/>
      <c r="C434" s="136"/>
      <c r="D434" s="136"/>
      <c r="E434" s="261"/>
      <c r="F434" s="136"/>
      <c r="G434" s="136"/>
      <c r="H434" s="1"/>
      <c r="I434" s="144"/>
      <c r="J434" s="144"/>
      <c r="K434" s="144"/>
      <c r="L434" s="144"/>
      <c r="M434" s="144"/>
    </row>
    <row r="435" spans="1:13" ht="15.75" customHeight="1">
      <c r="A435" s="144"/>
      <c r="B435" s="262"/>
      <c r="C435" s="263" t="s">
        <v>519</v>
      </c>
      <c r="D435" s="263" t="s">
        <v>536</v>
      </c>
      <c r="E435" s="263" t="s">
        <v>536</v>
      </c>
      <c r="F435" s="264" t="s">
        <v>537</v>
      </c>
      <c r="G435" s="265" t="s">
        <v>536</v>
      </c>
      <c r="H435" s="1"/>
      <c r="I435" s="144"/>
      <c r="J435" s="144"/>
      <c r="K435" s="144"/>
      <c r="L435" s="144"/>
      <c r="M435" s="144"/>
    </row>
    <row r="436" spans="1:13" ht="15.75" customHeight="1">
      <c r="A436" s="144"/>
      <c r="B436" s="266" t="s">
        <v>177</v>
      </c>
      <c r="C436" s="267" t="s">
        <v>538</v>
      </c>
      <c r="D436" s="268" t="s">
        <v>539</v>
      </c>
      <c r="E436" s="269" t="s">
        <v>540</v>
      </c>
      <c r="F436" s="267"/>
      <c r="G436" s="270" t="s">
        <v>541</v>
      </c>
      <c r="H436" s="1"/>
      <c r="I436" s="144"/>
      <c r="J436" s="144"/>
      <c r="K436" s="144"/>
      <c r="L436" s="144"/>
      <c r="M436" s="144"/>
    </row>
    <row r="437" spans="1:13" ht="15.75" customHeight="1">
      <c r="A437" s="144"/>
      <c r="B437" s="271" t="s">
        <v>194</v>
      </c>
      <c r="C437" s="272">
        <f t="shared" ref="C437:C440" si="10">C424/1000</f>
        <v>115817.32950061999</v>
      </c>
      <c r="D437" s="273">
        <f>L58+Luke!E50</f>
        <v>1155.6214864614676</v>
      </c>
      <c r="E437" s="274">
        <f t="shared" ref="E437:E440" si="11">D437*0.907441</f>
        <v>1048.6583172960807</v>
      </c>
      <c r="F437" s="275">
        <f t="shared" ref="F437:F440" si="12">$J$425</f>
        <v>28</v>
      </c>
      <c r="G437" s="276">
        <f t="shared" ref="G437:G440" si="13">(E437*F437)/1000000</f>
        <v>2.9362432884290256E-2</v>
      </c>
      <c r="H437" s="1"/>
      <c r="I437" s="144"/>
      <c r="J437" s="144"/>
      <c r="K437" s="144"/>
      <c r="L437" s="144"/>
      <c r="M437" s="144"/>
    </row>
    <row r="438" spans="1:13" ht="15.75" customHeight="1">
      <c r="A438" s="144"/>
      <c r="B438" s="248" t="s">
        <v>529</v>
      </c>
      <c r="C438" s="277">
        <f t="shared" si="10"/>
        <v>1836.6090071799999</v>
      </c>
      <c r="D438" s="278">
        <f>L252</f>
        <v>19.216284754966193</v>
      </c>
      <c r="E438" s="279">
        <f t="shared" si="11"/>
        <v>17.43764465433128</v>
      </c>
      <c r="F438" s="275">
        <f t="shared" si="12"/>
        <v>28</v>
      </c>
      <c r="G438" s="280">
        <f t="shared" si="13"/>
        <v>4.8825405032127582E-4</v>
      </c>
      <c r="H438" s="1"/>
      <c r="I438" s="144"/>
      <c r="J438" s="144"/>
      <c r="K438" s="144"/>
      <c r="L438" s="144"/>
      <c r="M438" s="144"/>
    </row>
    <row r="439" spans="1:13" ht="15.75" customHeight="1">
      <c r="A439" s="144"/>
      <c r="B439" s="248" t="s">
        <v>531</v>
      </c>
      <c r="C439" s="277">
        <f t="shared" si="10"/>
        <v>220.82663272199991</v>
      </c>
      <c r="D439" s="278">
        <f>L300</f>
        <v>0.72324055529709974</v>
      </c>
      <c r="E439" s="279">
        <f t="shared" si="11"/>
        <v>0.65629813273935556</v>
      </c>
      <c r="F439" s="275">
        <f t="shared" si="12"/>
        <v>28</v>
      </c>
      <c r="G439" s="280">
        <f t="shared" si="13"/>
        <v>1.8376347716701957E-5</v>
      </c>
      <c r="H439" s="1"/>
      <c r="I439" s="144"/>
      <c r="J439" s="144"/>
      <c r="K439" s="144"/>
      <c r="L439" s="144"/>
      <c r="M439" s="144"/>
    </row>
    <row r="440" spans="1:13" ht="15.75" customHeight="1">
      <c r="A440" s="144"/>
      <c r="B440" s="248" t="s">
        <v>456</v>
      </c>
      <c r="C440" s="277">
        <f t="shared" si="10"/>
        <v>445980.278456876</v>
      </c>
      <c r="D440" s="278">
        <f>L413+Luke!E54</f>
        <v>53.185005856541451</v>
      </c>
      <c r="E440" s="279">
        <f t="shared" si="11"/>
        <v>48.262254899465837</v>
      </c>
      <c r="F440" s="275">
        <f t="shared" si="12"/>
        <v>28</v>
      </c>
      <c r="G440" s="280">
        <f t="shared" si="13"/>
        <v>1.3513431371850433E-3</v>
      </c>
      <c r="H440" s="1"/>
      <c r="I440" s="144"/>
      <c r="J440" s="144"/>
      <c r="K440" s="144"/>
      <c r="L440" s="144"/>
      <c r="M440" s="144"/>
    </row>
    <row r="441" spans="1:13" ht="15.75" customHeight="1">
      <c r="A441" s="144"/>
      <c r="B441" s="281" t="s">
        <v>88</v>
      </c>
      <c r="C441" s="254"/>
      <c r="D441" s="282">
        <f>SUM(D437:D440)</f>
        <v>1228.7460176282723</v>
      </c>
      <c r="E441" s="254"/>
      <c r="F441" s="254" t="s">
        <v>88</v>
      </c>
      <c r="G441" s="283">
        <f>SUM(G437:G440)</f>
        <v>3.1220406419513277E-2</v>
      </c>
      <c r="H441" s="1"/>
      <c r="I441" s="144"/>
      <c r="J441" s="144"/>
      <c r="K441" s="144"/>
      <c r="L441" s="144"/>
      <c r="M441" s="144"/>
    </row>
    <row r="442" spans="1:13" ht="15.75" customHeight="1">
      <c r="A442" s="144"/>
      <c r="B442" s="1"/>
      <c r="C442" s="1"/>
      <c r="D442" s="1"/>
      <c r="E442" s="1"/>
      <c r="F442" s="1"/>
      <c r="G442" s="1"/>
      <c r="H442" s="1"/>
      <c r="I442" s="144"/>
      <c r="J442" s="144"/>
      <c r="K442" s="144"/>
      <c r="L442" s="144"/>
      <c r="M442" s="144"/>
    </row>
    <row r="443" spans="1:13" ht="15.75" customHeight="1">
      <c r="A443" s="144"/>
      <c r="B443" s="284" t="s">
        <v>542</v>
      </c>
      <c r="C443" s="285"/>
      <c r="D443" s="1"/>
      <c r="E443" s="1"/>
      <c r="F443" s="1"/>
      <c r="G443" s="1"/>
      <c r="H443" s="1"/>
      <c r="I443" s="144"/>
      <c r="J443" s="144"/>
      <c r="K443" s="144"/>
      <c r="L443" s="144"/>
      <c r="M443" s="144"/>
    </row>
    <row r="444" spans="1:13" ht="15.75" customHeight="1">
      <c r="A444" s="144"/>
      <c r="B444" s="232" t="s">
        <v>543</v>
      </c>
      <c r="C444" s="1"/>
      <c r="D444" s="1"/>
      <c r="E444" s="1"/>
      <c r="F444" s="1"/>
      <c r="G444" s="1"/>
      <c r="H444" s="1"/>
      <c r="I444" s="144"/>
      <c r="J444" s="144"/>
      <c r="K444" s="144"/>
      <c r="L444" s="144"/>
      <c r="M444" s="144"/>
    </row>
    <row r="445" spans="1:13" ht="15.75" customHeight="1">
      <c r="A445" s="144"/>
      <c r="B445" s="134" t="s">
        <v>544</v>
      </c>
      <c r="C445" s="136"/>
      <c r="D445" s="136"/>
      <c r="E445" s="233">
        <v>2017</v>
      </c>
      <c r="F445" s="136"/>
      <c r="G445" s="136"/>
      <c r="H445" s="1"/>
      <c r="I445" s="144"/>
      <c r="J445" s="144"/>
      <c r="K445" s="144"/>
      <c r="L445" s="144"/>
      <c r="M445" s="144"/>
    </row>
    <row r="446" spans="1:13" ht="15.75" customHeight="1">
      <c r="A446" s="144"/>
      <c r="B446" s="286"/>
      <c r="C446" s="136"/>
      <c r="D446" s="136"/>
      <c r="E446" s="261"/>
      <c r="F446" s="136"/>
      <c r="G446" s="136"/>
      <c r="H446" s="1"/>
      <c r="I446" s="144"/>
      <c r="J446" s="144"/>
      <c r="K446" s="144"/>
      <c r="L446" s="144"/>
      <c r="M446" s="144"/>
    </row>
    <row r="447" spans="1:13" ht="15.75" customHeight="1">
      <c r="A447" s="144"/>
      <c r="B447" s="242"/>
      <c r="C447" s="287" t="s">
        <v>519</v>
      </c>
      <c r="D447" s="288" t="s">
        <v>545</v>
      </c>
      <c r="E447" s="288" t="s">
        <v>545</v>
      </c>
      <c r="F447" s="287" t="s">
        <v>537</v>
      </c>
      <c r="G447" s="289" t="s">
        <v>536</v>
      </c>
      <c r="H447" s="1"/>
      <c r="I447" s="144"/>
      <c r="J447" s="144"/>
      <c r="K447" s="144"/>
      <c r="L447" s="144"/>
      <c r="M447" s="144"/>
    </row>
    <row r="448" spans="1:13" ht="15.75" customHeight="1">
      <c r="A448" s="144"/>
      <c r="B448" s="266" t="s">
        <v>177</v>
      </c>
      <c r="C448" s="290" t="s">
        <v>538</v>
      </c>
      <c r="D448" s="268" t="s">
        <v>546</v>
      </c>
      <c r="E448" s="268" t="s">
        <v>547</v>
      </c>
      <c r="F448" s="290"/>
      <c r="G448" s="270" t="s">
        <v>548</v>
      </c>
      <c r="H448" s="1"/>
      <c r="I448" s="144"/>
      <c r="J448" s="144"/>
      <c r="K448" s="144"/>
      <c r="L448" s="144"/>
      <c r="M448" s="144"/>
    </row>
    <row r="449" spans="1:13" ht="15.75" customHeight="1">
      <c r="A449" s="144"/>
      <c r="B449" s="271" t="s">
        <v>194</v>
      </c>
      <c r="C449" s="291">
        <f t="shared" ref="C449:C452" si="14">C424/1000</f>
        <v>115817.32950061999</v>
      </c>
      <c r="D449" s="292">
        <f>M58+Luke!E63</f>
        <v>173.06759294353444</v>
      </c>
      <c r="E449" s="293">
        <f t="shared" ref="E449:E452" si="15">D449*0.907441</f>
        <v>157.04862960827384</v>
      </c>
      <c r="F449" s="275">
        <f t="shared" ref="F449:F452" si="16">$J$426</f>
        <v>265</v>
      </c>
      <c r="G449" s="276">
        <f t="shared" ref="G449:G452" si="17">E449*F449/1000000</f>
        <v>4.1617886846192567E-2</v>
      </c>
      <c r="H449" s="1"/>
      <c r="I449" s="144"/>
      <c r="J449" s="144"/>
      <c r="K449" s="144"/>
      <c r="L449" s="144"/>
      <c r="M449" s="144"/>
    </row>
    <row r="450" spans="1:13" ht="15.75" customHeight="1">
      <c r="A450" s="144"/>
      <c r="B450" s="248" t="s">
        <v>529</v>
      </c>
      <c r="C450" s="294">
        <f t="shared" si="14"/>
        <v>1836.6090071799999</v>
      </c>
      <c r="D450" s="251">
        <f>M252</f>
        <v>1.2236940435383052</v>
      </c>
      <c r="E450" s="295">
        <f t="shared" si="15"/>
        <v>1.1104301465624433</v>
      </c>
      <c r="F450" s="275">
        <f t="shared" si="16"/>
        <v>265</v>
      </c>
      <c r="G450" s="280">
        <f t="shared" si="17"/>
        <v>2.9426398883904749E-4</v>
      </c>
      <c r="H450" s="1"/>
      <c r="I450" s="144"/>
      <c r="J450" s="144"/>
      <c r="K450" s="144"/>
      <c r="L450" s="144"/>
      <c r="M450" s="144"/>
    </row>
    <row r="451" spans="1:13" ht="15.75" customHeight="1">
      <c r="A451" s="144"/>
      <c r="B451" s="248" t="s">
        <v>531</v>
      </c>
      <c r="C451" s="294">
        <f t="shared" si="14"/>
        <v>220.82663272199991</v>
      </c>
      <c r="D451" s="251">
        <f>M300</f>
        <v>0.12043302501759111</v>
      </c>
      <c r="E451" s="295">
        <f t="shared" si="15"/>
        <v>0.10928586465498789</v>
      </c>
      <c r="F451" s="275">
        <f t="shared" si="16"/>
        <v>265</v>
      </c>
      <c r="G451" s="280">
        <f t="shared" si="17"/>
        <v>2.8960754133571793E-5</v>
      </c>
      <c r="H451" s="1"/>
      <c r="I451" s="144"/>
      <c r="J451" s="144"/>
      <c r="K451" s="144"/>
      <c r="L451" s="144"/>
      <c r="M451" s="144"/>
    </row>
    <row r="452" spans="1:13" ht="15.75" customHeight="1">
      <c r="A452" s="144"/>
      <c r="B452" s="248" t="s">
        <v>456</v>
      </c>
      <c r="C452" s="294">
        <f t="shared" si="14"/>
        <v>445980.278456876</v>
      </c>
      <c r="D452" s="251">
        <f>M413+Luke!E67</f>
        <v>14.789294270002884</v>
      </c>
      <c r="E452" s="295">
        <f t="shared" si="15"/>
        <v>13.420411981665687</v>
      </c>
      <c r="F452" s="275">
        <f t="shared" si="16"/>
        <v>265</v>
      </c>
      <c r="G452" s="280">
        <f t="shared" si="17"/>
        <v>3.556409175141407E-3</v>
      </c>
      <c r="H452" s="1"/>
      <c r="I452" s="144"/>
      <c r="J452" s="144"/>
      <c r="K452" s="144"/>
      <c r="L452" s="144"/>
      <c r="M452" s="144"/>
    </row>
    <row r="453" spans="1:13" ht="15.75" customHeight="1">
      <c r="A453" s="144"/>
      <c r="B453" s="253" t="s">
        <v>88</v>
      </c>
      <c r="C453" s="254"/>
      <c r="D453" s="296">
        <f>SUM(D449:D452)</f>
        <v>189.20101428209324</v>
      </c>
      <c r="E453" s="254"/>
      <c r="F453" s="254"/>
      <c r="G453" s="297">
        <f>SUM(G449:G452)</f>
        <v>4.549752076430659E-2</v>
      </c>
      <c r="H453" s="1"/>
      <c r="I453" s="144"/>
      <c r="J453" s="144"/>
      <c r="K453" s="144"/>
      <c r="L453" s="144"/>
      <c r="M453" s="144"/>
    </row>
    <row r="454" spans="1:13" ht="15.75" customHeight="1">
      <c r="A454" s="144"/>
      <c r="B454" s="1"/>
      <c r="C454" s="136"/>
      <c r="D454" s="136"/>
      <c r="E454" s="136"/>
      <c r="F454" s="298"/>
      <c r="G454" s="299"/>
      <c r="H454" s="1"/>
      <c r="I454" s="144"/>
      <c r="J454" s="144"/>
      <c r="K454" s="144"/>
      <c r="L454" s="144"/>
      <c r="M454" s="144"/>
    </row>
    <row r="455" spans="1:13" ht="15.75" customHeight="1">
      <c r="A455" s="144"/>
      <c r="B455" s="1"/>
      <c r="C455" s="1"/>
      <c r="D455" s="1"/>
      <c r="E455" s="1"/>
      <c r="F455" s="1"/>
      <c r="G455" s="1"/>
      <c r="H455" s="1"/>
      <c r="I455" s="144"/>
      <c r="J455" s="144"/>
      <c r="K455" s="144"/>
      <c r="L455" s="144"/>
      <c r="M455" s="144"/>
    </row>
    <row r="456" spans="1:13" ht="15.75" customHeight="1">
      <c r="A456" s="144"/>
      <c r="B456" s="232" t="s">
        <v>549</v>
      </c>
      <c r="C456" s="136"/>
      <c r="D456" s="136"/>
      <c r="E456" s="136"/>
      <c r="F456" s="298"/>
      <c r="G456" s="299"/>
      <c r="H456" s="1"/>
      <c r="I456" s="144"/>
      <c r="J456" s="144"/>
      <c r="K456" s="144"/>
      <c r="L456" s="144"/>
      <c r="M456" s="144"/>
    </row>
    <row r="457" spans="1:13" ht="15.75" customHeight="1">
      <c r="A457" s="144"/>
      <c r="B457" s="232" t="s">
        <v>543</v>
      </c>
      <c r="C457" s="1"/>
      <c r="D457" s="1"/>
      <c r="E457" s="1"/>
      <c r="F457" s="1"/>
      <c r="G457" s="1"/>
      <c r="H457" s="1"/>
      <c r="I457" s="144"/>
      <c r="J457" s="144"/>
      <c r="K457" s="144"/>
      <c r="L457" s="144"/>
      <c r="M457" s="144"/>
    </row>
    <row r="458" spans="1:13" ht="15.75" customHeight="1">
      <c r="A458" s="144"/>
      <c r="B458" s="134" t="s">
        <v>550</v>
      </c>
      <c r="C458" s="136"/>
      <c r="D458" s="136"/>
      <c r="E458" s="233">
        <v>2017</v>
      </c>
      <c r="F458" s="136"/>
      <c r="G458" s="136"/>
      <c r="H458" s="1"/>
      <c r="I458" s="144"/>
      <c r="J458" s="144"/>
      <c r="K458" s="144"/>
      <c r="L458" s="144"/>
      <c r="M458" s="144"/>
    </row>
    <row r="459" spans="1:13" ht="15.75" customHeight="1">
      <c r="A459" s="144"/>
      <c r="B459" s="1"/>
      <c r="C459" s="1"/>
      <c r="D459" s="1"/>
      <c r="E459" s="1"/>
      <c r="F459" s="1"/>
      <c r="G459" s="1"/>
      <c r="H459" s="1"/>
      <c r="I459" s="144"/>
      <c r="J459" s="144"/>
      <c r="K459" s="144"/>
      <c r="L459" s="144"/>
      <c r="M459" s="144"/>
    </row>
    <row r="460" spans="1:13" ht="15.75" customHeight="1">
      <c r="A460" s="144"/>
      <c r="B460" s="242"/>
      <c r="C460" s="300"/>
      <c r="D460" s="301" t="s">
        <v>536</v>
      </c>
      <c r="E460" s="301" t="s">
        <v>536</v>
      </c>
      <c r="F460" s="301" t="s">
        <v>536</v>
      </c>
      <c r="G460" s="302" t="s">
        <v>536</v>
      </c>
      <c r="H460" s="1"/>
      <c r="I460" s="144"/>
      <c r="J460" s="144"/>
      <c r="K460" s="144"/>
      <c r="L460" s="144"/>
      <c r="M460" s="144"/>
    </row>
    <row r="461" spans="1:13" ht="15.75" customHeight="1">
      <c r="A461" s="144"/>
      <c r="B461" s="248"/>
      <c r="C461" s="303" t="s">
        <v>519</v>
      </c>
      <c r="D461" s="304" t="s">
        <v>551</v>
      </c>
      <c r="E461" s="304" t="s">
        <v>552</v>
      </c>
      <c r="F461" s="304" t="s">
        <v>553</v>
      </c>
      <c r="G461" s="305" t="s">
        <v>88</v>
      </c>
      <c r="H461" s="1"/>
      <c r="I461" s="144"/>
      <c r="J461" s="144"/>
      <c r="K461" s="144"/>
      <c r="L461" s="144"/>
      <c r="M461" s="144"/>
    </row>
    <row r="462" spans="1:13" ht="15.75" customHeight="1">
      <c r="A462" s="144"/>
      <c r="B462" s="306" t="s">
        <v>177</v>
      </c>
      <c r="C462" s="267" t="s">
        <v>538</v>
      </c>
      <c r="D462" s="307" t="s">
        <v>554</v>
      </c>
      <c r="E462" s="307" t="s">
        <v>555</v>
      </c>
      <c r="F462" s="307" t="s">
        <v>556</v>
      </c>
      <c r="G462" s="308" t="s">
        <v>557</v>
      </c>
      <c r="H462" s="1"/>
      <c r="I462" s="144"/>
      <c r="J462" s="144"/>
      <c r="K462" s="144"/>
      <c r="L462" s="144"/>
      <c r="M462" s="144"/>
    </row>
    <row r="463" spans="1:13" ht="15.75" customHeight="1">
      <c r="A463" s="144"/>
      <c r="B463" s="271" t="s">
        <v>194</v>
      </c>
      <c r="C463" s="292">
        <f t="shared" ref="C463:C466" si="18">C449</f>
        <v>115817.32950061999</v>
      </c>
      <c r="D463" s="293">
        <f t="shared" ref="D463:D466" si="19">F424</f>
        <v>9.1659274190770965</v>
      </c>
      <c r="E463" s="274">
        <f t="shared" ref="E463:E466" si="20">G449</f>
        <v>4.1617886846192567E-2</v>
      </c>
      <c r="F463" s="274">
        <f t="shared" ref="F463:F466" si="21">G437</f>
        <v>2.9362432884290256E-2</v>
      </c>
      <c r="G463" s="309">
        <f t="shared" ref="G463:G466" si="22">D463+E463+F463</f>
        <v>9.2369077388075809</v>
      </c>
      <c r="H463" s="1"/>
      <c r="I463" s="144"/>
      <c r="J463" s="144"/>
      <c r="K463" s="144"/>
      <c r="L463" s="144"/>
      <c r="M463" s="144"/>
    </row>
    <row r="464" spans="1:13" ht="15.75" customHeight="1">
      <c r="A464" s="144"/>
      <c r="B464" s="248" t="s">
        <v>529</v>
      </c>
      <c r="C464" s="251">
        <f t="shared" si="18"/>
        <v>1836.6090071799999</v>
      </c>
      <c r="D464" s="295">
        <f t="shared" si="19"/>
        <v>0.14506510530408093</v>
      </c>
      <c r="E464" s="279">
        <f t="shared" si="20"/>
        <v>2.9426398883904749E-4</v>
      </c>
      <c r="F464" s="279">
        <f t="shared" si="21"/>
        <v>4.8825405032127582E-4</v>
      </c>
      <c r="G464" s="310">
        <f t="shared" si="22"/>
        <v>0.14584762334324125</v>
      </c>
      <c r="H464" s="1"/>
      <c r="I464" s="144"/>
      <c r="J464" s="144"/>
      <c r="K464" s="144"/>
      <c r="L464" s="144"/>
      <c r="M464" s="144"/>
    </row>
    <row r="465" spans="1:13" ht="15.75" customHeight="1">
      <c r="A465" s="144"/>
      <c r="B465" s="248" t="s">
        <v>531</v>
      </c>
      <c r="C465" s="251">
        <f t="shared" si="18"/>
        <v>220.82663272199991</v>
      </c>
      <c r="D465" s="295">
        <f t="shared" si="19"/>
        <v>3.1889756391704277E-3</v>
      </c>
      <c r="E465" s="279">
        <f t="shared" si="20"/>
        <v>2.8960754133571793E-5</v>
      </c>
      <c r="F465" s="279">
        <f t="shared" si="21"/>
        <v>1.8376347716701957E-5</v>
      </c>
      <c r="G465" s="310">
        <f t="shared" si="22"/>
        <v>3.2363127410207013E-3</v>
      </c>
      <c r="H465" s="1"/>
      <c r="I465" s="144"/>
      <c r="J465" s="144"/>
      <c r="K465" s="144"/>
      <c r="L465" s="144"/>
      <c r="M465" s="144"/>
    </row>
    <row r="466" spans="1:13" ht="15.75" customHeight="1">
      <c r="A466" s="144"/>
      <c r="B466" s="248" t="s">
        <v>456</v>
      </c>
      <c r="C466" s="251">
        <f t="shared" si="18"/>
        <v>445980.278456876</v>
      </c>
      <c r="D466" s="295">
        <f t="shared" si="19"/>
        <v>2.8873315134390842</v>
      </c>
      <c r="E466" s="279">
        <f t="shared" si="20"/>
        <v>3.556409175141407E-3</v>
      </c>
      <c r="F466" s="279">
        <f t="shared" si="21"/>
        <v>1.3513431371850433E-3</v>
      </c>
      <c r="G466" s="310">
        <f t="shared" si="22"/>
        <v>2.8922392657514107</v>
      </c>
      <c r="H466" s="1"/>
      <c r="I466" s="144"/>
      <c r="J466" s="144"/>
      <c r="K466" s="144"/>
      <c r="L466" s="144"/>
      <c r="M466" s="144"/>
    </row>
    <row r="467" spans="1:13" ht="15.75" customHeight="1">
      <c r="A467" s="144"/>
      <c r="B467" s="311" t="s">
        <v>88</v>
      </c>
      <c r="C467" s="312"/>
      <c r="D467" s="313">
        <f t="shared" ref="D467:F467" si="23">SUM(D463:D466)</f>
        <v>12.201513013459433</v>
      </c>
      <c r="E467" s="313">
        <f t="shared" si="23"/>
        <v>4.549752076430659E-2</v>
      </c>
      <c r="F467" s="313">
        <f t="shared" si="23"/>
        <v>3.1220406419513277E-2</v>
      </c>
      <c r="G467" s="314">
        <f>SUM(D467:F467)</f>
        <v>12.278230940643253</v>
      </c>
      <c r="H467" s="1"/>
      <c r="I467" s="144"/>
      <c r="J467" s="144"/>
      <c r="K467" s="144"/>
      <c r="L467" s="144"/>
      <c r="M467" s="144"/>
    </row>
    <row r="468" spans="1:13" ht="15.75" customHeight="1">
      <c r="A468" s="144"/>
      <c r="B468" s="1"/>
      <c r="C468" s="1"/>
      <c r="D468" s="1"/>
      <c r="E468" s="1"/>
      <c r="F468" s="1"/>
      <c r="G468" s="1"/>
      <c r="H468" s="1"/>
      <c r="I468" s="144"/>
      <c r="J468" s="144"/>
      <c r="K468" s="144"/>
      <c r="L468" s="144"/>
      <c r="M468" s="144"/>
    </row>
    <row r="469" spans="1:13" ht="15.75" customHeight="1">
      <c r="A469" s="144"/>
      <c r="B469" s="144"/>
      <c r="C469" s="144"/>
      <c r="D469" s="144"/>
      <c r="E469" s="144"/>
      <c r="F469" s="144"/>
      <c r="G469" s="144"/>
      <c r="H469" s="144"/>
      <c r="I469" s="144"/>
      <c r="J469" s="144"/>
      <c r="K469" s="144"/>
      <c r="L469" s="144"/>
      <c r="M469" s="144"/>
    </row>
    <row r="470" spans="1:13" ht="15.75" customHeight="1">
      <c r="A470" s="144"/>
      <c r="B470" s="144"/>
      <c r="C470" s="144"/>
      <c r="D470" s="144"/>
      <c r="E470" s="144"/>
      <c r="F470" s="144"/>
      <c r="G470" s="144"/>
      <c r="H470" s="144"/>
      <c r="I470" s="144"/>
      <c r="J470" s="144"/>
      <c r="K470" s="144"/>
      <c r="L470" s="144"/>
      <c r="M470" s="144"/>
    </row>
    <row r="471" spans="1:13" ht="15.75" customHeight="1">
      <c r="A471" s="144"/>
      <c r="B471" s="144"/>
      <c r="C471" s="144"/>
      <c r="D471" s="144"/>
      <c r="E471" s="144"/>
      <c r="F471" s="144"/>
      <c r="G471" s="144"/>
      <c r="H471" s="144"/>
      <c r="I471" s="144"/>
      <c r="J471" s="144"/>
      <c r="K471" s="144"/>
      <c r="L471" s="144"/>
      <c r="M471" s="144"/>
    </row>
    <row r="472" spans="1:13" ht="15.75" customHeight="1"/>
    <row r="473" spans="1:13" ht="15.75" customHeight="1"/>
    <row r="474" spans="1:13" ht="15.75" customHeight="1"/>
    <row r="475" spans="1:13" ht="15.75" customHeight="1"/>
    <row r="476" spans="1:13" ht="15.75" customHeight="1"/>
    <row r="477" spans="1:13" ht="15.75" customHeight="1"/>
    <row r="478" spans="1:13" ht="15.75" customHeight="1"/>
    <row r="479" spans="1:13" ht="15.75" customHeight="1"/>
    <row r="480" spans="1:13"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I422:J422"/>
  </mergeCells>
  <pageMargins left="0.75" right="0.36" top="0.54" bottom="0.48" header="0" footer="0"/>
  <pageSetup orientation="portrait"/>
  <rowBreaks count="2" manualBreakCount="2">
    <brk id="323" man="1"/>
    <brk id="415" man="1"/>
  </rowBreaks>
  <colBreaks count="1" manualBreakCount="1">
    <brk id="8" man="1"/>
  </colBreaks>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Z1002"/>
  <sheetViews>
    <sheetView workbookViewId="0"/>
  </sheetViews>
  <sheetFormatPr defaultColWidth="16.85546875" defaultRowHeight="15" customHeight="1"/>
  <sheetData>
    <row r="1" spans="1:26" ht="15" customHeight="1">
      <c r="A1" s="6"/>
      <c r="B1" s="6"/>
      <c r="C1" s="6"/>
      <c r="D1" s="6"/>
      <c r="E1" s="6"/>
      <c r="F1" s="6"/>
      <c r="G1" s="6"/>
      <c r="H1" s="6"/>
      <c r="I1" s="6"/>
      <c r="J1" s="6"/>
      <c r="K1" s="6"/>
      <c r="L1" s="6"/>
      <c r="M1" s="6"/>
      <c r="N1" s="6"/>
      <c r="O1" s="6"/>
      <c r="P1" s="6"/>
      <c r="Q1" s="6"/>
      <c r="R1" s="6"/>
      <c r="S1" s="6"/>
      <c r="T1" s="6"/>
      <c r="U1" s="6"/>
      <c r="V1" s="6"/>
      <c r="W1" s="6"/>
      <c r="X1" s="6"/>
      <c r="Y1" s="6"/>
      <c r="Z1" s="6"/>
    </row>
    <row r="2" spans="1:26" ht="15" customHeight="1">
      <c r="A2" s="6"/>
      <c r="B2" s="6"/>
      <c r="C2" s="6"/>
      <c r="D2" s="6"/>
      <c r="E2" s="6"/>
      <c r="F2" s="6"/>
      <c r="G2" s="6"/>
      <c r="H2" s="6"/>
      <c r="I2" s="6"/>
      <c r="J2" s="6"/>
      <c r="K2" s="6"/>
      <c r="L2" s="6"/>
      <c r="M2" s="6"/>
      <c r="N2" s="6"/>
      <c r="O2" s="6"/>
      <c r="P2" s="6"/>
      <c r="Q2" s="6"/>
      <c r="R2" s="6"/>
      <c r="S2" s="6"/>
      <c r="T2" s="6"/>
      <c r="U2" s="6"/>
      <c r="V2" s="6"/>
      <c r="W2" s="6"/>
      <c r="X2" s="6"/>
      <c r="Y2" s="6"/>
      <c r="Z2" s="6"/>
    </row>
    <row r="3" spans="1:26" ht="15" customHeight="1">
      <c r="A3" s="6"/>
      <c r="B3" s="20"/>
      <c r="C3" s="20"/>
      <c r="D3" s="20"/>
      <c r="E3" s="20"/>
      <c r="F3" s="20"/>
      <c r="G3" s="6"/>
      <c r="H3" s="6"/>
      <c r="I3" s="6"/>
      <c r="J3" s="6"/>
      <c r="K3" s="6"/>
      <c r="L3" s="6"/>
      <c r="M3" s="6"/>
      <c r="N3" s="6"/>
      <c r="O3" s="6"/>
      <c r="P3" s="6"/>
      <c r="Q3" s="6"/>
      <c r="R3" s="6"/>
      <c r="S3" s="6"/>
      <c r="T3" s="6"/>
      <c r="U3" s="6"/>
      <c r="V3" s="6"/>
      <c r="W3" s="6"/>
      <c r="X3" s="6"/>
      <c r="Y3" s="6"/>
      <c r="Z3" s="6"/>
    </row>
    <row r="4" spans="1:26" ht="15" customHeight="1">
      <c r="A4" s="6"/>
      <c r="B4" s="2762" t="s">
        <v>2056</v>
      </c>
      <c r="C4" s="2763"/>
      <c r="D4" s="2763"/>
      <c r="E4" s="2763"/>
      <c r="F4" s="2764"/>
      <c r="G4" s="2632"/>
      <c r="H4" s="6"/>
      <c r="I4" s="6"/>
      <c r="J4" s="6"/>
      <c r="K4" s="6"/>
      <c r="L4" s="6"/>
      <c r="M4" s="6"/>
      <c r="N4" s="6"/>
      <c r="O4" s="6"/>
      <c r="P4" s="6"/>
      <c r="Q4" s="6"/>
      <c r="R4" s="6"/>
      <c r="S4" s="6"/>
      <c r="T4" s="6"/>
      <c r="U4" s="6"/>
      <c r="V4" s="6"/>
      <c r="W4" s="6"/>
      <c r="X4" s="6"/>
      <c r="Y4" s="6"/>
      <c r="Z4" s="6"/>
    </row>
    <row r="5" spans="1:26" ht="15" customHeight="1">
      <c r="A5" s="6"/>
      <c r="B5" s="2153"/>
      <c r="C5" s="2153"/>
      <c r="D5" s="2153"/>
      <c r="E5" s="2153"/>
      <c r="F5" s="2153"/>
      <c r="G5" s="2153"/>
      <c r="H5" s="6"/>
      <c r="I5" s="6"/>
      <c r="J5" s="6"/>
      <c r="K5" s="6"/>
      <c r="L5" s="6"/>
      <c r="M5" s="6"/>
      <c r="N5" s="6"/>
      <c r="O5" s="6"/>
      <c r="P5" s="6"/>
      <c r="Q5" s="6"/>
      <c r="R5" s="6"/>
      <c r="S5" s="6"/>
      <c r="T5" s="6"/>
      <c r="U5" s="6"/>
      <c r="V5" s="6"/>
      <c r="W5" s="6"/>
      <c r="X5" s="6"/>
      <c r="Y5" s="6"/>
      <c r="Z5" s="6"/>
    </row>
    <row r="6" spans="1:26" ht="15" customHeight="1">
      <c r="A6" s="6"/>
      <c r="B6" s="2765" t="s">
        <v>52</v>
      </c>
      <c r="C6" s="2766"/>
      <c r="D6" s="2765" t="s">
        <v>2057</v>
      </c>
      <c r="E6" s="2765" t="s">
        <v>1124</v>
      </c>
      <c r="F6" s="2765" t="s">
        <v>2058</v>
      </c>
      <c r="G6" s="2765" t="s">
        <v>2058</v>
      </c>
      <c r="H6" s="6"/>
      <c r="I6" s="6"/>
      <c r="J6" s="6"/>
      <c r="K6" s="6"/>
      <c r="L6" s="6"/>
      <c r="M6" s="6"/>
      <c r="N6" s="6"/>
      <c r="O6" s="6"/>
      <c r="P6" s="6"/>
      <c r="Q6" s="6"/>
      <c r="R6" s="6"/>
      <c r="S6" s="6"/>
      <c r="T6" s="6"/>
      <c r="U6" s="6"/>
      <c r="V6" s="6"/>
      <c r="W6" s="6"/>
      <c r="X6" s="6"/>
      <c r="Y6" s="6"/>
      <c r="Z6" s="6"/>
    </row>
    <row r="7" spans="1:26" ht="15" customHeight="1">
      <c r="A7" s="6"/>
      <c r="B7" s="2766"/>
      <c r="C7" s="2766"/>
      <c r="D7" s="2765" t="s">
        <v>1362</v>
      </c>
      <c r="E7" s="2765" t="s">
        <v>2059</v>
      </c>
      <c r="F7" s="2765" t="s">
        <v>2060</v>
      </c>
      <c r="G7" s="2765" t="s">
        <v>1185</v>
      </c>
      <c r="H7" s="6"/>
      <c r="I7" s="6"/>
      <c r="J7" s="6"/>
      <c r="K7" s="6"/>
      <c r="L7" s="6"/>
      <c r="M7" s="6"/>
      <c r="N7" s="6"/>
      <c r="O7" s="6"/>
      <c r="P7" s="6"/>
      <c r="Q7" s="6"/>
      <c r="R7" s="6"/>
      <c r="S7" s="6"/>
      <c r="T7" s="6"/>
      <c r="U7" s="6"/>
      <c r="V7" s="6"/>
      <c r="W7" s="6"/>
      <c r="X7" s="6"/>
      <c r="Y7" s="6"/>
      <c r="Z7" s="6"/>
    </row>
    <row r="8" spans="1:26" ht="15" customHeight="1">
      <c r="A8" s="6"/>
      <c r="B8" s="2153"/>
      <c r="C8" s="2153"/>
      <c r="D8" s="2153"/>
      <c r="E8" s="2153"/>
      <c r="F8" s="2153"/>
      <c r="G8" s="2153"/>
      <c r="H8" s="6"/>
      <c r="I8" s="6"/>
      <c r="J8" s="6"/>
      <c r="K8" s="6"/>
      <c r="L8" s="6"/>
      <c r="M8" s="6"/>
      <c r="N8" s="6"/>
      <c r="O8" s="6"/>
      <c r="P8" s="6"/>
      <c r="Q8" s="6"/>
      <c r="R8" s="6"/>
      <c r="S8" s="6"/>
      <c r="T8" s="6"/>
      <c r="U8" s="6"/>
      <c r="V8" s="6"/>
      <c r="W8" s="6"/>
      <c r="X8" s="6"/>
      <c r="Y8" s="6"/>
      <c r="Z8" s="6"/>
    </row>
    <row r="9" spans="1:26" ht="15" customHeight="1">
      <c r="A9" s="6"/>
      <c r="B9" s="2767">
        <v>2017</v>
      </c>
      <c r="C9" s="2153"/>
      <c r="D9" s="2768">
        <v>10246</v>
      </c>
      <c r="E9" s="2769">
        <v>0.2</v>
      </c>
      <c r="F9" s="2770">
        <f>D9*E9*(44/12)</f>
        <v>7513.7333333333336</v>
      </c>
      <c r="G9" s="2771">
        <f>F9/1000000</f>
        <v>7.5137333333333339E-3</v>
      </c>
      <c r="H9" s="6"/>
      <c r="I9" s="6"/>
      <c r="J9" s="6"/>
      <c r="K9" s="6"/>
      <c r="L9" s="6"/>
      <c r="M9" s="6"/>
      <c r="N9" s="6"/>
      <c r="O9" s="6"/>
      <c r="P9" s="6"/>
      <c r="Q9" s="6"/>
      <c r="R9" s="6"/>
      <c r="S9" s="6"/>
      <c r="T9" s="6"/>
      <c r="U9" s="6"/>
      <c r="V9" s="6"/>
      <c r="W9" s="6"/>
      <c r="X9" s="6"/>
      <c r="Y9" s="6"/>
      <c r="Z9" s="6"/>
    </row>
    <row r="10" spans="1:26" ht="15" customHeight="1">
      <c r="A10" s="6"/>
      <c r="B10" s="2153"/>
      <c r="C10" s="2153"/>
      <c r="D10" s="2153"/>
      <c r="E10" s="2153"/>
      <c r="F10" s="2153"/>
      <c r="G10" s="2153"/>
      <c r="H10" s="6"/>
      <c r="I10" s="6"/>
      <c r="J10" s="6"/>
      <c r="K10" s="6"/>
      <c r="L10" s="6"/>
      <c r="M10" s="6"/>
      <c r="N10" s="6"/>
      <c r="O10" s="6"/>
      <c r="P10" s="6"/>
      <c r="Q10" s="6"/>
      <c r="R10" s="6"/>
      <c r="S10" s="6"/>
      <c r="T10" s="6"/>
      <c r="U10" s="6"/>
      <c r="V10" s="6"/>
      <c r="W10" s="6"/>
      <c r="X10" s="6"/>
      <c r="Y10" s="6"/>
      <c r="Z10" s="6"/>
    </row>
    <row r="11" spans="1:26" ht="15" customHeight="1">
      <c r="A11" s="6"/>
      <c r="B11" s="2153"/>
      <c r="C11" s="2153"/>
      <c r="D11" s="2153"/>
      <c r="E11" s="2153"/>
      <c r="F11" s="2153"/>
      <c r="G11" s="2153"/>
      <c r="H11" s="6"/>
      <c r="I11" s="6"/>
      <c r="J11" s="6"/>
      <c r="K11" s="6"/>
      <c r="L11" s="6"/>
      <c r="M11" s="6"/>
      <c r="N11" s="6"/>
      <c r="O11" s="6"/>
      <c r="P11" s="6"/>
      <c r="Q11" s="6"/>
      <c r="R11" s="6"/>
      <c r="S11" s="6"/>
      <c r="T11" s="6"/>
      <c r="U11" s="6"/>
      <c r="V11" s="6"/>
      <c r="W11" s="6"/>
      <c r="X11" s="6"/>
      <c r="Y11" s="6"/>
      <c r="Z11" s="6"/>
    </row>
    <row r="12" spans="1:26" ht="15" customHeight="1">
      <c r="A12" s="6"/>
      <c r="B12" s="2153"/>
      <c r="C12" s="2153"/>
      <c r="D12" s="2153"/>
      <c r="E12" s="2153"/>
      <c r="F12" s="2153"/>
      <c r="G12" s="2153"/>
      <c r="H12" s="6"/>
      <c r="I12" s="6"/>
      <c r="J12" s="6"/>
      <c r="K12" s="6"/>
      <c r="L12" s="6"/>
      <c r="M12" s="6"/>
      <c r="N12" s="6"/>
      <c r="O12" s="6"/>
      <c r="P12" s="6"/>
      <c r="Q12" s="6"/>
      <c r="R12" s="6"/>
      <c r="S12" s="6"/>
      <c r="T12" s="6"/>
      <c r="U12" s="6"/>
      <c r="V12" s="6"/>
      <c r="W12" s="6"/>
      <c r="X12" s="6"/>
      <c r="Y12" s="6"/>
      <c r="Z12" s="6"/>
    </row>
    <row r="13" spans="1:26" ht="15" customHeight="1">
      <c r="A13" s="6"/>
      <c r="B13" s="2153"/>
      <c r="C13" s="2153"/>
      <c r="D13" s="2153"/>
      <c r="E13" s="2153"/>
      <c r="F13" s="2153"/>
      <c r="G13" s="2153"/>
      <c r="H13" s="6"/>
      <c r="I13" s="6"/>
      <c r="J13" s="6"/>
      <c r="K13" s="6"/>
      <c r="L13" s="6"/>
      <c r="M13" s="6"/>
      <c r="N13" s="6"/>
      <c r="O13" s="6"/>
      <c r="P13" s="6"/>
      <c r="Q13" s="6"/>
      <c r="R13" s="6"/>
      <c r="S13" s="6"/>
      <c r="T13" s="6"/>
      <c r="U13" s="6"/>
      <c r="V13" s="6"/>
      <c r="W13" s="6"/>
      <c r="X13" s="6"/>
      <c r="Y13" s="6"/>
      <c r="Z13" s="6"/>
    </row>
    <row r="14" spans="1:26" ht="15" customHeight="1">
      <c r="A14" s="6"/>
      <c r="B14" s="2899" t="s">
        <v>2061</v>
      </c>
      <c r="C14" s="2877"/>
      <c r="D14" s="2877"/>
      <c r="E14" s="2877"/>
      <c r="F14" s="2877"/>
      <c r="G14" s="2880"/>
      <c r="H14" s="6"/>
      <c r="I14" s="6"/>
      <c r="J14" s="6"/>
      <c r="K14" s="6"/>
      <c r="L14" s="6"/>
      <c r="M14" s="6"/>
      <c r="N14" s="6"/>
      <c r="O14" s="6"/>
      <c r="P14" s="6"/>
      <c r="Q14" s="6"/>
      <c r="R14" s="6"/>
      <c r="S14" s="6"/>
      <c r="T14" s="6"/>
      <c r="U14" s="6"/>
      <c r="V14" s="6"/>
      <c r="W14" s="6"/>
      <c r="X14" s="6"/>
      <c r="Y14" s="6"/>
      <c r="Z14" s="6"/>
    </row>
    <row r="15" spans="1:26" ht="15" customHeight="1">
      <c r="A15" s="6"/>
      <c r="B15" s="2153"/>
      <c r="C15" s="2153"/>
      <c r="D15" s="2153"/>
      <c r="E15" s="2153"/>
      <c r="F15" s="2153"/>
      <c r="G15" s="6"/>
      <c r="H15" s="6"/>
      <c r="I15" s="6"/>
      <c r="J15" s="6"/>
      <c r="K15" s="6"/>
      <c r="L15" s="6"/>
      <c r="M15" s="6"/>
      <c r="N15" s="6"/>
      <c r="O15" s="6"/>
      <c r="P15" s="6"/>
      <c r="Q15" s="6"/>
      <c r="R15" s="6"/>
      <c r="S15" s="6"/>
      <c r="T15" s="6"/>
      <c r="U15" s="6"/>
      <c r="V15" s="6"/>
      <c r="W15" s="6"/>
      <c r="X15" s="6"/>
      <c r="Y15" s="6"/>
      <c r="Z15" s="6"/>
    </row>
    <row r="16" spans="1:26" ht="15" customHeight="1">
      <c r="A16" s="6"/>
      <c r="B16" s="2772" t="s">
        <v>2062</v>
      </c>
      <c r="C16" s="2766"/>
      <c r="D16" s="2766"/>
      <c r="E16" s="2766"/>
      <c r="F16" s="2766"/>
      <c r="G16" s="2153"/>
      <c r="H16" s="6"/>
      <c r="I16" s="6"/>
      <c r="J16" s="6"/>
      <c r="K16" s="6"/>
      <c r="L16" s="6"/>
      <c r="M16" s="6"/>
      <c r="N16" s="6"/>
      <c r="O16" s="6"/>
      <c r="P16" s="6"/>
      <c r="Q16" s="6"/>
      <c r="R16" s="6"/>
      <c r="S16" s="6"/>
      <c r="T16" s="6"/>
      <c r="U16" s="6"/>
      <c r="V16" s="6"/>
      <c r="W16" s="6"/>
      <c r="X16" s="6"/>
      <c r="Y16" s="6"/>
      <c r="Z16" s="6"/>
    </row>
    <row r="17" spans="1:26" ht="15" customHeight="1">
      <c r="A17" s="6"/>
      <c r="B17" s="2153"/>
      <c r="C17" s="2153"/>
      <c r="D17" s="2153"/>
      <c r="E17" s="2153"/>
      <c r="F17" s="2153"/>
      <c r="G17" s="2153"/>
      <c r="H17" s="6"/>
      <c r="I17" s="6"/>
      <c r="J17" s="6"/>
      <c r="K17" s="6"/>
      <c r="L17" s="6"/>
      <c r="M17" s="6"/>
      <c r="N17" s="6"/>
      <c r="O17" s="6"/>
      <c r="P17" s="6"/>
      <c r="Q17" s="6"/>
      <c r="R17" s="6"/>
      <c r="S17" s="6"/>
      <c r="T17" s="6"/>
      <c r="U17" s="6"/>
      <c r="V17" s="6"/>
      <c r="W17" s="6"/>
      <c r="X17" s="6"/>
      <c r="Y17" s="6"/>
      <c r="Z17" s="6"/>
    </row>
    <row r="18" spans="1:26" ht="15" customHeight="1">
      <c r="A18" s="6"/>
      <c r="B18" s="2773" t="s">
        <v>52</v>
      </c>
      <c r="C18" s="2774"/>
      <c r="D18" s="2773" t="s">
        <v>2063</v>
      </c>
      <c r="E18" s="2773" t="s">
        <v>1124</v>
      </c>
      <c r="F18" s="2773" t="s">
        <v>2058</v>
      </c>
      <c r="G18" s="2773" t="s">
        <v>2064</v>
      </c>
      <c r="H18" s="6"/>
      <c r="I18" s="6"/>
      <c r="J18" s="6"/>
      <c r="K18" s="6"/>
      <c r="L18" s="6"/>
      <c r="M18" s="6"/>
      <c r="N18" s="6"/>
      <c r="O18" s="6"/>
      <c r="P18" s="6"/>
      <c r="Q18" s="6"/>
      <c r="R18" s="6"/>
      <c r="S18" s="6"/>
      <c r="T18" s="6"/>
      <c r="U18" s="6"/>
      <c r="V18" s="6"/>
      <c r="W18" s="6"/>
      <c r="X18" s="6"/>
      <c r="Y18" s="6"/>
      <c r="Z18" s="6"/>
    </row>
    <row r="19" spans="1:26" ht="15" customHeight="1">
      <c r="A19" s="6"/>
      <c r="B19" s="2774"/>
      <c r="C19" s="2774"/>
      <c r="D19" s="2773" t="s">
        <v>2065</v>
      </c>
      <c r="E19" s="2773" t="s">
        <v>2066</v>
      </c>
      <c r="F19" s="2773" t="s">
        <v>2060</v>
      </c>
      <c r="G19" s="2773" t="s">
        <v>1185</v>
      </c>
      <c r="H19" s="6"/>
      <c r="I19" s="6"/>
      <c r="J19" s="6"/>
      <c r="K19" s="6"/>
      <c r="L19" s="6"/>
      <c r="M19" s="6"/>
      <c r="N19" s="6"/>
      <c r="O19" s="6"/>
      <c r="P19" s="6"/>
      <c r="Q19" s="6"/>
      <c r="R19" s="6"/>
      <c r="S19" s="6"/>
      <c r="T19" s="6"/>
      <c r="U19" s="6"/>
      <c r="V19" s="6"/>
      <c r="W19" s="6"/>
      <c r="X19" s="6"/>
      <c r="Y19" s="6"/>
      <c r="Z19" s="6"/>
    </row>
    <row r="20" spans="1:26" ht="15" customHeight="1">
      <c r="A20" s="6"/>
      <c r="B20" s="2153"/>
      <c r="C20" s="2153"/>
      <c r="D20" s="2153"/>
      <c r="E20" s="2153"/>
      <c r="F20" s="2153"/>
      <c r="G20" s="2775"/>
      <c r="H20" s="6"/>
      <c r="I20" s="6"/>
      <c r="J20" s="6"/>
      <c r="K20" s="6"/>
      <c r="L20" s="6"/>
      <c r="M20" s="6"/>
      <c r="N20" s="6"/>
      <c r="O20" s="6"/>
      <c r="P20" s="6"/>
      <c r="Q20" s="6"/>
      <c r="R20" s="6"/>
      <c r="S20" s="6"/>
      <c r="T20" s="6"/>
      <c r="U20" s="6"/>
      <c r="V20" s="6"/>
      <c r="W20" s="6"/>
      <c r="X20" s="6"/>
      <c r="Y20" s="6"/>
      <c r="Z20" s="6"/>
    </row>
    <row r="21" spans="1:26" ht="15" customHeight="1">
      <c r="A21" s="6"/>
      <c r="B21" s="2776">
        <v>2017</v>
      </c>
      <c r="C21" s="2777" t="s">
        <v>1257</v>
      </c>
      <c r="D21" s="2778">
        <v>152.69</v>
      </c>
      <c r="E21" s="2769">
        <v>5.8999999999999997E-2</v>
      </c>
      <c r="F21" s="2779">
        <f t="shared" ref="F21:F22" si="0">D21*E21*(44/12)*1000</f>
        <v>33031.936666666661</v>
      </c>
      <c r="G21" s="2780">
        <f t="shared" ref="G21:G22" si="1">F21/1000000</f>
        <v>3.3031936666666664E-2</v>
      </c>
      <c r="H21" s="6"/>
      <c r="I21" s="6"/>
      <c r="J21" s="6"/>
      <c r="K21" s="6"/>
      <c r="L21" s="6"/>
      <c r="M21" s="6"/>
      <c r="N21" s="6"/>
      <c r="O21" s="6"/>
      <c r="P21" s="6"/>
      <c r="Q21" s="6"/>
      <c r="R21" s="6"/>
      <c r="S21" s="6"/>
      <c r="T21" s="6"/>
      <c r="U21" s="6"/>
      <c r="V21" s="6"/>
      <c r="W21" s="6"/>
      <c r="X21" s="6"/>
      <c r="Y21" s="6"/>
      <c r="Z21" s="6"/>
    </row>
    <row r="22" spans="1:26" ht="15" customHeight="1">
      <c r="A22" s="6"/>
      <c r="B22" s="2781">
        <v>2017</v>
      </c>
      <c r="C22" s="2777" t="s">
        <v>1258</v>
      </c>
      <c r="D22" s="2778">
        <v>14.74</v>
      </c>
      <c r="E22" s="2769">
        <v>6.4000000000000001E-2</v>
      </c>
      <c r="F22" s="2779">
        <f t="shared" si="0"/>
        <v>3458.9866666666667</v>
      </c>
      <c r="G22" s="2780">
        <f t="shared" si="1"/>
        <v>3.4589866666666666E-3</v>
      </c>
      <c r="H22" s="6"/>
      <c r="I22" s="6"/>
      <c r="J22" s="6"/>
      <c r="K22" s="6"/>
      <c r="L22" s="6"/>
      <c r="M22" s="6"/>
      <c r="N22" s="6"/>
      <c r="O22" s="6"/>
      <c r="P22" s="6"/>
      <c r="Q22" s="6"/>
      <c r="R22" s="6"/>
      <c r="S22" s="6"/>
      <c r="T22" s="6"/>
      <c r="U22" s="6"/>
      <c r="V22" s="6"/>
      <c r="W22" s="6"/>
      <c r="X22" s="6"/>
      <c r="Y22" s="6"/>
      <c r="Z22" s="6"/>
    </row>
    <row r="23" spans="1:26" ht="15" customHeight="1">
      <c r="A23" s="6"/>
      <c r="B23" s="6"/>
      <c r="C23" s="6"/>
      <c r="D23" s="2153"/>
      <c r="E23" s="2153"/>
      <c r="F23" s="2153"/>
      <c r="G23" s="69">
        <f>G21+G22</f>
        <v>3.6490923333333328E-2</v>
      </c>
      <c r="H23" s="6"/>
      <c r="I23" s="6"/>
      <c r="J23" s="6"/>
      <c r="K23" s="6"/>
      <c r="L23" s="6"/>
      <c r="M23" s="6"/>
      <c r="N23" s="6"/>
      <c r="O23" s="6"/>
      <c r="P23" s="6"/>
      <c r="Q23" s="6"/>
      <c r="R23" s="6"/>
      <c r="S23" s="6"/>
      <c r="T23" s="6"/>
      <c r="U23" s="6"/>
      <c r="V23" s="6"/>
      <c r="W23" s="6"/>
      <c r="X23" s="6"/>
      <c r="Y23" s="6"/>
      <c r="Z23" s="6"/>
    </row>
    <row r="24" spans="1:26" ht="15" customHeight="1">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5" customHeight="1">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5" customHeight="1">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5" customHeight="1">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5" customHeight="1">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5" customHeight="1">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5" customHeight="1">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5" customHeight="1">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5" customHeight="1">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5" customHeight="1">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5" customHeight="1">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5" customHeight="1">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5" customHeigh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5" customHeight="1">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5" customHeight="1">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5" customHeight="1">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5" customHeight="1">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5" customHeight="1">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0.199999999999999">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0.199999999999999">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0.199999999999999">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0.199999999999999">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0.199999999999999">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0.199999999999999">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0.199999999999999">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0.199999999999999">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0.199999999999999">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0.199999999999999">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0.199999999999999">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0.199999999999999">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0.199999999999999">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0.199999999999999">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0.199999999999999">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0.199999999999999">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0.199999999999999">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0.199999999999999">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0.199999999999999">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0.199999999999999">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0.199999999999999">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0.199999999999999">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0.199999999999999">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0.199999999999999">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0.199999999999999">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0.199999999999999">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0.199999999999999">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0.199999999999999">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0.199999999999999">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0.199999999999999">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0.199999999999999">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0.199999999999999">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0.199999999999999">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0.199999999999999">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0.199999999999999">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0.199999999999999">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0.199999999999999">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0.199999999999999">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0.199999999999999">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0.199999999999999">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0.199999999999999">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0.199999999999999">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0.199999999999999">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0.199999999999999">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0.199999999999999">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0.199999999999999">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0.199999999999999">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0.199999999999999">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0.199999999999999">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0.199999999999999">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0.199999999999999">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0.199999999999999">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0.199999999999999">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0.199999999999999">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0.199999999999999">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0.199999999999999">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0.199999999999999">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0.199999999999999">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0.199999999999999">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0.199999999999999">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0.199999999999999">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0.199999999999999">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0.199999999999999">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0.199999999999999">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0.199999999999999">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0.199999999999999">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0.199999999999999">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0.199999999999999">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0.199999999999999">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0.199999999999999">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0.199999999999999">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0.199999999999999">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0.199999999999999">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0.199999999999999">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0.199999999999999">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0.199999999999999">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0.199999999999999">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0.199999999999999">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0.199999999999999">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0.199999999999999">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0.199999999999999">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0.199999999999999">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0.199999999999999">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0.199999999999999">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0.199999999999999">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0.199999999999999">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0.199999999999999">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0.199999999999999">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0.199999999999999">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0.199999999999999">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0.199999999999999">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0.199999999999999">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0.199999999999999">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0.199999999999999">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0.199999999999999">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0.199999999999999">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0.199999999999999">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0.199999999999999">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0.199999999999999">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0.199999999999999">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0.199999999999999">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0.199999999999999">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0.199999999999999">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0.199999999999999">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0.199999999999999">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0.199999999999999">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0.199999999999999">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0.199999999999999">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0.199999999999999">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0.199999999999999">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0.199999999999999">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0.199999999999999">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0.199999999999999">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0.199999999999999">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0.199999999999999">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0.199999999999999">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0.199999999999999">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0.199999999999999">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0.199999999999999">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0.199999999999999">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0.199999999999999">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0.199999999999999">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0.199999999999999">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0.199999999999999">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0.199999999999999">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0.199999999999999">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0.199999999999999">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0.199999999999999">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0.199999999999999">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0.199999999999999">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0.199999999999999">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0.199999999999999">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0.199999999999999">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0.199999999999999">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0.199999999999999">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0.199999999999999">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0.199999999999999">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0.199999999999999">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0.199999999999999">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0.199999999999999">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0.199999999999999">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0.199999999999999">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0.199999999999999">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0.199999999999999">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0.199999999999999">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0.199999999999999">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0.199999999999999">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0.199999999999999">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0.199999999999999">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0.199999999999999">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0.199999999999999">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0.199999999999999">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0.199999999999999">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0.199999999999999">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0.199999999999999">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0.199999999999999">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0.199999999999999">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0.199999999999999">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0.199999999999999">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0.199999999999999">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0.199999999999999">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0.199999999999999">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0.199999999999999">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0.199999999999999">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0.199999999999999">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0.199999999999999">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0.199999999999999">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0.199999999999999">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0.199999999999999">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0.199999999999999">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0.199999999999999">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0.199999999999999">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0.199999999999999">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0.199999999999999">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0.199999999999999">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0.199999999999999">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0.199999999999999">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0.199999999999999">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0.199999999999999">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0.199999999999999">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0.199999999999999">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0.199999999999999">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0.199999999999999">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0.199999999999999">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0.199999999999999">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0.199999999999999">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0.199999999999999">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0.199999999999999">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0.199999999999999">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0.199999999999999">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0.199999999999999">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0.199999999999999">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0.199999999999999">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0.199999999999999">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0.199999999999999">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0.199999999999999">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0.199999999999999">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0.199999999999999">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0.199999999999999">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0.199999999999999">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0.199999999999999">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0.199999999999999">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0.199999999999999">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0.199999999999999">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0.199999999999999">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0.199999999999999">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0.199999999999999">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0.199999999999999">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0.199999999999999">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0.199999999999999">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0.199999999999999">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0.199999999999999">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0.199999999999999">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0.199999999999999">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0.199999999999999">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0.199999999999999">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0.199999999999999">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0.199999999999999">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0.199999999999999">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0.199999999999999">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0.199999999999999">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0.199999999999999">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0.199999999999999">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0.199999999999999">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0.199999999999999">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0.199999999999999">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0.199999999999999">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0.199999999999999">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0.199999999999999">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0.199999999999999">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0.199999999999999">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0.199999999999999">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0.199999999999999">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0.199999999999999">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0.199999999999999">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0.199999999999999">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0.199999999999999">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0.199999999999999">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0.199999999999999">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0.199999999999999">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0.199999999999999">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0.199999999999999">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0.199999999999999">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0.199999999999999">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0.199999999999999">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0.199999999999999">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0.199999999999999">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0.199999999999999">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0.199999999999999">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0.199999999999999">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0.199999999999999">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0.199999999999999">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0.199999999999999">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0.199999999999999">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0.199999999999999">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0.199999999999999">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0.199999999999999">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0.199999999999999">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0.199999999999999">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0.199999999999999">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0.199999999999999">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0.199999999999999">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0.199999999999999">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0.199999999999999">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0.199999999999999">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0.199999999999999">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0.199999999999999">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0.199999999999999">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0.199999999999999">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0.199999999999999">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0.199999999999999">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0.199999999999999">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0.199999999999999">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0.199999999999999">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0.199999999999999">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0.199999999999999">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0.199999999999999">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0.199999999999999">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0.199999999999999">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0.199999999999999">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0.199999999999999">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0.199999999999999">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0.199999999999999">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0.199999999999999">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0.199999999999999">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0.199999999999999">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0.199999999999999">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0.199999999999999">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0.199999999999999">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0.199999999999999">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0.199999999999999">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0.199999999999999">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0.199999999999999">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0.199999999999999">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0.199999999999999">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0.199999999999999">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0.199999999999999">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0.199999999999999">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0.199999999999999">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0.199999999999999">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0.199999999999999">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0.199999999999999">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0.199999999999999">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0.199999999999999">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0.199999999999999">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0.199999999999999">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0.199999999999999">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0.199999999999999">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0.199999999999999">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0.199999999999999">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0.199999999999999">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0.199999999999999">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0.199999999999999">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0.199999999999999">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0.199999999999999">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0.199999999999999">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0.199999999999999">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0.199999999999999">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0.199999999999999">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0.199999999999999">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0.199999999999999">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0.199999999999999">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0.199999999999999">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0.199999999999999">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0.199999999999999">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0.199999999999999">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0.199999999999999">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0.199999999999999">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0.199999999999999">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0.199999999999999">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0.199999999999999">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0.199999999999999">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0.199999999999999">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0.199999999999999">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0.199999999999999">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0.199999999999999">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0.199999999999999">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0.199999999999999">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0.199999999999999">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0.199999999999999">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0.199999999999999">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0.199999999999999">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0.199999999999999">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0.199999999999999">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0.199999999999999">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0.199999999999999">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0.199999999999999">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0.199999999999999">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0.199999999999999">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0.199999999999999">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0.199999999999999">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0.199999999999999">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0.199999999999999">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0.199999999999999">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0.199999999999999">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0.199999999999999">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0.199999999999999">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0.199999999999999">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0.199999999999999">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0.199999999999999">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0.199999999999999">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0.199999999999999">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0.199999999999999">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0.199999999999999">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0.199999999999999">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0.199999999999999">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0.199999999999999">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0.199999999999999">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0.199999999999999">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0.199999999999999">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0.199999999999999">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0.199999999999999">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0.199999999999999">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0.199999999999999">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0.199999999999999">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0.199999999999999">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0.199999999999999">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0.199999999999999">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0.199999999999999">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0.199999999999999">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0.199999999999999">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0.199999999999999">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0.199999999999999">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0.199999999999999">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0.199999999999999">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0.199999999999999">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0.199999999999999">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0.199999999999999">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0.199999999999999">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0.199999999999999">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0.199999999999999">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0.199999999999999">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0.199999999999999">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0.199999999999999">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0.199999999999999">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0.199999999999999">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0.199999999999999">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0.199999999999999">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0.199999999999999">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0.199999999999999">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0.199999999999999">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0.199999999999999">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0.199999999999999">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0.199999999999999">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0.199999999999999">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0.199999999999999">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0.199999999999999">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0.199999999999999">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0.199999999999999">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0.199999999999999">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0.199999999999999">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0.199999999999999">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0.199999999999999">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0.199999999999999">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0.199999999999999">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0.199999999999999">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0.199999999999999">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0.199999999999999">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0.199999999999999">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0.199999999999999">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0.199999999999999">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0.199999999999999">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0.199999999999999">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0.199999999999999">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0.199999999999999">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0.199999999999999">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0.199999999999999">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0.199999999999999">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0.199999999999999">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0.199999999999999">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0.199999999999999">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0.199999999999999">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0.199999999999999">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0.199999999999999">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0.199999999999999">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0.199999999999999">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0.199999999999999">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0.199999999999999">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0.199999999999999">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0.199999999999999">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0.199999999999999">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0.199999999999999">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0.199999999999999">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0.199999999999999">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0.199999999999999">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0.199999999999999">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0.199999999999999">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0.199999999999999">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0.199999999999999">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0.199999999999999">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0.199999999999999">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0.199999999999999">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0.199999999999999">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0.199999999999999">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0.199999999999999">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0.199999999999999">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0.199999999999999">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0.199999999999999">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0.199999999999999">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0.199999999999999">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0.199999999999999">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0.199999999999999">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0.199999999999999">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0.199999999999999">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0.199999999999999">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0.199999999999999">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0.199999999999999">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0.199999999999999">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0.199999999999999">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0.199999999999999">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0.199999999999999">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0.199999999999999">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0.199999999999999">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0.199999999999999">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0.199999999999999">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0.199999999999999">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0.199999999999999">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0.199999999999999">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0.199999999999999">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0.199999999999999">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0.199999999999999">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0.199999999999999">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0.199999999999999">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0.199999999999999">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0.199999999999999">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0.199999999999999">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0.199999999999999">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0.199999999999999">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0.199999999999999">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0.199999999999999">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0.199999999999999">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0.199999999999999">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0.199999999999999">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0.199999999999999">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0.199999999999999">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0.199999999999999">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0.199999999999999">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0.199999999999999">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0.199999999999999">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0.199999999999999">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0.199999999999999">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0.199999999999999">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0.199999999999999">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0.199999999999999">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0.199999999999999">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0.199999999999999">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0.199999999999999">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0.199999999999999">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0.199999999999999">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0.199999999999999">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0.199999999999999">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0.199999999999999">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0.199999999999999">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0.199999999999999">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0.199999999999999">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0.199999999999999">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0.199999999999999">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0.199999999999999">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0.199999999999999">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0.199999999999999">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0.199999999999999">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0.199999999999999">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0.199999999999999">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0.199999999999999">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0.199999999999999">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0.199999999999999">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0.199999999999999">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0.199999999999999">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0.199999999999999">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0.199999999999999">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0.199999999999999">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0.199999999999999">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0.199999999999999">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0.199999999999999">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0.199999999999999">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0.199999999999999">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0.199999999999999">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0.199999999999999">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0.199999999999999">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0.199999999999999">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0.199999999999999">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0.199999999999999">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0.199999999999999">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0.199999999999999">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0.199999999999999">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0.199999999999999">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0.199999999999999">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0.199999999999999">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0.199999999999999">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0.199999999999999">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0.199999999999999">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0.199999999999999">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0.199999999999999">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0.199999999999999">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0.199999999999999">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0.199999999999999">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0.199999999999999">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0.199999999999999">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0.199999999999999">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0.199999999999999">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0.199999999999999">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0.199999999999999">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0.199999999999999">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0.199999999999999">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0.199999999999999">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0.199999999999999">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0.199999999999999">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0.199999999999999">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0.199999999999999">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0.199999999999999">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0.199999999999999">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0.199999999999999">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0.199999999999999">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0.199999999999999">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0.199999999999999">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0.199999999999999">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0.199999999999999">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0.199999999999999">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0.199999999999999">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0.199999999999999">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0.199999999999999">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0.199999999999999">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0.199999999999999">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0.199999999999999">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0.199999999999999">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0.199999999999999">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0.199999999999999">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0.199999999999999">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0.199999999999999">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0.199999999999999">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0.199999999999999">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0.199999999999999">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0.199999999999999">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0.199999999999999">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0.199999999999999">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0.199999999999999">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0.199999999999999">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0.199999999999999">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0.199999999999999">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0.199999999999999">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0.199999999999999">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0.199999999999999">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0.199999999999999">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0.199999999999999">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0.199999999999999">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0.199999999999999">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0.199999999999999">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0.199999999999999">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0.199999999999999">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0.199999999999999">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0.199999999999999">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0.199999999999999">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0.199999999999999">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0.199999999999999">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0.199999999999999">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0.199999999999999">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0.199999999999999">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0.199999999999999">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0.199999999999999">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0.199999999999999">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0.199999999999999">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0.199999999999999">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0.199999999999999">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0.199999999999999">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0.199999999999999">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0.199999999999999">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0.199999999999999">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0.199999999999999">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0.199999999999999">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0.199999999999999">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0.199999999999999">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0.199999999999999">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0.199999999999999">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0.199999999999999">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0.199999999999999">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0.199999999999999">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0.199999999999999">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0.199999999999999">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0.199999999999999">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0.199999999999999">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0.199999999999999">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0.199999999999999">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0.199999999999999">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0.199999999999999">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0.199999999999999">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0.199999999999999">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0.199999999999999">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0.199999999999999">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0.199999999999999">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0.199999999999999">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0.199999999999999">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0.199999999999999">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0.199999999999999">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0.199999999999999">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0.199999999999999">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0.199999999999999">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0.199999999999999">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0.199999999999999">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0.199999999999999">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0.199999999999999">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0.199999999999999">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0.199999999999999">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0.199999999999999">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0.199999999999999">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0.199999999999999">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0.199999999999999">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0.199999999999999">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0.199999999999999">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0.199999999999999">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0.199999999999999">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0.199999999999999">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0.199999999999999">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0.199999999999999">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0.199999999999999">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0.199999999999999">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0.199999999999999">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0.199999999999999">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0.199999999999999">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0.199999999999999">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0.199999999999999">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0.199999999999999">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0.199999999999999">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0.199999999999999">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0.199999999999999">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0.199999999999999">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0.199999999999999">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0.199999999999999">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0.199999999999999">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0.199999999999999">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0.199999999999999">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0.199999999999999">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0.199999999999999">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0.199999999999999">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0.199999999999999">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0.199999999999999">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0.199999999999999">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0.199999999999999">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0.199999999999999">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0.199999999999999">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0.199999999999999">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0.199999999999999">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0.199999999999999">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0.199999999999999">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0.199999999999999">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0.199999999999999">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0.199999999999999">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0.199999999999999">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0.199999999999999">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0.199999999999999">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0.199999999999999">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0.199999999999999">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0.199999999999999">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0.199999999999999">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0.199999999999999">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0.199999999999999">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0.199999999999999">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0.199999999999999">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0.199999999999999">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0.199999999999999">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0.199999999999999">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0.199999999999999">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0.199999999999999">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0.199999999999999">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0.199999999999999">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0.199999999999999">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0.199999999999999">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0.199999999999999">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0.199999999999999">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0.199999999999999">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0.199999999999999">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0.199999999999999">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0.199999999999999">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0.199999999999999">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0.199999999999999">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0.199999999999999">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0.199999999999999">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0.199999999999999">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0.199999999999999">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0.199999999999999">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0.199999999999999">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0.199999999999999">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0.199999999999999">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0.199999999999999">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0.199999999999999">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0.199999999999999">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0.199999999999999">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0.199999999999999">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0.199999999999999">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0.199999999999999">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0.199999999999999">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0.199999999999999">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0.199999999999999">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0.199999999999999">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0.199999999999999">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0.199999999999999">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0.199999999999999">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0.199999999999999">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0.199999999999999">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0.199999999999999">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0.199999999999999">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0.199999999999999">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0.199999999999999">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0.199999999999999">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0.199999999999999">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0.199999999999999">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0.199999999999999">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0.199999999999999">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0.199999999999999">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0.199999999999999">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0.199999999999999">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0.199999999999999">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0.199999999999999">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0.199999999999999">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0.199999999999999">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0.199999999999999">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0.199999999999999">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0.199999999999999">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0.199999999999999">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0.199999999999999">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0.199999999999999">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0.199999999999999">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0.199999999999999">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0.199999999999999">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0.199999999999999">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0.199999999999999">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0.199999999999999">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0.199999999999999">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0.199999999999999">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0.199999999999999">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0.199999999999999">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0.199999999999999">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0.199999999999999">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0.199999999999999">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0.199999999999999">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0.199999999999999">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0.199999999999999">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0.199999999999999">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0.199999999999999">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0.199999999999999">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0.199999999999999">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0.199999999999999">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0.199999999999999">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0.199999999999999">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0.199999999999999">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0.199999999999999">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0.199999999999999">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0.199999999999999">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0.199999999999999">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0.199999999999999">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0.199999999999999">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0.199999999999999">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0.199999999999999">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0.199999999999999">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0.199999999999999">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0.199999999999999">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0.199999999999999">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0.199999999999999">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0.199999999999999">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0.199999999999999">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0.199999999999999">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0.199999999999999">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0.199999999999999">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0.199999999999999">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0.199999999999999">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0.199999999999999">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0.199999999999999">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0.199999999999999">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0.199999999999999">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0.199999999999999">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0.199999999999999">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0.199999999999999">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0.199999999999999">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0.199999999999999">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0.199999999999999">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0.199999999999999">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0.199999999999999">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0.199999999999999">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0.199999999999999">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0.199999999999999">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0.199999999999999">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0.199999999999999">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0.199999999999999">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0.199999999999999">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0.199999999999999">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0.199999999999999">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0.199999999999999">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0.199999999999999">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0.199999999999999">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0.199999999999999">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0.199999999999999">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0.199999999999999">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0.199999999999999">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0.199999999999999">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0.199999999999999">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0.199999999999999">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0.199999999999999">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0.199999999999999">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0.199999999999999">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0.199999999999999">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0.199999999999999">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0.199999999999999">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0.199999999999999">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0.199999999999999">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0.199999999999999">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0.199999999999999">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0.199999999999999">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0.199999999999999">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0.199999999999999">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0.199999999999999">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0.199999999999999">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0.199999999999999">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0.199999999999999">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0.199999999999999">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0.199999999999999">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0.199999999999999">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0.199999999999999">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0.199999999999999">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0.199999999999999">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0.199999999999999">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0.199999999999999">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0.199999999999999">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0.199999999999999">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0.199999999999999">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0.199999999999999">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0.199999999999999">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0.199999999999999">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0.199999999999999">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0.199999999999999">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0.199999999999999">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0.199999999999999">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0.199999999999999">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0.199999999999999">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0.199999999999999">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0.199999999999999">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0.199999999999999">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0.199999999999999">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0.199999999999999">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0.199999999999999">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0.199999999999999">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0.199999999999999">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0.199999999999999">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0.199999999999999">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0.199999999999999">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0.199999999999999">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0.199999999999999">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0.199999999999999">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0.199999999999999">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0.199999999999999">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0.199999999999999">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0.199999999999999">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0.199999999999999">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0.199999999999999">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0.199999999999999">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0.199999999999999">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0.199999999999999">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0.199999999999999">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0.199999999999999">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0.199999999999999">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0.199999999999999">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0.199999999999999">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0.199999999999999">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0.199999999999999">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0.199999999999999">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0.199999999999999">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0.199999999999999">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0.199999999999999">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0.199999999999999">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0.199999999999999">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0.199999999999999">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0.199999999999999">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0.199999999999999">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0.199999999999999">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0.199999999999999">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0.199999999999999">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0.199999999999999">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0.199999999999999">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0.199999999999999">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0.199999999999999">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0.199999999999999">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0.199999999999999">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0.199999999999999">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0.199999999999999">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0.199999999999999">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0.199999999999999">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0.199999999999999">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0.199999999999999">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0.199999999999999">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0.199999999999999">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0.199999999999999">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0.199999999999999">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0.199999999999999">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sheetData>
  <mergeCells count="1">
    <mergeCell ref="B14:G1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D1000"/>
  <sheetViews>
    <sheetView workbookViewId="0"/>
  </sheetViews>
  <sheetFormatPr defaultColWidth="16.85546875" defaultRowHeight="15" customHeight="1"/>
  <cols>
    <col min="1" max="1" width="2.42578125" customWidth="1"/>
    <col min="2" max="2" width="35.7109375" customWidth="1"/>
    <col min="3" max="3" width="21.7109375" customWidth="1"/>
    <col min="4" max="4" width="15.7109375" customWidth="1"/>
    <col min="5" max="5" width="16.140625" customWidth="1"/>
    <col min="6" max="6" width="17.140625" customWidth="1"/>
    <col min="7" max="7" width="11.42578125" customWidth="1"/>
    <col min="8" max="8" width="3" customWidth="1"/>
    <col min="9" max="9" width="33.7109375" customWidth="1"/>
    <col min="10" max="10" width="25.42578125" customWidth="1"/>
    <col min="11" max="12" width="16.140625" customWidth="1"/>
    <col min="13" max="13" width="11.140625" customWidth="1"/>
    <col min="14" max="14" width="11.42578125" customWidth="1"/>
    <col min="15" max="15" width="2" customWidth="1"/>
    <col min="16" max="16" width="32.28515625" customWidth="1"/>
    <col min="17" max="17" width="12.7109375" customWidth="1"/>
    <col min="18" max="18" width="14.42578125" customWidth="1"/>
    <col min="19" max="20" width="14.85546875" customWidth="1"/>
    <col min="21" max="21" width="9.42578125" customWidth="1"/>
    <col min="22" max="22" width="8.85546875" customWidth="1"/>
    <col min="23" max="23" width="4.140625" customWidth="1"/>
    <col min="24" max="24" width="31.7109375" customWidth="1"/>
    <col min="25" max="25" width="17.85546875" customWidth="1"/>
    <col min="26" max="26" width="8.85546875" customWidth="1"/>
    <col min="27" max="27" width="4" customWidth="1"/>
    <col min="28" max="28" width="38.140625" customWidth="1"/>
    <col min="29" max="29" width="14.140625" customWidth="1"/>
    <col min="30" max="30" width="12.42578125" customWidth="1"/>
  </cols>
  <sheetData>
    <row r="1" spans="1:30" ht="32.4">
      <c r="A1" s="134" t="s">
        <v>1542</v>
      </c>
      <c r="B1" s="135"/>
      <c r="C1" s="137"/>
      <c r="G1" s="1"/>
      <c r="H1" s="1"/>
    </row>
    <row r="2" spans="1:30" ht="54" customHeight="1"/>
    <row r="3" spans="1:30" ht="11.25" customHeight="1"/>
    <row r="4" spans="1:30" ht="11.25" customHeight="1"/>
    <row r="5" spans="1:30" ht="11.25" customHeight="1">
      <c r="B5" s="373"/>
      <c r="C5" s="645">
        <v>2017</v>
      </c>
      <c r="D5" s="374"/>
      <c r="E5" s="374"/>
      <c r="F5" s="374"/>
      <c r="G5" s="1065"/>
      <c r="I5" s="373"/>
      <c r="J5" s="374">
        <v>2017</v>
      </c>
      <c r="K5" s="374"/>
      <c r="L5" s="374"/>
      <c r="M5" s="374"/>
      <c r="N5" s="1065"/>
      <c r="P5" s="373"/>
      <c r="Q5" s="374">
        <v>2017</v>
      </c>
      <c r="R5" s="374"/>
      <c r="S5" s="374"/>
      <c r="T5" s="374"/>
      <c r="U5" s="374"/>
      <c r="V5" s="1065"/>
      <c r="X5" s="373"/>
      <c r="Y5" s="374">
        <v>2017</v>
      </c>
      <c r="Z5" s="1065"/>
      <c r="AB5" s="1919"/>
      <c r="AC5" s="1323">
        <v>2017</v>
      </c>
      <c r="AD5" s="1920"/>
    </row>
    <row r="6" spans="1:30" ht="11.25" customHeight="1">
      <c r="B6" s="378"/>
      <c r="C6" s="381"/>
      <c r="D6" s="381"/>
      <c r="E6" s="381"/>
      <c r="F6" s="381"/>
      <c r="G6" s="382"/>
      <c r="I6" s="378"/>
      <c r="J6" s="381"/>
      <c r="K6" s="381"/>
      <c r="L6" s="381"/>
      <c r="M6" s="381"/>
      <c r="N6" s="382"/>
      <c r="P6" s="378"/>
      <c r="Q6" s="381"/>
      <c r="R6" s="381"/>
      <c r="S6" s="381"/>
      <c r="T6" s="381"/>
      <c r="U6" s="381"/>
      <c r="V6" s="382"/>
      <c r="X6" s="1921" t="s">
        <v>1071</v>
      </c>
      <c r="Y6" s="381"/>
      <c r="Z6" s="382"/>
      <c r="AB6" s="1922" t="s">
        <v>1543</v>
      </c>
      <c r="AC6" s="381"/>
      <c r="AD6" s="1923"/>
    </row>
    <row r="7" spans="1:30" ht="11.25" customHeight="1">
      <c r="B7" s="1924" t="s">
        <v>1544</v>
      </c>
      <c r="C7" s="379" t="s">
        <v>200</v>
      </c>
      <c r="D7" s="379" t="s">
        <v>204</v>
      </c>
      <c r="E7" s="379" t="s">
        <v>220</v>
      </c>
      <c r="F7" s="379" t="s">
        <v>88</v>
      </c>
      <c r="G7" s="382"/>
      <c r="I7" s="1924" t="s">
        <v>1074</v>
      </c>
      <c r="J7" s="379" t="s">
        <v>200</v>
      </c>
      <c r="K7" s="379" t="s">
        <v>204</v>
      </c>
      <c r="L7" s="379" t="s">
        <v>220</v>
      </c>
      <c r="M7" s="379" t="s">
        <v>88</v>
      </c>
      <c r="N7" s="382"/>
      <c r="P7" s="1924" t="s">
        <v>1545</v>
      </c>
      <c r="Q7" s="381" t="s">
        <v>1546</v>
      </c>
      <c r="R7" s="381" t="s">
        <v>1547</v>
      </c>
      <c r="S7" s="381" t="s">
        <v>1548</v>
      </c>
      <c r="T7" s="381" t="s">
        <v>1549</v>
      </c>
      <c r="U7" s="379" t="s">
        <v>88</v>
      </c>
      <c r="V7" s="382"/>
      <c r="X7" s="378"/>
      <c r="Y7" s="381"/>
      <c r="Z7" s="382"/>
      <c r="AB7" s="1410"/>
      <c r="AC7" s="381"/>
      <c r="AD7" s="1923"/>
    </row>
    <row r="8" spans="1:30" ht="11.25" customHeight="1">
      <c r="B8" s="378"/>
      <c r="C8" s="381"/>
      <c r="D8" s="381"/>
      <c r="E8" s="381"/>
      <c r="F8" s="381"/>
      <c r="G8" s="382"/>
      <c r="I8" s="378"/>
      <c r="J8" s="381"/>
      <c r="K8" s="381"/>
      <c r="L8" s="381"/>
      <c r="M8" s="381"/>
      <c r="N8" s="382"/>
      <c r="P8" s="378"/>
      <c r="Q8" s="381"/>
      <c r="R8" s="381"/>
      <c r="S8" s="381"/>
      <c r="T8" s="381"/>
      <c r="U8" s="381"/>
      <c r="V8" s="382"/>
      <c r="X8" s="378"/>
      <c r="Y8" s="381"/>
      <c r="Z8" s="382"/>
      <c r="AB8" s="1410"/>
      <c r="AC8" s="381"/>
      <c r="AD8" s="1923"/>
    </row>
    <row r="9" spans="1:30" ht="11.25" customHeight="1">
      <c r="B9" s="378" t="s">
        <v>1550</v>
      </c>
      <c r="C9" s="813">
        <v>237818</v>
      </c>
      <c r="D9" s="813">
        <v>236753</v>
      </c>
      <c r="E9" s="813">
        <v>235333</v>
      </c>
      <c r="F9" s="1925">
        <f>SUM(C9:E9)</f>
        <v>709904</v>
      </c>
      <c r="G9" s="382"/>
      <c r="I9" s="378" t="s">
        <v>1550</v>
      </c>
      <c r="J9" s="813">
        <v>197465</v>
      </c>
      <c r="K9" s="813">
        <v>200225</v>
      </c>
      <c r="L9" s="813">
        <v>189438</v>
      </c>
      <c r="M9" s="1925">
        <f>SUM(J9:L9)</f>
        <v>587128</v>
      </c>
      <c r="N9" s="382"/>
      <c r="P9" s="378" t="s">
        <v>1550</v>
      </c>
      <c r="Q9" s="1926">
        <f>625224*0.0005</f>
        <v>312.61200000000002</v>
      </c>
      <c r="R9" s="1926">
        <f>2070084*0.0005</f>
        <v>1035.0419999999999</v>
      </c>
      <c r="S9" s="1926">
        <f>184233*0.0005</f>
        <v>92.116500000000002</v>
      </c>
      <c r="T9" s="1926">
        <f>808453*0.0005</f>
        <v>404.22649999999999</v>
      </c>
      <c r="U9" s="1927">
        <f>SUM(Q9:S9)</f>
        <v>1439.7705000000001</v>
      </c>
      <c r="V9" s="382"/>
      <c r="X9" s="378" t="s">
        <v>1550</v>
      </c>
      <c r="Y9" s="1928">
        <v>0</v>
      </c>
      <c r="Z9" s="382"/>
      <c r="AB9" s="1410" t="s">
        <v>1550</v>
      </c>
      <c r="AC9" s="813">
        <f>F9+M9+U9+Y9</f>
        <v>1298471.7705000001</v>
      </c>
      <c r="AD9" s="1923"/>
    </row>
    <row r="10" spans="1:30" ht="11.25" customHeight="1">
      <c r="B10" s="378"/>
      <c r="C10" s="813"/>
      <c r="D10" s="813"/>
      <c r="E10" s="813"/>
      <c r="F10" s="813"/>
      <c r="G10" s="382"/>
      <c r="I10" s="378"/>
      <c r="J10" s="1926"/>
      <c r="K10" s="1926"/>
      <c r="L10" s="1926"/>
      <c r="M10" s="1926"/>
      <c r="N10" s="382"/>
      <c r="P10" s="378"/>
      <c r="Q10" s="381"/>
      <c r="R10" s="381"/>
      <c r="S10" s="381"/>
      <c r="T10" s="381"/>
      <c r="U10" s="381"/>
      <c r="V10" s="382"/>
      <c r="X10" s="378"/>
      <c r="Y10" s="381"/>
      <c r="Z10" s="382"/>
      <c r="AB10" s="1410"/>
      <c r="AC10" s="381"/>
      <c r="AD10" s="1923"/>
    </row>
    <row r="11" spans="1:30" ht="11.25" customHeight="1">
      <c r="B11" s="378" t="s">
        <v>1551</v>
      </c>
      <c r="C11" s="1926">
        <v>9.9499999999999993</v>
      </c>
      <c r="D11" s="1926">
        <v>9.9499999999999993</v>
      </c>
      <c r="E11" s="1926">
        <v>9.9499999999999993</v>
      </c>
      <c r="F11" s="1926"/>
      <c r="G11" s="382"/>
      <c r="I11" s="378" t="s">
        <v>1551</v>
      </c>
      <c r="J11" s="1926">
        <v>9.9499999999999993</v>
      </c>
      <c r="K11" s="1926">
        <v>9.9499999999999993</v>
      </c>
      <c r="L11" s="1926">
        <v>9.9499999999999993</v>
      </c>
      <c r="M11" s="1926"/>
      <c r="N11" s="382" t="s">
        <v>1552</v>
      </c>
      <c r="P11" s="378" t="s">
        <v>1551</v>
      </c>
      <c r="Q11" s="381">
        <v>9.9499999999999993</v>
      </c>
      <c r="R11" s="381">
        <v>9.9499999999999993</v>
      </c>
      <c r="S11" s="381">
        <v>9.9499999999999993</v>
      </c>
      <c r="T11" s="381">
        <v>9.9499999999999993</v>
      </c>
      <c r="U11" s="381"/>
      <c r="V11" s="382" t="s">
        <v>1552</v>
      </c>
      <c r="X11" s="378" t="s">
        <v>1551</v>
      </c>
      <c r="Y11" s="381">
        <v>9.9499999999999993</v>
      </c>
      <c r="Z11" s="382" t="s">
        <v>1552</v>
      </c>
      <c r="AB11" s="1410" t="s">
        <v>1551</v>
      </c>
      <c r="AC11" s="381">
        <v>9.9499999999999993</v>
      </c>
      <c r="AD11" s="1923" t="s">
        <v>1552</v>
      </c>
    </row>
    <row r="12" spans="1:30" ht="11.25" customHeight="1">
      <c r="B12" s="378"/>
      <c r="C12" s="1926"/>
      <c r="D12" s="1926"/>
      <c r="E12" s="1926"/>
      <c r="F12" s="1926"/>
      <c r="G12" s="382"/>
      <c r="I12" s="378"/>
      <c r="J12" s="1926"/>
      <c r="K12" s="1926"/>
      <c r="L12" s="1926"/>
      <c r="M12" s="1926"/>
      <c r="N12" s="382"/>
      <c r="P12" s="378"/>
      <c r="Q12" s="381"/>
      <c r="R12" s="381"/>
      <c r="S12" s="381"/>
      <c r="T12" s="381"/>
      <c r="U12" s="381"/>
      <c r="V12" s="382"/>
      <c r="X12" s="378"/>
      <c r="Y12" s="381"/>
      <c r="Z12" s="382"/>
      <c r="AB12" s="1410"/>
      <c r="AC12" s="381"/>
      <c r="AD12" s="1923"/>
    </row>
    <row r="13" spans="1:30" ht="11.25" customHeight="1">
      <c r="B13" s="378" t="s">
        <v>1553</v>
      </c>
      <c r="C13" s="1926">
        <f t="shared" ref="C13:E13" si="0">C9*C11</f>
        <v>2366289.0999999996</v>
      </c>
      <c r="D13" s="1926">
        <f t="shared" si="0"/>
        <v>2355692.3499999996</v>
      </c>
      <c r="E13" s="1926">
        <f t="shared" si="0"/>
        <v>2341563.3499999996</v>
      </c>
      <c r="F13" s="1926"/>
      <c r="G13" s="382"/>
      <c r="I13" s="378" t="s">
        <v>1553</v>
      </c>
      <c r="J13" s="1926">
        <f t="shared" ref="J13:L13" si="1">J9*J11</f>
        <v>1964776.7499999998</v>
      </c>
      <c r="K13" s="1926">
        <f t="shared" si="1"/>
        <v>1992238.7499999998</v>
      </c>
      <c r="L13" s="1926">
        <f t="shared" si="1"/>
        <v>1884908.0999999999</v>
      </c>
      <c r="M13" s="1926"/>
      <c r="N13" s="382"/>
      <c r="P13" s="378" t="s">
        <v>1553</v>
      </c>
      <c r="Q13" s="1926">
        <f t="shared" ref="Q13:T13" si="2">Q9*Q11</f>
        <v>3110.4893999999999</v>
      </c>
      <c r="R13" s="1926">
        <f t="shared" si="2"/>
        <v>10298.667899999999</v>
      </c>
      <c r="S13" s="1926">
        <f t="shared" si="2"/>
        <v>916.55917499999998</v>
      </c>
      <c r="T13" s="1926">
        <f t="shared" si="2"/>
        <v>4022.0536749999997</v>
      </c>
      <c r="U13" s="381"/>
      <c r="V13" s="382"/>
      <c r="X13" s="378" t="s">
        <v>1553</v>
      </c>
      <c r="Y13" s="813">
        <f>Y9*Y11</f>
        <v>0</v>
      </c>
      <c r="Z13" s="382"/>
      <c r="AB13" s="1410" t="s">
        <v>1553</v>
      </c>
      <c r="AC13" s="813">
        <f>AC9*AC11</f>
        <v>12919794.116475001</v>
      </c>
      <c r="AD13" s="1923"/>
    </row>
    <row r="14" spans="1:30" ht="11.25" customHeight="1">
      <c r="B14" s="378"/>
      <c r="C14" s="1926"/>
      <c r="D14" s="1926"/>
      <c r="E14" s="1926"/>
      <c r="F14" s="1926"/>
      <c r="G14" s="382"/>
      <c r="I14" s="378"/>
      <c r="J14" s="1926"/>
      <c r="K14" s="1926"/>
      <c r="L14" s="1926"/>
      <c r="M14" s="1926"/>
      <c r="N14" s="382"/>
      <c r="P14" s="378"/>
      <c r="Q14" s="381"/>
      <c r="R14" s="381"/>
      <c r="S14" s="381"/>
      <c r="T14" s="381"/>
      <c r="U14" s="381"/>
      <c r="V14" s="382"/>
      <c r="X14" s="378"/>
      <c r="Y14" s="381"/>
      <c r="Z14" s="382"/>
      <c r="AB14" s="1410"/>
      <c r="AC14" s="381"/>
      <c r="AD14" s="1923"/>
    </row>
    <row r="15" spans="1:30" ht="11.25" customHeight="1">
      <c r="B15" s="378" t="s">
        <v>1554</v>
      </c>
      <c r="C15" s="1926">
        <v>90.7</v>
      </c>
      <c r="D15" s="1926">
        <v>90.7</v>
      </c>
      <c r="E15" s="1926">
        <v>90.7</v>
      </c>
      <c r="F15" s="1926"/>
      <c r="G15" s="382"/>
      <c r="I15" s="378" t="s">
        <v>1555</v>
      </c>
      <c r="J15" s="1926">
        <v>90.7</v>
      </c>
      <c r="K15" s="1926">
        <v>90.7</v>
      </c>
      <c r="L15" s="1926">
        <v>90.7</v>
      </c>
      <c r="M15" s="1926"/>
      <c r="N15" s="382" t="s">
        <v>1552</v>
      </c>
      <c r="P15" s="378" t="s">
        <v>1556</v>
      </c>
      <c r="Q15" s="381">
        <v>90.7</v>
      </c>
      <c r="R15" s="381">
        <v>90.7</v>
      </c>
      <c r="S15" s="381">
        <v>90.7</v>
      </c>
      <c r="T15" s="381">
        <v>90.7</v>
      </c>
      <c r="U15" s="381"/>
      <c r="V15" s="382"/>
      <c r="X15" s="378" t="s">
        <v>1557</v>
      </c>
      <c r="Y15" s="381">
        <v>90.7</v>
      </c>
      <c r="Z15" s="382" t="s">
        <v>1552</v>
      </c>
      <c r="AB15" s="1410" t="s">
        <v>1558</v>
      </c>
      <c r="AC15" s="381">
        <v>90.7</v>
      </c>
      <c r="AD15" s="1923" t="s">
        <v>1552</v>
      </c>
    </row>
    <row r="16" spans="1:30" ht="11.25" customHeight="1">
      <c r="B16" s="378"/>
      <c r="C16" s="1926"/>
      <c r="D16" s="1926"/>
      <c r="E16" s="1926"/>
      <c r="F16" s="1926"/>
      <c r="G16" s="382"/>
      <c r="I16" s="378"/>
      <c r="J16" s="1926"/>
      <c r="K16" s="1926"/>
      <c r="L16" s="1926"/>
      <c r="M16" s="1926"/>
      <c r="N16" s="382"/>
      <c r="P16" s="378"/>
      <c r="Q16" s="381"/>
      <c r="R16" s="381"/>
      <c r="S16" s="381"/>
      <c r="T16" s="381"/>
      <c r="U16" s="381"/>
      <c r="V16" s="382"/>
      <c r="X16" s="378"/>
      <c r="Y16" s="381"/>
      <c r="Z16" s="382"/>
      <c r="AB16" s="1410"/>
      <c r="AC16" s="381"/>
      <c r="AD16" s="1923"/>
    </row>
    <row r="17" spans="2:30" ht="11.25" customHeight="1">
      <c r="B17" s="378" t="s">
        <v>1559</v>
      </c>
      <c r="C17" s="813">
        <f t="shared" ref="C17:E17" si="3">C13*C15</f>
        <v>214622421.36999997</v>
      </c>
      <c r="D17" s="813">
        <f t="shared" si="3"/>
        <v>213661296.14499998</v>
      </c>
      <c r="E17" s="813">
        <f t="shared" si="3"/>
        <v>212379795.84499997</v>
      </c>
      <c r="F17" s="1926"/>
      <c r="G17" s="382"/>
      <c r="I17" s="378" t="s">
        <v>1560</v>
      </c>
      <c r="J17" s="1926">
        <f t="shared" ref="J17:L17" si="4">J13*J15</f>
        <v>178205251.22499999</v>
      </c>
      <c r="K17" s="1926">
        <f t="shared" si="4"/>
        <v>180696054.62499997</v>
      </c>
      <c r="L17" s="1926">
        <f t="shared" si="4"/>
        <v>170961164.66999999</v>
      </c>
      <c r="M17" s="1926"/>
      <c r="N17" s="382"/>
      <c r="P17" s="378" t="s">
        <v>1561</v>
      </c>
      <c r="Q17" s="1926">
        <f t="shared" ref="Q17:T17" si="5">Q13*Q15</f>
        <v>282121.38858000003</v>
      </c>
      <c r="R17" s="1926">
        <f t="shared" si="5"/>
        <v>934089.17852999992</v>
      </c>
      <c r="S17" s="1926">
        <f t="shared" si="5"/>
        <v>83131.917172500005</v>
      </c>
      <c r="T17" s="1926">
        <f t="shared" si="5"/>
        <v>364800.26832249999</v>
      </c>
      <c r="U17" s="381"/>
      <c r="V17" s="382"/>
      <c r="X17" s="378" t="s">
        <v>1562</v>
      </c>
      <c r="Y17" s="1926">
        <f>Y13*Y15</f>
        <v>0</v>
      </c>
      <c r="Z17" s="382"/>
      <c r="AB17" s="1410" t="s">
        <v>1563</v>
      </c>
      <c r="AC17" s="813">
        <f>AC13*AC15</f>
        <v>1171825326.3642826</v>
      </c>
      <c r="AD17" s="1923"/>
    </row>
    <row r="18" spans="2:30" ht="11.25" customHeight="1">
      <c r="B18" s="378"/>
      <c r="C18" s="1926"/>
      <c r="D18" s="1926"/>
      <c r="E18" s="1926"/>
      <c r="F18" s="1926"/>
      <c r="G18" s="382"/>
      <c r="I18" s="378"/>
      <c r="J18" s="1926"/>
      <c r="K18" s="1926"/>
      <c r="L18" s="1926"/>
      <c r="M18" s="1926"/>
      <c r="N18" s="382"/>
      <c r="P18" s="378"/>
      <c r="Q18" s="381"/>
      <c r="R18" s="381"/>
      <c r="S18" s="381"/>
      <c r="T18" s="381"/>
      <c r="U18" s="381"/>
      <c r="V18" s="382"/>
      <c r="X18" s="378"/>
      <c r="Y18" s="381"/>
      <c r="Z18" s="382"/>
      <c r="AB18" s="1410"/>
      <c r="AC18" s="381"/>
      <c r="AD18" s="1923"/>
    </row>
    <row r="19" spans="2:30" ht="11.25" customHeight="1">
      <c r="B19" s="378" t="s">
        <v>1564</v>
      </c>
      <c r="C19" s="813">
        <f t="shared" ref="C19:E19" si="6">C17*0.0011023</f>
        <v>236578.295076151</v>
      </c>
      <c r="D19" s="813">
        <f t="shared" si="6"/>
        <v>235518.84674063348</v>
      </c>
      <c r="E19" s="813">
        <f t="shared" si="6"/>
        <v>234106.24895994348</v>
      </c>
      <c r="F19" s="1927">
        <f>SUM(C19:E19)</f>
        <v>706203.39077672805</v>
      </c>
      <c r="G19" s="382" t="s">
        <v>1552</v>
      </c>
      <c r="I19" s="378" t="s">
        <v>1565</v>
      </c>
      <c r="J19" s="1926">
        <f t="shared" ref="J19:L19" si="7">J17*0.0011023</f>
        <v>196435.64842531751</v>
      </c>
      <c r="K19" s="1926">
        <f t="shared" si="7"/>
        <v>199181.26101313747</v>
      </c>
      <c r="L19" s="1926">
        <f t="shared" si="7"/>
        <v>188450.491815741</v>
      </c>
      <c r="M19" s="1926">
        <v>554009.90692775359</v>
      </c>
      <c r="N19" s="382" t="s">
        <v>1552</v>
      </c>
      <c r="P19" s="378" t="s">
        <v>1566</v>
      </c>
      <c r="Q19" s="813">
        <f t="shared" ref="Q19:T19" si="8">Q17*0.0011023</f>
        <v>310.98240663173402</v>
      </c>
      <c r="R19" s="813">
        <f t="shared" si="8"/>
        <v>1029.6465014936189</v>
      </c>
      <c r="S19" s="813">
        <f t="shared" si="8"/>
        <v>91.636312299246768</v>
      </c>
      <c r="T19" s="813">
        <f t="shared" si="8"/>
        <v>402.11933577189177</v>
      </c>
      <c r="U19" s="813">
        <f>SUM(Q19:S19)</f>
        <v>1432.2652204245996</v>
      </c>
      <c r="V19" s="382" t="s">
        <v>1552</v>
      </c>
      <c r="X19" s="378" t="s">
        <v>1567</v>
      </c>
      <c r="Y19" s="813">
        <f>Y17*0.0011023</f>
        <v>0</v>
      </c>
      <c r="Z19" s="382" t="s">
        <v>1552</v>
      </c>
      <c r="AB19" s="1410" t="s">
        <v>1568</v>
      </c>
      <c r="AC19" s="813">
        <f>AC17*0.0011023</f>
        <v>1291703.0572513489</v>
      </c>
      <c r="AD19" s="1923" t="s">
        <v>1552</v>
      </c>
    </row>
    <row r="20" spans="2:30" ht="11.25" customHeight="1">
      <c r="B20" s="378"/>
      <c r="C20" s="1926"/>
      <c r="D20" s="1926"/>
      <c r="E20" s="1926"/>
      <c r="F20" s="1926"/>
      <c r="G20" s="382"/>
      <c r="I20" s="378"/>
      <c r="J20" s="1926"/>
      <c r="K20" s="1926"/>
      <c r="L20" s="1926"/>
      <c r="M20" s="1926"/>
      <c r="N20" s="382"/>
      <c r="P20" s="378"/>
      <c r="Q20" s="381"/>
      <c r="R20" s="381"/>
      <c r="S20" s="381"/>
      <c r="T20" s="381"/>
      <c r="U20" s="381"/>
      <c r="V20" s="382"/>
      <c r="X20" s="378"/>
      <c r="Y20" s="1929"/>
      <c r="Z20" s="382"/>
      <c r="AB20" s="1410"/>
      <c r="AC20" s="381"/>
      <c r="AD20" s="1923"/>
    </row>
    <row r="21" spans="2:30" ht="11.25" customHeight="1">
      <c r="B21" s="378" t="s">
        <v>1569</v>
      </c>
      <c r="C21" s="813">
        <v>227655</v>
      </c>
      <c r="D21" s="813">
        <v>216972</v>
      </c>
      <c r="E21" s="813">
        <v>229653</v>
      </c>
      <c r="F21" s="1926">
        <f>C21+D21+E21</f>
        <v>674280</v>
      </c>
      <c r="G21" s="382" t="s">
        <v>601</v>
      </c>
      <c r="I21" s="378" t="s">
        <v>1570</v>
      </c>
      <c r="J21" s="1926">
        <f t="shared" ref="J21:L21" si="9">J23*0.907441</f>
        <v>184170.595596</v>
      </c>
      <c r="K21" s="1926">
        <f t="shared" si="9"/>
        <v>184377.49214400002</v>
      </c>
      <c r="L21" s="1926">
        <f t="shared" si="9"/>
        <v>176245.005902</v>
      </c>
      <c r="M21" s="1926"/>
      <c r="N21" s="1930" t="s">
        <v>1571</v>
      </c>
      <c r="P21" s="378" t="s">
        <v>1572</v>
      </c>
      <c r="Q21" s="1926">
        <f t="shared" ref="Q21:T21" si="10">Q23*0.907441</f>
        <v>279.491828</v>
      </c>
      <c r="R21" s="1926">
        <f t="shared" si="10"/>
        <v>925.58982000000003</v>
      </c>
      <c r="S21" s="1926">
        <f t="shared" si="10"/>
        <v>82.30489870000001</v>
      </c>
      <c r="T21" s="1926">
        <f t="shared" si="10"/>
        <v>361.161518</v>
      </c>
      <c r="U21" s="381"/>
      <c r="V21" s="1930" t="s">
        <v>1571</v>
      </c>
      <c r="X21" s="378" t="s">
        <v>1573</v>
      </c>
      <c r="Y21" s="1931">
        <f>Y23*0.907441</f>
        <v>0</v>
      </c>
      <c r="Z21" s="1930" t="s">
        <v>1571</v>
      </c>
      <c r="AB21" s="1410"/>
      <c r="AC21" s="381"/>
      <c r="AD21" s="1923"/>
    </row>
    <row r="22" spans="2:30" ht="11.25" customHeight="1">
      <c r="B22" s="378"/>
      <c r="C22" s="1926"/>
      <c r="D22" s="1926"/>
      <c r="E22" s="1926"/>
      <c r="F22" s="1926"/>
      <c r="G22" s="382"/>
      <c r="I22" s="378"/>
      <c r="J22" s="1926"/>
      <c r="K22" s="1926"/>
      <c r="L22" s="1926"/>
      <c r="M22" s="1926"/>
      <c r="N22" s="382"/>
      <c r="P22" s="378"/>
      <c r="Q22" s="381"/>
      <c r="R22" s="381"/>
      <c r="S22" s="381"/>
      <c r="T22" s="381"/>
      <c r="U22" s="381"/>
      <c r="V22" s="382"/>
      <c r="X22" s="378"/>
      <c r="Y22" s="1929"/>
      <c r="Z22" s="382"/>
      <c r="AB22" s="1410"/>
      <c r="AC22" s="381"/>
      <c r="AD22" s="1923"/>
    </row>
    <row r="23" spans="2:30" ht="11.25" customHeight="1">
      <c r="B23" s="1921" t="s">
        <v>1574</v>
      </c>
      <c r="C23" s="1932">
        <f t="shared" ref="C23:D23" si="11">C21*1.1023</f>
        <v>250944.10650000002</v>
      </c>
      <c r="D23" s="1932">
        <f t="shared" si="11"/>
        <v>239168.23560000001</v>
      </c>
      <c r="E23" s="1932">
        <v>217072</v>
      </c>
      <c r="F23" s="1933">
        <f>SUM(C23:E23)</f>
        <v>707184.34210000001</v>
      </c>
      <c r="G23" s="1930" t="s">
        <v>601</v>
      </c>
      <c r="I23" s="1921" t="s">
        <v>1575</v>
      </c>
      <c r="J23" s="1934">
        <v>202956</v>
      </c>
      <c r="K23" s="1934">
        <v>203184</v>
      </c>
      <c r="L23" s="1934">
        <v>194222</v>
      </c>
      <c r="M23" s="1935">
        <f>SUM(J23:L23)</f>
        <v>600362</v>
      </c>
      <c r="N23" s="1936" t="s">
        <v>1571</v>
      </c>
      <c r="P23" s="1921" t="s">
        <v>1576</v>
      </c>
      <c r="Q23" s="825">
        <v>308</v>
      </c>
      <c r="R23" s="825">
        <f>1020</f>
        <v>1020</v>
      </c>
      <c r="S23" s="825">
        <f>90.7</f>
        <v>90.7</v>
      </c>
      <c r="T23" s="825">
        <f>398</f>
        <v>398</v>
      </c>
      <c r="U23" s="1937">
        <f>SUM(Q23:S23)</f>
        <v>1418.7</v>
      </c>
      <c r="V23" s="1930" t="s">
        <v>1571</v>
      </c>
      <c r="X23" s="1921" t="s">
        <v>1577</v>
      </c>
      <c r="Y23" s="1938">
        <v>0</v>
      </c>
      <c r="Z23" s="1930" t="s">
        <v>1571</v>
      </c>
      <c r="AB23" s="1939" t="s">
        <v>1578</v>
      </c>
      <c r="AC23" s="1937">
        <f>F23+M23+U23+Y23</f>
        <v>1308965.0421</v>
      </c>
      <c r="AD23" s="1923"/>
    </row>
    <row r="24" spans="2:30" ht="11.25" customHeight="1">
      <c r="B24" s="378"/>
      <c r="C24" s="1926"/>
      <c r="D24" s="1926"/>
      <c r="E24" s="1926"/>
      <c r="F24" s="1926"/>
      <c r="G24" s="382"/>
      <c r="I24" s="378"/>
      <c r="J24" s="1926"/>
      <c r="K24" s="1926"/>
      <c r="L24" s="1926"/>
      <c r="M24" s="1926"/>
      <c r="N24" s="382"/>
      <c r="P24" s="378"/>
      <c r="Q24" s="381"/>
      <c r="R24" s="381"/>
      <c r="S24" s="381"/>
      <c r="T24" s="381"/>
      <c r="U24" s="381"/>
      <c r="V24" s="382"/>
      <c r="X24" s="378"/>
      <c r="Y24" s="1929"/>
      <c r="Z24" s="382"/>
      <c r="AB24" s="1410"/>
      <c r="AC24" s="381"/>
      <c r="AD24" s="1923"/>
    </row>
    <row r="25" spans="2:30" ht="11.25" customHeight="1">
      <c r="B25" s="378" t="s">
        <v>1579</v>
      </c>
      <c r="C25" s="1926">
        <v>3.2000000000000001E-2</v>
      </c>
      <c r="D25" s="1926">
        <v>3.2000000000000001E-2</v>
      </c>
      <c r="E25" s="1926">
        <v>3.2000000000000001E-2</v>
      </c>
      <c r="F25" s="1926"/>
      <c r="G25" s="382"/>
      <c r="I25" s="378" t="s">
        <v>1580</v>
      </c>
      <c r="J25" s="1926">
        <v>3.2000000000000001E-2</v>
      </c>
      <c r="K25" s="1926">
        <v>3.2000000000000001E-2</v>
      </c>
      <c r="L25" s="1926">
        <v>3.2000000000000001E-2</v>
      </c>
      <c r="M25" s="1926"/>
      <c r="N25" s="382"/>
      <c r="P25" s="378" t="s">
        <v>1581</v>
      </c>
      <c r="Q25" s="381">
        <v>3.2000000000000001E-2</v>
      </c>
      <c r="R25" s="381">
        <v>3.2000000000000001E-2</v>
      </c>
      <c r="S25" s="381">
        <v>3.2000000000000001E-2</v>
      </c>
      <c r="T25" s="381">
        <v>3.2000000000000001E-2</v>
      </c>
      <c r="U25" s="381"/>
      <c r="V25" s="382" t="s">
        <v>1552</v>
      </c>
      <c r="X25" s="378" t="s">
        <v>1582</v>
      </c>
      <c r="Y25" s="1929">
        <v>3.2000000000000001E-2</v>
      </c>
      <c r="Z25" s="382"/>
      <c r="AB25" s="1410" t="s">
        <v>1583</v>
      </c>
      <c r="AC25" s="381">
        <v>3.2000000000000001E-2</v>
      </c>
      <c r="AD25" s="1923"/>
    </row>
    <row r="26" spans="2:30" ht="11.25" customHeight="1">
      <c r="B26" s="378" t="s">
        <v>1584</v>
      </c>
      <c r="C26" s="1926">
        <f t="shared" ref="C26:E26" si="12">C13*C25</f>
        <v>75721.251199999984</v>
      </c>
      <c r="D26" s="1926">
        <f t="shared" si="12"/>
        <v>75382.155199999994</v>
      </c>
      <c r="E26" s="1926">
        <f t="shared" si="12"/>
        <v>74930.027199999997</v>
      </c>
      <c r="F26" s="1926"/>
      <c r="G26" s="382"/>
      <c r="I26" s="378" t="s">
        <v>1585</v>
      </c>
      <c r="J26" s="1926">
        <f t="shared" ref="J26:L26" si="13">J13*J25</f>
        <v>62872.855999999992</v>
      </c>
      <c r="K26" s="1926">
        <f t="shared" si="13"/>
        <v>63751.639999999992</v>
      </c>
      <c r="L26" s="1926">
        <f t="shared" si="13"/>
        <v>60317.059199999996</v>
      </c>
      <c r="M26" s="1926"/>
      <c r="N26" s="382"/>
      <c r="P26" s="378" t="s">
        <v>1586</v>
      </c>
      <c r="Q26" s="1926">
        <f t="shared" ref="Q26:T26" si="14">Q13*Q25</f>
        <v>99.535660800000002</v>
      </c>
      <c r="R26" s="1926">
        <f t="shared" si="14"/>
        <v>329.55737279999994</v>
      </c>
      <c r="S26" s="1926">
        <f t="shared" si="14"/>
        <v>29.329893599999998</v>
      </c>
      <c r="T26" s="1926">
        <f t="shared" si="14"/>
        <v>128.70571759999999</v>
      </c>
      <c r="U26" s="381"/>
      <c r="V26" s="382"/>
      <c r="X26" s="378" t="s">
        <v>1587</v>
      </c>
      <c r="Y26" s="1929">
        <v>0</v>
      </c>
      <c r="Z26" s="382"/>
      <c r="AB26" s="1410" t="s">
        <v>1588</v>
      </c>
      <c r="AC26" s="1926">
        <f>AC13*AC25</f>
        <v>413433.41172720003</v>
      </c>
      <c r="AD26" s="1923"/>
    </row>
    <row r="27" spans="2:30" ht="11.25" customHeight="1">
      <c r="B27" s="378" t="s">
        <v>1589</v>
      </c>
      <c r="C27" s="1926">
        <f t="shared" ref="C27:E27" si="15">C26*0.0011023</f>
        <v>83.467535197759986</v>
      </c>
      <c r="D27" s="1926">
        <f t="shared" si="15"/>
        <v>83.093749676960002</v>
      </c>
      <c r="E27" s="1926">
        <f t="shared" si="15"/>
        <v>82.595368982560004</v>
      </c>
      <c r="F27" s="1926">
        <f>SUM(C27:E27)</f>
        <v>249.15665385727999</v>
      </c>
      <c r="G27" s="382" t="s">
        <v>1552</v>
      </c>
      <c r="I27" s="378" t="s">
        <v>1590</v>
      </c>
      <c r="J27" s="1926">
        <v>83.394994316799981</v>
      </c>
      <c r="K27" s="1926">
        <v>82.256329721440011</v>
      </c>
      <c r="L27" s="1926">
        <v>81.416452959680001</v>
      </c>
      <c r="M27" s="1926">
        <v>195.44356166143999</v>
      </c>
      <c r="N27" s="382" t="s">
        <v>1552</v>
      </c>
      <c r="P27" s="378" t="s">
        <v>1591</v>
      </c>
      <c r="Q27" s="1926">
        <f t="shared" ref="Q27:T27" si="16">Q26*0.0011023</f>
        <v>0.10971815889984</v>
      </c>
      <c r="R27" s="1926">
        <f t="shared" si="16"/>
        <v>0.36327109203743996</v>
      </c>
      <c r="S27" s="1926">
        <f t="shared" si="16"/>
        <v>3.233034171528E-2</v>
      </c>
      <c r="T27" s="1926">
        <f t="shared" si="16"/>
        <v>0.14187231251047999</v>
      </c>
      <c r="U27" s="1926">
        <f>SUM(Q27:S27)</f>
        <v>0.50531959265255999</v>
      </c>
      <c r="V27" s="382"/>
      <c r="X27" s="378" t="s">
        <v>1592</v>
      </c>
      <c r="Y27" s="1929">
        <v>41.46872548479999</v>
      </c>
      <c r="Z27" s="382" t="s">
        <v>1552</v>
      </c>
      <c r="AB27" s="1410" t="s">
        <v>1593</v>
      </c>
      <c r="AC27" s="1926">
        <f>AC26*0.0011023</f>
        <v>455.72764974689261</v>
      </c>
      <c r="AD27" s="1923" t="s">
        <v>1552</v>
      </c>
    </row>
    <row r="28" spans="2:30" ht="11.25" customHeight="1">
      <c r="B28" s="378"/>
      <c r="C28" s="1926"/>
      <c r="D28" s="1926"/>
      <c r="E28" s="1926"/>
      <c r="F28" s="1927"/>
      <c r="G28" s="382"/>
      <c r="I28" s="378"/>
      <c r="J28" s="1926"/>
      <c r="K28" s="1926"/>
      <c r="L28" s="1926"/>
      <c r="M28" s="1926"/>
      <c r="N28" s="382"/>
      <c r="P28" s="378"/>
      <c r="Q28" s="1926"/>
      <c r="R28" s="1926"/>
      <c r="S28" s="1926"/>
      <c r="T28" s="1926"/>
      <c r="U28" s="381"/>
      <c r="V28" s="382"/>
      <c r="X28" s="378"/>
      <c r="Y28" s="1929"/>
      <c r="Z28" s="382"/>
      <c r="AB28" s="1410"/>
      <c r="AC28" s="381"/>
      <c r="AD28" s="1923"/>
    </row>
    <row r="29" spans="2:30" ht="11.25" customHeight="1">
      <c r="B29" s="1940" t="s">
        <v>1594</v>
      </c>
      <c r="C29" s="1941">
        <f>83.482*1.10231</f>
        <v>92.023043419999993</v>
      </c>
      <c r="D29" s="1941">
        <f>83.099*1.10231</f>
        <v>91.600858689999995</v>
      </c>
      <c r="E29" s="1941">
        <f>82.613*1.10231</f>
        <v>91.065136029999991</v>
      </c>
      <c r="F29" s="1942">
        <f>SUM(C29:E29)</f>
        <v>274.68903813999998</v>
      </c>
      <c r="G29" s="1943" t="s">
        <v>601</v>
      </c>
      <c r="I29" s="1940" t="s">
        <v>1595</v>
      </c>
      <c r="J29" s="1944">
        <v>2.7E-2</v>
      </c>
      <c r="K29" s="1944">
        <v>1.7000000000000001E-2</v>
      </c>
      <c r="L29" s="1944">
        <v>2.1700000000000001E-2</v>
      </c>
      <c r="M29" s="1944">
        <f>SUM(J29:L29)</f>
        <v>6.5699999999999995E-2</v>
      </c>
      <c r="N29" s="1943" t="s">
        <v>1571</v>
      </c>
      <c r="P29" s="1940" t="s">
        <v>1596</v>
      </c>
      <c r="Q29" s="1945">
        <f>0.469</f>
        <v>0.46899999999999997</v>
      </c>
      <c r="R29" s="1945">
        <f>1.55</f>
        <v>1.55</v>
      </c>
      <c r="S29" s="1945">
        <f>0.0138</f>
        <v>1.38E-2</v>
      </c>
      <c r="T29" s="1945">
        <f>0.0604</f>
        <v>6.0400000000000002E-2</v>
      </c>
      <c r="U29" s="1946">
        <f>SUM(Q29:T29)</f>
        <v>2.0931999999999999</v>
      </c>
      <c r="V29" s="1943" t="s">
        <v>1571</v>
      </c>
      <c r="X29" s="1940" t="s">
        <v>1597</v>
      </c>
      <c r="Y29" s="1947">
        <f>Y33</f>
        <v>0</v>
      </c>
      <c r="Z29" s="1943"/>
      <c r="AB29" s="1948" t="s">
        <v>1598</v>
      </c>
      <c r="AC29" s="1942">
        <f>(F29+M29+U29+Y29)*AC43</f>
        <v>7751.7422679199999</v>
      </c>
      <c r="AD29" s="1943" t="s">
        <v>1571</v>
      </c>
    </row>
    <row r="30" spans="2:30" ht="11.25" customHeight="1">
      <c r="B30" s="378"/>
      <c r="C30" s="1926"/>
      <c r="D30" s="1926"/>
      <c r="E30" s="1926"/>
      <c r="F30" s="1926"/>
      <c r="G30" s="382"/>
      <c r="I30" s="378"/>
      <c r="J30" s="1926"/>
      <c r="K30" s="1926"/>
      <c r="L30" s="1926"/>
      <c r="M30" s="1926"/>
      <c r="N30" s="382"/>
      <c r="P30" s="378"/>
      <c r="Q30" s="381"/>
      <c r="R30" s="381"/>
      <c r="S30" s="381"/>
      <c r="T30" s="381"/>
      <c r="U30" s="381"/>
      <c r="V30" s="382"/>
      <c r="X30" s="378"/>
      <c r="Y30" s="1929"/>
      <c r="Z30" s="382"/>
      <c r="AB30" s="1410"/>
      <c r="AC30" s="381"/>
      <c r="AD30" s="1923"/>
    </row>
    <row r="31" spans="2:30" ht="11.25" customHeight="1">
      <c r="B31" s="378" t="s">
        <v>1599</v>
      </c>
      <c r="C31" s="1949">
        <v>4.1999999999999997E-3</v>
      </c>
      <c r="D31" s="1949">
        <v>4.1999999999999997E-3</v>
      </c>
      <c r="E31" s="1949">
        <v>4.1999999999999997E-3</v>
      </c>
      <c r="F31" s="1926"/>
      <c r="G31" s="382"/>
      <c r="I31" s="378" t="s">
        <v>1600</v>
      </c>
      <c r="J31" s="1949">
        <v>4.1999999999999997E-3</v>
      </c>
      <c r="K31" s="1949">
        <v>4.1999999999999997E-3</v>
      </c>
      <c r="L31" s="1949">
        <v>4.1999999999999997E-3</v>
      </c>
      <c r="M31" s="1926"/>
      <c r="N31" s="382"/>
      <c r="P31" s="378" t="s">
        <v>1601</v>
      </c>
      <c r="Q31" s="381">
        <v>4.1999999999999997E-3</v>
      </c>
      <c r="R31" s="381">
        <v>4.1999999999999997E-3</v>
      </c>
      <c r="S31" s="381">
        <v>4.1999999999999997E-3</v>
      </c>
      <c r="T31" s="381">
        <v>4.1999999999999997E-3</v>
      </c>
      <c r="U31" s="381"/>
      <c r="V31" s="382" t="s">
        <v>1552</v>
      </c>
      <c r="X31" s="378" t="s">
        <v>1602</v>
      </c>
      <c r="Y31" s="1949">
        <v>0</v>
      </c>
      <c r="Z31" s="382"/>
      <c r="AB31" s="1410" t="s">
        <v>1603</v>
      </c>
      <c r="AC31" s="381">
        <v>4.1999999999999997E-3</v>
      </c>
      <c r="AD31" s="1923"/>
    </row>
    <row r="32" spans="2:30" ht="11.25" customHeight="1">
      <c r="B32" s="378" t="s">
        <v>1604</v>
      </c>
      <c r="C32" s="1926">
        <f t="shared" ref="C32:E32" si="17">C13*C31</f>
        <v>9938.4142199999969</v>
      </c>
      <c r="D32" s="1926">
        <f t="shared" si="17"/>
        <v>9893.9078699999973</v>
      </c>
      <c r="E32" s="1926">
        <f t="shared" si="17"/>
        <v>9834.5660699999971</v>
      </c>
      <c r="F32" s="1926"/>
      <c r="G32" s="382"/>
      <c r="I32" s="378" t="s">
        <v>1605</v>
      </c>
      <c r="J32" s="1926">
        <f t="shared" ref="J32:L32" si="18">J13*J31</f>
        <v>8252.0623499999983</v>
      </c>
      <c r="K32" s="1926">
        <f t="shared" si="18"/>
        <v>8367.4027499999993</v>
      </c>
      <c r="L32" s="1926">
        <f t="shared" si="18"/>
        <v>7916.6140199999991</v>
      </c>
      <c r="M32" s="1926"/>
      <c r="N32" s="382"/>
      <c r="P32" s="378" t="s">
        <v>1606</v>
      </c>
      <c r="Q32" s="1926">
        <f t="shared" ref="Q32:T32" si="19">Q13*Q31</f>
        <v>13.064055479999999</v>
      </c>
      <c r="R32" s="1926">
        <f t="shared" si="19"/>
        <v>43.254405179999992</v>
      </c>
      <c r="S32" s="1926">
        <f t="shared" si="19"/>
        <v>3.8495485349999998</v>
      </c>
      <c r="T32" s="1926">
        <f t="shared" si="19"/>
        <v>16.892625434999996</v>
      </c>
      <c r="U32" s="381"/>
      <c r="V32" s="382"/>
      <c r="X32" s="378" t="s">
        <v>1607</v>
      </c>
      <c r="Y32" s="1929">
        <f>Y13*Y31</f>
        <v>0</v>
      </c>
      <c r="Z32" s="382"/>
      <c r="AB32" s="1410" t="s">
        <v>1608</v>
      </c>
      <c r="AC32" s="1926">
        <f>AC13*AC31</f>
        <v>54263.135289195001</v>
      </c>
      <c r="AD32" s="1923"/>
    </row>
    <row r="33" spans="2:30" ht="11.25" customHeight="1">
      <c r="B33" s="378" t="s">
        <v>1609</v>
      </c>
      <c r="C33" s="1926">
        <f t="shared" ref="C33:E33" si="20">C32*0.0011023</f>
        <v>10.955113994705997</v>
      </c>
      <c r="D33" s="1926">
        <f t="shared" si="20"/>
        <v>10.906054645100998</v>
      </c>
      <c r="E33" s="1926">
        <f t="shared" si="20"/>
        <v>10.840642178960998</v>
      </c>
      <c r="F33" s="1927">
        <f>SUM(C33:E33)</f>
        <v>32.701810818767996</v>
      </c>
      <c r="G33" s="382" t="s">
        <v>1552</v>
      </c>
      <c r="I33" s="378" t="s">
        <v>1610</v>
      </c>
      <c r="J33" s="1926">
        <f t="shared" ref="J33:L33" si="21">J32*0.0011023</f>
        <v>9.0962483284049984</v>
      </c>
      <c r="K33" s="1926">
        <f t="shared" si="21"/>
        <v>9.2233880513249993</v>
      </c>
      <c r="L33" s="1926">
        <f t="shared" si="21"/>
        <v>8.7264836342459997</v>
      </c>
      <c r="M33" s="1926">
        <f>SUM(J33:L33)</f>
        <v>27.046120013976001</v>
      </c>
      <c r="N33" s="382" t="s">
        <v>1552</v>
      </c>
      <c r="P33" s="378" t="s">
        <v>1611</v>
      </c>
      <c r="Q33" s="1926">
        <f t="shared" ref="Q33:T33" si="22">Q32*0.0011023</f>
        <v>1.4400508355603999E-2</v>
      </c>
      <c r="R33" s="1926">
        <f t="shared" si="22"/>
        <v>4.7679330829913998E-2</v>
      </c>
      <c r="S33" s="1926">
        <f t="shared" si="22"/>
        <v>4.2433573501304998E-3</v>
      </c>
      <c r="T33" s="1926">
        <f t="shared" si="22"/>
        <v>1.8620741017000498E-2</v>
      </c>
      <c r="U33" s="1218">
        <v>9.8723234772949489E-2</v>
      </c>
      <c r="V33" s="382"/>
      <c r="X33" s="378" t="s">
        <v>1612</v>
      </c>
      <c r="Y33" s="1929">
        <f>Y32*0.0011023</f>
        <v>0</v>
      </c>
      <c r="Z33" s="382" t="s">
        <v>1552</v>
      </c>
      <c r="AB33" s="1410" t="s">
        <v>1613</v>
      </c>
      <c r="AC33" s="1926">
        <f>AC32*0.0011023</f>
        <v>59.814254029279653</v>
      </c>
      <c r="AD33" s="1923" t="s">
        <v>1552</v>
      </c>
    </row>
    <row r="34" spans="2:30" ht="11.25" customHeight="1">
      <c r="B34" s="1950"/>
      <c r="C34" s="1926"/>
      <c r="D34" s="1926"/>
      <c r="E34" s="1926"/>
      <c r="F34" s="1926"/>
      <c r="G34" s="382"/>
      <c r="I34" s="378"/>
      <c r="J34" s="381"/>
      <c r="K34" s="381"/>
      <c r="L34" s="381"/>
      <c r="M34" s="381"/>
      <c r="N34" s="382"/>
      <c r="P34" s="378"/>
      <c r="Q34" s="381"/>
      <c r="R34" s="381"/>
      <c r="S34" s="381"/>
      <c r="T34" s="381"/>
      <c r="U34" s="381"/>
      <c r="V34" s="382"/>
      <c r="X34" s="378"/>
      <c r="Y34" s="381"/>
      <c r="Z34" s="382"/>
      <c r="AB34" s="1951"/>
      <c r="AC34" s="853"/>
      <c r="AD34" s="1952"/>
    </row>
    <row r="35" spans="2:30" ht="11.25" customHeight="1">
      <c r="B35" s="1953" t="s">
        <v>1614</v>
      </c>
      <c r="C35" s="1954">
        <f>10.957*1.10231</f>
        <v>12.078010669999999</v>
      </c>
      <c r="D35" s="1954">
        <f>10.907*1.10231</f>
        <v>12.022895169999998</v>
      </c>
      <c r="E35" s="1954">
        <f>10.843*1.10231</f>
        <v>11.952347329999998</v>
      </c>
      <c r="F35" s="1955">
        <f>SUM(C35:E35)</f>
        <v>36.053253169999991</v>
      </c>
      <c r="G35" s="1956" t="s">
        <v>601</v>
      </c>
      <c r="I35" s="1957" t="s">
        <v>1615</v>
      </c>
      <c r="J35" s="1958">
        <v>2.58E-2</v>
      </c>
      <c r="K35" s="1958">
        <v>1.6299999999999999E-2</v>
      </c>
      <c r="L35" s="1958">
        <v>2.07E-2</v>
      </c>
      <c r="M35" s="1959">
        <f>SUM(J35:L35)</f>
        <v>6.2799999999999995E-2</v>
      </c>
      <c r="N35" s="1956" t="s">
        <v>1571</v>
      </c>
      <c r="P35" s="1957" t="s">
        <v>1616</v>
      </c>
      <c r="Q35" s="1960">
        <f>0.00939</f>
        <v>9.3900000000000008E-3</v>
      </c>
      <c r="R35" s="1960">
        <v>8.9999999999999993E-3</v>
      </c>
      <c r="S35" s="1960">
        <v>5.5399999999999998E-3</v>
      </c>
      <c r="T35" s="1960">
        <v>5.8399999999999997E-3</v>
      </c>
      <c r="U35" s="1961">
        <f>SUM(Q35:S35)</f>
        <v>2.393E-2</v>
      </c>
      <c r="V35" s="1956" t="s">
        <v>1571</v>
      </c>
      <c r="X35" s="1957" t="s">
        <v>1617</v>
      </c>
      <c r="Y35" s="1962">
        <v>0</v>
      </c>
      <c r="Z35" s="1956" t="s">
        <v>1571</v>
      </c>
      <c r="AB35" s="1963" t="s">
        <v>1618</v>
      </c>
      <c r="AC35" s="1959">
        <f>(F35+M35+U35+Y35)*AC44</f>
        <v>9577.0955400499988</v>
      </c>
      <c r="AD35" s="1282"/>
    </row>
    <row r="36" spans="2:30" ht="11.25" customHeight="1">
      <c r="B36" s="1142"/>
      <c r="C36" s="384"/>
      <c r="D36" s="384"/>
      <c r="E36" s="384"/>
      <c r="F36" s="384"/>
      <c r="G36" s="386"/>
      <c r="I36" s="935"/>
      <c r="J36" s="935"/>
      <c r="K36" s="935"/>
      <c r="L36" s="935"/>
      <c r="M36" s="935"/>
      <c r="N36" s="1964"/>
      <c r="P36" s="1965"/>
      <c r="Q36" s="1966"/>
      <c r="R36" s="1966"/>
      <c r="S36" s="1966"/>
      <c r="T36" s="1966"/>
      <c r="U36" s="1966"/>
      <c r="V36" s="1964"/>
      <c r="X36" s="1142"/>
      <c r="Y36" s="935"/>
      <c r="Z36" s="1143"/>
      <c r="AB36" s="425"/>
      <c r="AC36" s="1227"/>
      <c r="AD36" s="1689"/>
    </row>
    <row r="37" spans="2:30" ht="11.25" customHeight="1"/>
    <row r="38" spans="2:30" ht="11.25" customHeight="1">
      <c r="C38" s="340"/>
    </row>
    <row r="39" spans="2:30" ht="11.25" customHeight="1"/>
    <row r="40" spans="2:30" ht="11.25" customHeight="1">
      <c r="AB40" s="2858" t="s">
        <v>0</v>
      </c>
      <c r="AC40" s="2859"/>
    </row>
    <row r="41" spans="2:30" ht="11.25" customHeight="1">
      <c r="AB41" s="240"/>
      <c r="AC41" s="241"/>
    </row>
    <row r="42" spans="2:30" ht="11.25" customHeight="1">
      <c r="AB42" s="240" t="s">
        <v>528</v>
      </c>
      <c r="AC42" s="247">
        <f>Summary!$E4</f>
        <v>1</v>
      </c>
    </row>
    <row r="43" spans="2:30" ht="11.25" customHeight="1">
      <c r="B43" s="381"/>
      <c r="C43" s="1625" t="s">
        <v>1619</v>
      </c>
      <c r="D43" s="381"/>
      <c r="E43" s="381"/>
      <c r="AB43" s="240" t="s">
        <v>530</v>
      </c>
      <c r="AC43" s="247">
        <f>Summary!$E5</f>
        <v>28</v>
      </c>
    </row>
    <row r="44" spans="2:30" ht="11.25" customHeight="1">
      <c r="B44" s="381" t="s">
        <v>652</v>
      </c>
      <c r="C44" s="381" t="s">
        <v>1620</v>
      </c>
      <c r="D44" s="381" t="s">
        <v>561</v>
      </c>
      <c r="E44" s="381"/>
      <c r="AB44" s="240" t="s">
        <v>532</v>
      </c>
      <c r="AC44" s="247">
        <f>Summary!$E6</f>
        <v>265</v>
      </c>
    </row>
    <row r="45" spans="2:30" ht="11.25" customHeight="1">
      <c r="B45" s="381" t="s">
        <v>1621</v>
      </c>
      <c r="C45" s="381">
        <v>90.7</v>
      </c>
      <c r="D45" s="381">
        <v>53.06</v>
      </c>
      <c r="E45" s="381" t="s">
        <v>1622</v>
      </c>
      <c r="AB45" s="240" t="s">
        <v>533</v>
      </c>
      <c r="AC45" s="247">
        <f>Summary!$E7</f>
        <v>23500</v>
      </c>
    </row>
    <row r="46" spans="2:30" ht="11.25" customHeight="1">
      <c r="B46" s="381" t="s">
        <v>1623</v>
      </c>
      <c r="C46" s="381">
        <v>3.2000000000000001E-2</v>
      </c>
      <c r="D46" s="381">
        <v>1E-3</v>
      </c>
      <c r="E46" s="381" t="s">
        <v>1624</v>
      </c>
      <c r="AB46" s="259"/>
      <c r="AC46" s="247"/>
    </row>
    <row r="47" spans="2:30" ht="11.25" customHeight="1">
      <c r="B47" s="381" t="s">
        <v>1625</v>
      </c>
      <c r="C47" s="381">
        <v>4.1999999999999997E-3</v>
      </c>
      <c r="D47" s="381">
        <v>1E-4</v>
      </c>
      <c r="E47" s="381" t="s">
        <v>1626</v>
      </c>
    </row>
    <row r="48" spans="2:30" ht="11.25" customHeight="1"/>
    <row r="49" spans="2:5" ht="11.25" customHeight="1"/>
    <row r="50" spans="2:5" ht="11.25" customHeight="1">
      <c r="B50" s="381" t="s">
        <v>461</v>
      </c>
      <c r="C50" s="1625" t="s">
        <v>1627</v>
      </c>
      <c r="D50" s="1967"/>
      <c r="E50" s="1"/>
    </row>
    <row r="51" spans="2:5" ht="11.25" customHeight="1">
      <c r="B51" s="381" t="s">
        <v>1628</v>
      </c>
      <c r="C51" s="381">
        <v>1</v>
      </c>
      <c r="D51" s="1967"/>
      <c r="E51" s="1"/>
    </row>
    <row r="52" spans="2:5" ht="11.25" customHeight="1">
      <c r="B52" s="381" t="s">
        <v>1629</v>
      </c>
      <c r="C52" s="381">
        <v>21</v>
      </c>
      <c r="D52" s="1968" t="s">
        <v>1630</v>
      </c>
      <c r="E52" s="141"/>
    </row>
    <row r="53" spans="2:5" ht="11.25" customHeight="1">
      <c r="B53" s="381" t="s">
        <v>1631</v>
      </c>
      <c r="C53" s="381">
        <v>310</v>
      </c>
      <c r="D53" s="1967"/>
      <c r="E53" s="1"/>
    </row>
    <row r="54" spans="2:5" ht="11.25" customHeight="1"/>
    <row r="55" spans="2:5" ht="11.25" customHeight="1"/>
    <row r="56" spans="2:5" ht="11.25" customHeight="1"/>
    <row r="57" spans="2:5" ht="11.25" customHeight="1"/>
    <row r="58" spans="2:5" ht="11.25" customHeight="1"/>
    <row r="59" spans="2:5" ht="11.25" customHeight="1"/>
    <row r="60" spans="2:5" ht="11.25" customHeight="1"/>
    <row r="61" spans="2:5" ht="11.25" customHeight="1"/>
    <row r="62" spans="2:5" ht="11.25" customHeight="1"/>
    <row r="63" spans="2:5" ht="11.25" customHeight="1"/>
    <row r="64" spans="2:5"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B40:AC40"/>
  </mergeCells>
  <pageMargins left="0.75" right="0.75" top="1" bottom="1" header="0" footer="0"/>
  <pageSetup orientation="portrait"/>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AA1000"/>
  <sheetViews>
    <sheetView workbookViewId="0"/>
  </sheetViews>
  <sheetFormatPr defaultColWidth="16.85546875" defaultRowHeight="15" customHeight="1"/>
  <cols>
    <col min="1" max="1" width="3.140625" customWidth="1"/>
    <col min="2" max="2" width="16.85546875" customWidth="1"/>
    <col min="3" max="3" width="58.85546875" customWidth="1"/>
    <col min="4" max="4" width="13.28515625" customWidth="1"/>
    <col min="5" max="5" width="14.140625" customWidth="1"/>
    <col min="6" max="7" width="12.42578125" customWidth="1"/>
    <col min="8" max="9" width="10.7109375" customWidth="1"/>
    <col min="10" max="10" width="15.7109375" customWidth="1"/>
    <col min="11" max="11" width="15.42578125" customWidth="1"/>
    <col min="12" max="12" width="10.7109375" customWidth="1"/>
    <col min="13" max="13" width="15.28515625" customWidth="1"/>
    <col min="14" max="14" width="10.7109375" customWidth="1"/>
    <col min="15" max="18" width="15.28515625" customWidth="1"/>
    <col min="19" max="19" width="10.7109375" customWidth="1"/>
    <col min="20" max="24" width="15.28515625" customWidth="1"/>
  </cols>
  <sheetData>
    <row r="1" spans="1:27" ht="32.4">
      <c r="A1" s="134" t="s">
        <v>1385</v>
      </c>
      <c r="B1" s="135"/>
      <c r="C1" s="136"/>
      <c r="D1" s="137"/>
      <c r="F1" s="6"/>
      <c r="G1" s="6"/>
      <c r="H1" s="6"/>
      <c r="I1" s="6"/>
      <c r="J1" s="6"/>
      <c r="K1" s="6"/>
      <c r="L1" s="6"/>
      <c r="M1" s="6"/>
      <c r="N1" s="6"/>
      <c r="O1" s="6"/>
      <c r="P1" s="6"/>
      <c r="Q1" s="6"/>
      <c r="R1" s="6"/>
      <c r="S1" s="6"/>
      <c r="T1" s="6"/>
      <c r="U1" s="6"/>
      <c r="V1" s="6"/>
      <c r="W1" s="6"/>
      <c r="X1" s="6"/>
      <c r="Y1" s="6"/>
      <c r="Z1" s="6"/>
      <c r="AA1" s="6"/>
    </row>
    <row r="2" spans="1:27" ht="108" customHeight="1">
      <c r="A2" s="136"/>
      <c r="B2" s="136"/>
      <c r="C2" s="136"/>
      <c r="D2" s="136"/>
      <c r="E2" s="136"/>
      <c r="F2" s="136"/>
      <c r="G2" s="136"/>
      <c r="H2" s="136"/>
      <c r="I2" s="136"/>
      <c r="J2" s="136"/>
      <c r="K2" s="136"/>
      <c r="L2" s="6"/>
      <c r="M2" s="6"/>
      <c r="N2" s="6"/>
      <c r="O2" s="6"/>
      <c r="P2" s="6"/>
      <c r="Q2" s="6"/>
      <c r="R2" s="6"/>
      <c r="S2" s="6"/>
      <c r="T2" s="6"/>
      <c r="U2" s="6"/>
      <c r="V2" s="6"/>
      <c r="W2" s="6"/>
      <c r="X2" s="6"/>
      <c r="Y2" s="6"/>
      <c r="Z2" s="6"/>
      <c r="AA2" s="6"/>
    </row>
    <row r="3" spans="1:27" ht="10.199999999999999">
      <c r="A3" s="6"/>
      <c r="B3" s="6"/>
      <c r="C3" s="6"/>
      <c r="D3" s="6"/>
      <c r="E3" s="6"/>
      <c r="F3" s="6"/>
      <c r="G3" s="6"/>
      <c r="H3" s="6"/>
      <c r="I3" s="6" t="s">
        <v>1386</v>
      </c>
      <c r="J3" s="6"/>
      <c r="K3" s="6"/>
      <c r="L3" s="6"/>
      <c r="M3" s="6"/>
      <c r="N3" s="6"/>
      <c r="O3" s="6"/>
      <c r="P3" s="6"/>
      <c r="Q3" s="6"/>
      <c r="R3" s="6"/>
      <c r="S3" s="6"/>
      <c r="T3" s="6"/>
      <c r="U3" s="6"/>
      <c r="V3" s="6"/>
      <c r="W3" s="6"/>
      <c r="X3" s="6"/>
      <c r="Y3" s="6"/>
      <c r="Z3" s="6"/>
      <c r="AA3" s="6"/>
    </row>
    <row r="4" spans="1:27" ht="10.199999999999999">
      <c r="A4" s="6"/>
      <c r="B4" s="6"/>
      <c r="C4" s="6"/>
      <c r="D4" s="6"/>
      <c r="E4" s="6"/>
      <c r="F4" s="6"/>
      <c r="G4" s="6"/>
      <c r="H4" s="1755"/>
      <c r="I4" s="6" t="s">
        <v>1387</v>
      </c>
      <c r="J4" s="6"/>
      <c r="K4" s="6"/>
      <c r="L4" s="6"/>
      <c r="M4" s="6"/>
      <c r="N4" s="6"/>
      <c r="O4" s="6"/>
      <c r="P4" s="6"/>
      <c r="Q4" s="6"/>
      <c r="R4" s="6"/>
      <c r="S4" s="6"/>
      <c r="T4" s="6"/>
      <c r="U4" s="6"/>
      <c r="V4" s="6"/>
      <c r="W4" s="6"/>
      <c r="X4" s="6"/>
      <c r="Y4" s="6"/>
      <c r="Z4" s="6"/>
      <c r="AA4" s="6"/>
    </row>
    <row r="5" spans="1:27" ht="10.199999999999999">
      <c r="A5" s="6"/>
      <c r="B5" s="6"/>
      <c r="C5" s="6"/>
      <c r="D5" s="6"/>
      <c r="E5" s="6"/>
      <c r="F5" s="6"/>
      <c r="G5" s="6"/>
      <c r="H5" s="1756"/>
      <c r="I5" s="6" t="s">
        <v>1388</v>
      </c>
      <c r="J5" s="6"/>
      <c r="K5" s="6"/>
      <c r="L5" s="6"/>
      <c r="M5" s="6"/>
      <c r="N5" s="6"/>
      <c r="O5" s="6"/>
      <c r="P5" s="6"/>
      <c r="Q5" s="6"/>
      <c r="R5" s="6"/>
      <c r="S5" s="6"/>
      <c r="T5" s="6"/>
      <c r="U5" s="6"/>
      <c r="V5" s="6"/>
      <c r="W5" s="6"/>
      <c r="X5" s="6"/>
      <c r="Y5" s="6"/>
      <c r="Z5" s="6"/>
      <c r="AA5" s="6"/>
    </row>
    <row r="6" spans="1:27" ht="10.199999999999999">
      <c r="A6" s="6"/>
      <c r="B6" s="6"/>
      <c r="C6" s="6"/>
      <c r="D6" s="6"/>
      <c r="E6" s="132"/>
      <c r="F6" s="6"/>
      <c r="G6" s="6"/>
      <c r="H6" s="132"/>
      <c r="I6" s="132"/>
      <c r="J6" s="6"/>
      <c r="K6" s="6"/>
      <c r="L6" s="6"/>
      <c r="M6" s="6"/>
      <c r="N6" s="6"/>
      <c r="O6" s="6"/>
      <c r="P6" s="6"/>
      <c r="Q6" s="6"/>
      <c r="R6" s="6"/>
      <c r="S6" s="6"/>
      <c r="T6" s="6"/>
      <c r="U6" s="6"/>
      <c r="V6" s="6"/>
      <c r="W6" s="6"/>
      <c r="X6" s="6"/>
      <c r="Y6" s="6"/>
      <c r="Z6" s="6"/>
      <c r="AA6" s="6"/>
    </row>
    <row r="7" spans="1:27" ht="10.199999999999999">
      <c r="A7" s="6"/>
      <c r="B7" s="6"/>
      <c r="C7" s="6"/>
      <c r="D7" s="6"/>
      <c r="E7" s="6"/>
      <c r="F7" s="6"/>
      <c r="G7" s="6"/>
      <c r="H7" s="6"/>
      <c r="I7" s="132"/>
      <c r="J7" s="6"/>
      <c r="K7" s="6"/>
      <c r="L7" s="132"/>
      <c r="M7" s="132"/>
      <c r="N7" s="6"/>
      <c r="O7" s="6"/>
      <c r="P7" s="6"/>
      <c r="Q7" s="6"/>
      <c r="R7" s="6"/>
      <c r="S7" s="6"/>
      <c r="T7" s="6"/>
      <c r="U7" s="6"/>
      <c r="V7" s="6"/>
      <c r="W7" s="6"/>
      <c r="X7" s="6"/>
      <c r="Y7" s="6"/>
      <c r="Z7" s="6"/>
      <c r="AA7" s="6"/>
    </row>
    <row r="8" spans="1:27" ht="10.199999999999999">
      <c r="A8" s="6"/>
      <c r="B8" s="6"/>
      <c r="C8" s="6"/>
      <c r="D8" s="6"/>
      <c r="E8" s="6"/>
      <c r="F8" s="6"/>
      <c r="G8" s="6"/>
      <c r="H8" s="6"/>
      <c r="I8" s="132"/>
      <c r="J8" s="6"/>
      <c r="K8" s="6"/>
      <c r="L8" s="132"/>
      <c r="M8" s="132"/>
      <c r="N8" s="6"/>
      <c r="O8" s="6"/>
      <c r="P8" s="6"/>
      <c r="Q8" s="6"/>
      <c r="R8" s="6"/>
      <c r="S8" s="6"/>
      <c r="T8" s="6"/>
      <c r="U8" s="6"/>
      <c r="V8" s="6"/>
      <c r="W8" s="6"/>
      <c r="X8" s="6"/>
      <c r="Y8" s="6"/>
      <c r="Z8" s="6"/>
      <c r="AA8" s="6"/>
    </row>
    <row r="9" spans="1:27" ht="61.8">
      <c r="A9" s="6"/>
      <c r="B9" s="1757" t="s">
        <v>1055</v>
      </c>
      <c r="C9" s="1758" t="s">
        <v>1389</v>
      </c>
      <c r="D9" s="1759" t="s">
        <v>1390</v>
      </c>
      <c r="E9" s="1760" t="s">
        <v>1391</v>
      </c>
      <c r="F9" s="1759" t="s">
        <v>1392</v>
      </c>
      <c r="G9" s="1759" t="s">
        <v>1393</v>
      </c>
      <c r="H9" s="1760" t="s">
        <v>1394</v>
      </c>
      <c r="I9" s="1760" t="s">
        <v>1395</v>
      </c>
      <c r="J9" s="1761" t="s">
        <v>1396</v>
      </c>
      <c r="K9" s="1761" t="s">
        <v>1397</v>
      </c>
      <c r="L9" s="1759" t="s">
        <v>1398</v>
      </c>
      <c r="M9" s="1759" t="s">
        <v>1399</v>
      </c>
      <c r="N9" s="1759" t="s">
        <v>1400</v>
      </c>
      <c r="O9" s="1759" t="s">
        <v>1401</v>
      </c>
      <c r="P9" s="1761" t="s">
        <v>1402</v>
      </c>
      <c r="Q9" s="1759" t="s">
        <v>1403</v>
      </c>
      <c r="R9" s="1759" t="s">
        <v>1404</v>
      </c>
      <c r="S9" s="1759" t="s">
        <v>1405</v>
      </c>
      <c r="T9" s="1761" t="s">
        <v>1406</v>
      </c>
      <c r="U9" s="1759" t="s">
        <v>1407</v>
      </c>
      <c r="V9" s="1759" t="s">
        <v>1408</v>
      </c>
      <c r="W9" s="1759" t="s">
        <v>1409</v>
      </c>
      <c r="X9" s="1762" t="s">
        <v>1410</v>
      </c>
      <c r="Y9" s="6"/>
      <c r="Z9" s="6"/>
      <c r="AA9" s="6"/>
    </row>
    <row r="10" spans="1:27" ht="10.199999999999999">
      <c r="A10" s="6"/>
      <c r="B10" s="1325"/>
      <c r="C10" s="381"/>
      <c r="D10" s="862"/>
      <c r="E10" s="1763"/>
      <c r="F10" s="380"/>
      <c r="G10" s="380"/>
      <c r="H10" s="1764"/>
      <c r="I10" s="1764"/>
      <c r="J10" s="1765"/>
      <c r="K10" s="1765"/>
      <c r="L10" s="381"/>
      <c r="M10" s="1766"/>
      <c r="N10" s="381"/>
      <c r="O10" s="1766"/>
      <c r="P10" s="1765"/>
      <c r="Q10" s="1766"/>
      <c r="R10" s="1766"/>
      <c r="S10" s="381"/>
      <c r="T10" s="1765"/>
      <c r="U10" s="1766"/>
      <c r="V10" s="1766"/>
      <c r="W10" s="1766"/>
      <c r="X10" s="1767"/>
      <c r="Y10" s="6"/>
      <c r="Z10" s="6"/>
      <c r="AA10" s="6"/>
    </row>
    <row r="11" spans="1:27" ht="10.199999999999999">
      <c r="A11" s="6"/>
      <c r="B11" s="1768" t="s">
        <v>1060</v>
      </c>
      <c r="C11" s="1769" t="s">
        <v>1411</v>
      </c>
      <c r="D11" s="1770">
        <v>4.26</v>
      </c>
      <c r="E11" s="1771">
        <f t="shared" ref="E11:E12" si="0">D11*1000000*0.9071847</f>
        <v>3864606.8219999997</v>
      </c>
      <c r="F11" s="1772">
        <v>125000</v>
      </c>
      <c r="G11" s="1772">
        <f t="shared" ref="G11:G12" si="1">F11*0.9071847</f>
        <v>113398.08749999999</v>
      </c>
      <c r="H11" s="1773">
        <v>1992</v>
      </c>
      <c r="I11" s="1774">
        <v>2015</v>
      </c>
      <c r="J11" s="1771">
        <v>11870</v>
      </c>
      <c r="K11" s="1771">
        <v>4327</v>
      </c>
      <c r="L11" s="1775">
        <v>0.61929999999999996</v>
      </c>
      <c r="M11" s="1771">
        <f>K11*L11</f>
        <v>2679.7111</v>
      </c>
      <c r="N11" s="1775">
        <v>0.98</v>
      </c>
      <c r="O11" s="1771">
        <f>M11*N11</f>
        <v>2626.1168779999998</v>
      </c>
      <c r="P11" s="1771">
        <f>O11*2.75</f>
        <v>7221.8214144999993</v>
      </c>
      <c r="Q11" s="1771">
        <f>M11*(1-N11)</f>
        <v>53.594222000000045</v>
      </c>
      <c r="R11" s="1771">
        <f>K11*(1-L11)</f>
        <v>1647.2889000000002</v>
      </c>
      <c r="S11" s="1775">
        <v>0.1</v>
      </c>
      <c r="T11" s="1771">
        <f t="shared" ref="T11:T12" si="2">R11*S11</f>
        <v>164.72889000000004</v>
      </c>
      <c r="U11" s="1771">
        <f t="shared" ref="U11:U12" si="3">R11-T11</f>
        <v>1482.5600100000001</v>
      </c>
      <c r="V11" s="1771">
        <f>U11+Q11</f>
        <v>1536.1542320000001</v>
      </c>
      <c r="W11" s="1771">
        <f t="shared" ref="W11:W12" si="4">V11*$C$84</f>
        <v>43012.318496</v>
      </c>
      <c r="X11" s="1776">
        <f>J11+P11+W11</f>
        <v>62104.139910500002</v>
      </c>
      <c r="Y11" s="6"/>
      <c r="Z11" s="6"/>
      <c r="AA11" s="6"/>
    </row>
    <row r="12" spans="1:27" ht="10.199999999999999">
      <c r="A12" s="6"/>
      <c r="B12" s="1325"/>
      <c r="C12" s="381" t="s">
        <v>1412</v>
      </c>
      <c r="D12" s="1777">
        <v>1.5</v>
      </c>
      <c r="E12" s="1778">
        <f t="shared" si="0"/>
        <v>1360777.05</v>
      </c>
      <c r="F12" s="1779">
        <v>75000</v>
      </c>
      <c r="G12" s="1779">
        <f t="shared" si="1"/>
        <v>68038.852499999994</v>
      </c>
      <c r="H12" s="380">
        <v>1971</v>
      </c>
      <c r="I12" s="1780">
        <v>1992</v>
      </c>
      <c r="J12" s="1781">
        <v>2782</v>
      </c>
      <c r="K12" s="1781">
        <v>1014</v>
      </c>
      <c r="L12" s="1782"/>
      <c r="M12" s="1766"/>
      <c r="N12" s="1782"/>
      <c r="O12" s="1766"/>
      <c r="P12" s="1765"/>
      <c r="Q12" s="1766"/>
      <c r="R12" s="1778">
        <f>K12</f>
        <v>1014</v>
      </c>
      <c r="S12" s="1783">
        <v>0.1</v>
      </c>
      <c r="T12" s="1781">
        <f t="shared" si="2"/>
        <v>101.4</v>
      </c>
      <c r="U12" s="1784">
        <f t="shared" si="3"/>
        <v>912.6</v>
      </c>
      <c r="V12" s="1778">
        <f>U12</f>
        <v>912.6</v>
      </c>
      <c r="W12" s="1778">
        <f t="shared" si="4"/>
        <v>25552.799999999999</v>
      </c>
      <c r="X12" s="1785">
        <f>J12+W12</f>
        <v>28334.799999999999</v>
      </c>
      <c r="Y12" s="6"/>
      <c r="Z12" s="6"/>
      <c r="AA12" s="6"/>
    </row>
    <row r="13" spans="1:27" ht="10.199999999999999">
      <c r="A13" s="6"/>
      <c r="B13" s="1325"/>
      <c r="C13" s="381"/>
      <c r="D13" s="1786"/>
      <c r="E13" s="1766"/>
      <c r="F13" s="1779"/>
      <c r="G13" s="1779"/>
      <c r="H13" s="380"/>
      <c r="I13" s="1780"/>
      <c r="J13" s="1765"/>
      <c r="K13" s="1765"/>
      <c r="L13" s="1782"/>
      <c r="M13" s="1766"/>
      <c r="N13" s="1782"/>
      <c r="O13" s="1766"/>
      <c r="P13" s="1765"/>
      <c r="Q13" s="1766"/>
      <c r="R13" s="1766"/>
      <c r="S13" s="381"/>
      <c r="T13" s="1765"/>
      <c r="U13" s="1787"/>
      <c r="V13" s="1766"/>
      <c r="W13" s="1766"/>
      <c r="X13" s="1767"/>
      <c r="Y13" s="6"/>
      <c r="Z13" s="6"/>
      <c r="AA13" s="6"/>
    </row>
    <row r="14" spans="1:27" ht="10.199999999999999">
      <c r="A14" s="6"/>
      <c r="B14" s="1768" t="s">
        <v>1061</v>
      </c>
      <c r="C14" s="381" t="s">
        <v>1413</v>
      </c>
      <c r="D14" s="1777">
        <v>0.85</v>
      </c>
      <c r="E14" s="1778">
        <f t="shared" ref="E14:E17" si="5">D14*1000000*0.9071847</f>
        <v>771106.995</v>
      </c>
      <c r="F14" s="1779">
        <v>23000</v>
      </c>
      <c r="G14" s="1779">
        <f t="shared" ref="G14:G17" si="6">F14*0.9071847</f>
        <v>20865.248100000001</v>
      </c>
      <c r="H14" s="380">
        <v>1960</v>
      </c>
      <c r="I14" s="1780">
        <v>1993</v>
      </c>
      <c r="J14" s="1781">
        <v>1485</v>
      </c>
      <c r="K14" s="1781">
        <v>541.20000000000005</v>
      </c>
      <c r="L14" s="1782"/>
      <c r="M14" s="1766"/>
      <c r="N14" s="1782"/>
      <c r="O14" s="1766"/>
      <c r="P14" s="1765"/>
      <c r="Q14" s="1766"/>
      <c r="R14" s="1778">
        <f t="shared" ref="R14:R15" si="7">K14</f>
        <v>541.20000000000005</v>
      </c>
      <c r="S14" s="1783">
        <v>0.1</v>
      </c>
      <c r="T14" s="1781">
        <f t="shared" ref="T14:T19" si="8">R14*S14</f>
        <v>54.120000000000005</v>
      </c>
      <c r="U14" s="1784">
        <f t="shared" ref="U14:U19" si="9">R14-T14</f>
        <v>487.08000000000004</v>
      </c>
      <c r="V14" s="1778">
        <f t="shared" ref="V14:V15" si="10">U14</f>
        <v>487.08000000000004</v>
      </c>
      <c r="W14" s="1778">
        <f t="shared" ref="W14:W19" si="11">V14*$C$84</f>
        <v>13638.240000000002</v>
      </c>
      <c r="X14" s="1785">
        <f t="shared" ref="X14:X17" si="12">J14+W14</f>
        <v>15123.240000000002</v>
      </c>
      <c r="Y14" s="6"/>
      <c r="Z14" s="6"/>
      <c r="AA14" s="6"/>
    </row>
    <row r="15" spans="1:27" ht="10.199999999999999">
      <c r="A15" s="6"/>
      <c r="B15" s="1325"/>
      <c r="C15" s="381" t="s">
        <v>1414</v>
      </c>
      <c r="D15" s="1777">
        <v>0.67</v>
      </c>
      <c r="E15" s="1778">
        <f t="shared" si="5"/>
        <v>607813.74899999995</v>
      </c>
      <c r="F15" s="1779">
        <v>11000</v>
      </c>
      <c r="G15" s="1779">
        <f t="shared" si="6"/>
        <v>9979.0316999999995</v>
      </c>
      <c r="H15" s="380">
        <v>1976</v>
      </c>
      <c r="I15" s="1780">
        <v>1996</v>
      </c>
      <c r="J15" s="1781">
        <v>2419</v>
      </c>
      <c r="K15" s="1781">
        <v>881.8</v>
      </c>
      <c r="L15" s="1782"/>
      <c r="M15" s="1766"/>
      <c r="N15" s="1782"/>
      <c r="O15" s="1766"/>
      <c r="P15" s="1765"/>
      <c r="Q15" s="1766"/>
      <c r="R15" s="1778">
        <f t="shared" si="7"/>
        <v>881.8</v>
      </c>
      <c r="S15" s="1783">
        <v>0.1</v>
      </c>
      <c r="T15" s="1781">
        <f t="shared" si="8"/>
        <v>88.18</v>
      </c>
      <c r="U15" s="1784">
        <f t="shared" si="9"/>
        <v>793.61999999999989</v>
      </c>
      <c r="V15" s="1778">
        <f t="shared" si="10"/>
        <v>793.61999999999989</v>
      </c>
      <c r="W15" s="1778">
        <f t="shared" si="11"/>
        <v>22221.359999999997</v>
      </c>
      <c r="X15" s="1785">
        <f t="shared" si="12"/>
        <v>24640.359999999997</v>
      </c>
      <c r="Y15" s="6"/>
      <c r="Z15" s="6"/>
      <c r="AA15" s="6"/>
    </row>
    <row r="16" spans="1:27" ht="10.199999999999999">
      <c r="A16" s="6"/>
      <c r="B16" s="1325"/>
      <c r="C16" s="1788" t="s">
        <v>1415</v>
      </c>
      <c r="D16" s="1789">
        <v>14.3</v>
      </c>
      <c r="E16" s="1790">
        <f t="shared" si="5"/>
        <v>12972741.209999999</v>
      </c>
      <c r="F16" s="1791">
        <v>358288</v>
      </c>
      <c r="G16" s="1791">
        <f t="shared" si="6"/>
        <v>325033.39179359999</v>
      </c>
      <c r="H16" s="1792">
        <v>1975</v>
      </c>
      <c r="I16" s="1793">
        <v>2060</v>
      </c>
      <c r="J16" s="1790">
        <v>23380</v>
      </c>
      <c r="K16" s="1790">
        <v>8520</v>
      </c>
      <c r="L16" s="1794">
        <v>0.77329999999999999</v>
      </c>
      <c r="M16" s="1790">
        <f>K16*L16</f>
        <v>6588.5159999999996</v>
      </c>
      <c r="N16" s="1795">
        <v>0.99909999999999999</v>
      </c>
      <c r="O16" s="1790">
        <f>M16*N16</f>
        <v>6582.5863356</v>
      </c>
      <c r="P16" s="1790">
        <f>O16*2.75</f>
        <v>18102.112422900002</v>
      </c>
      <c r="Q16" s="1790">
        <f>M16*(1-N16)</f>
        <v>5.9296644000000782</v>
      </c>
      <c r="R16" s="1790">
        <f>K16*(1-L16)</f>
        <v>1931.4840000000002</v>
      </c>
      <c r="S16" s="1794">
        <v>0.1</v>
      </c>
      <c r="T16" s="1790">
        <f t="shared" si="8"/>
        <v>193.14840000000004</v>
      </c>
      <c r="U16" s="1790">
        <f t="shared" si="9"/>
        <v>1738.3356000000001</v>
      </c>
      <c r="V16" s="1790">
        <f>U16+Q16</f>
        <v>1744.2652644000002</v>
      </c>
      <c r="W16" s="1790">
        <f t="shared" si="11"/>
        <v>48839.427403200003</v>
      </c>
      <c r="X16" s="1796">
        <f t="shared" si="12"/>
        <v>72219.42740320001</v>
      </c>
      <c r="Y16" s="6"/>
      <c r="Z16" s="6"/>
      <c r="AA16" s="6"/>
    </row>
    <row r="17" spans="1:27" ht="10.199999999999999">
      <c r="A17" s="6"/>
      <c r="B17" s="1325"/>
      <c r="C17" s="381" t="s">
        <v>1416</v>
      </c>
      <c r="D17" s="1777">
        <v>0.7</v>
      </c>
      <c r="E17" s="1778">
        <f t="shared" si="5"/>
        <v>635029.28999999992</v>
      </c>
      <c r="F17" s="1779">
        <v>61000</v>
      </c>
      <c r="G17" s="1779">
        <f t="shared" si="6"/>
        <v>55338.2667</v>
      </c>
      <c r="H17" s="380">
        <v>1982</v>
      </c>
      <c r="I17" s="1780">
        <v>1993</v>
      </c>
      <c r="J17" s="1781">
        <v>1754</v>
      </c>
      <c r="K17" s="1781">
        <v>639.1</v>
      </c>
      <c r="L17" s="1782"/>
      <c r="M17" s="1766"/>
      <c r="N17" s="1782"/>
      <c r="O17" s="1766"/>
      <c r="P17" s="1765"/>
      <c r="Q17" s="1766"/>
      <c r="R17" s="1778">
        <f>K17</f>
        <v>639.1</v>
      </c>
      <c r="S17" s="1783">
        <v>0.1</v>
      </c>
      <c r="T17" s="1781">
        <f t="shared" si="8"/>
        <v>63.910000000000004</v>
      </c>
      <c r="U17" s="1784">
        <f t="shared" si="9"/>
        <v>575.19000000000005</v>
      </c>
      <c r="V17" s="1778">
        <f>U17</f>
        <v>575.19000000000005</v>
      </c>
      <c r="W17" s="1778">
        <f t="shared" si="11"/>
        <v>16105.320000000002</v>
      </c>
      <c r="X17" s="1785">
        <f t="shared" si="12"/>
        <v>17859.32</v>
      </c>
      <c r="Y17" s="6"/>
      <c r="Z17" s="6"/>
      <c r="AA17" s="6"/>
    </row>
    <row r="18" spans="1:27" ht="10.199999999999999">
      <c r="A18" s="6"/>
      <c r="B18" s="1325"/>
      <c r="C18" s="1769" t="s">
        <v>1417</v>
      </c>
      <c r="D18" s="1797"/>
      <c r="E18" s="1771">
        <v>1122641.432</v>
      </c>
      <c r="F18" s="1773"/>
      <c r="G18" s="1772"/>
      <c r="H18" s="1773">
        <v>1963</v>
      </c>
      <c r="I18" s="1774">
        <v>1982</v>
      </c>
      <c r="J18" s="1771">
        <f>1601</f>
        <v>1601</v>
      </c>
      <c r="K18" s="1771">
        <f>583.4</f>
        <v>583.4</v>
      </c>
      <c r="L18" s="1775">
        <v>0.33150000000000002</v>
      </c>
      <c r="M18" s="1771">
        <f>K18*L18</f>
        <v>193.39709999999999</v>
      </c>
      <c r="N18" s="1775">
        <v>0.98</v>
      </c>
      <c r="O18" s="1771">
        <f>M18*N18</f>
        <v>189.529158</v>
      </c>
      <c r="P18" s="1771">
        <f>O18*2.75</f>
        <v>521.20518449999997</v>
      </c>
      <c r="Q18" s="1771">
        <f>M18*(1-N18)</f>
        <v>3.8679420000000033</v>
      </c>
      <c r="R18" s="1771">
        <f>K18*(1-L18)</f>
        <v>390.00289999999995</v>
      </c>
      <c r="S18" s="1775">
        <v>0.1</v>
      </c>
      <c r="T18" s="1771">
        <f t="shared" si="8"/>
        <v>39.00029</v>
      </c>
      <c r="U18" s="1771">
        <f t="shared" si="9"/>
        <v>351.00260999999995</v>
      </c>
      <c r="V18" s="1771">
        <f>U18+Q18</f>
        <v>354.87055199999998</v>
      </c>
      <c r="W18" s="1771">
        <f t="shared" si="11"/>
        <v>9936.3754559999998</v>
      </c>
      <c r="X18" s="1776">
        <f>J18+P18+W18</f>
        <v>12058.5806405</v>
      </c>
      <c r="Y18" s="6"/>
      <c r="Z18" s="6"/>
      <c r="AA18" s="6"/>
    </row>
    <row r="19" spans="1:27" ht="10.199999999999999">
      <c r="A19" s="6"/>
      <c r="B19" s="1325"/>
      <c r="C19" s="381" t="s">
        <v>1418</v>
      </c>
      <c r="D19" s="862"/>
      <c r="E19" s="1778">
        <v>3487273</v>
      </c>
      <c r="F19" s="380"/>
      <c r="G19" s="1779"/>
      <c r="H19" s="380">
        <v>1953</v>
      </c>
      <c r="I19" s="1780">
        <v>1982</v>
      </c>
      <c r="J19" s="1781">
        <f>4534</f>
        <v>4534</v>
      </c>
      <c r="K19" s="1781">
        <f>1653</f>
        <v>1653</v>
      </c>
      <c r="L19" s="1782"/>
      <c r="M19" s="1766"/>
      <c r="N19" s="1782"/>
      <c r="O19" s="1766"/>
      <c r="P19" s="1765"/>
      <c r="Q19" s="1766"/>
      <c r="R19" s="1778">
        <f>K19</f>
        <v>1653</v>
      </c>
      <c r="S19" s="1783">
        <v>0.1</v>
      </c>
      <c r="T19" s="1781">
        <f t="shared" si="8"/>
        <v>165.3</v>
      </c>
      <c r="U19" s="1784">
        <f t="shared" si="9"/>
        <v>1487.7</v>
      </c>
      <c r="V19" s="1778">
        <f>U19</f>
        <v>1487.7</v>
      </c>
      <c r="W19" s="1778">
        <f t="shared" si="11"/>
        <v>41655.599999999999</v>
      </c>
      <c r="X19" s="1785">
        <f>J19+W19</f>
        <v>46189.599999999999</v>
      </c>
      <c r="Y19" s="6"/>
      <c r="Z19" s="6"/>
      <c r="AA19" s="6"/>
    </row>
    <row r="20" spans="1:27" ht="10.199999999999999">
      <c r="A20" s="6"/>
      <c r="B20" s="1325"/>
      <c r="C20" s="381"/>
      <c r="D20" s="862"/>
      <c r="E20" s="1766"/>
      <c r="F20" s="380"/>
      <c r="G20" s="1779"/>
      <c r="H20" s="380"/>
      <c r="I20" s="1780"/>
      <c r="J20" s="1765"/>
      <c r="K20" s="1765"/>
      <c r="L20" s="1782"/>
      <c r="M20" s="1766"/>
      <c r="N20" s="1782"/>
      <c r="O20" s="1766"/>
      <c r="P20" s="1765"/>
      <c r="Q20" s="1766"/>
      <c r="R20" s="1766"/>
      <c r="S20" s="381"/>
      <c r="T20" s="1765"/>
      <c r="U20" s="1787"/>
      <c r="V20" s="1766"/>
      <c r="W20" s="1766"/>
      <c r="X20" s="1767"/>
      <c r="Y20" s="6"/>
      <c r="Z20" s="6"/>
      <c r="AA20" s="6"/>
    </row>
    <row r="21" spans="1:27" ht="15.75" customHeight="1">
      <c r="A21" s="6"/>
      <c r="B21" s="1768" t="s">
        <v>1083</v>
      </c>
      <c r="C21" s="1788" t="s">
        <v>1419</v>
      </c>
      <c r="D21" s="1789">
        <v>18.320622</v>
      </c>
      <c r="E21" s="1790">
        <f>D21*1000000*0.9071847</f>
        <v>16620187.9728834</v>
      </c>
      <c r="F21" s="1791">
        <v>523000</v>
      </c>
      <c r="G21" s="1791">
        <f>F21*0.9071847</f>
        <v>474457.5981</v>
      </c>
      <c r="H21" s="1792">
        <v>1985</v>
      </c>
      <c r="I21" s="1793">
        <v>2019</v>
      </c>
      <c r="J21" s="1790">
        <v>22080</v>
      </c>
      <c r="K21" s="1790">
        <v>8046</v>
      </c>
      <c r="L21" s="1794">
        <v>0.37890000000000001</v>
      </c>
      <c r="M21" s="1790">
        <f>K21*L21</f>
        <v>3048.6294000000003</v>
      </c>
      <c r="N21" s="1795">
        <v>0.99909999999999999</v>
      </c>
      <c r="O21" s="1790">
        <f>M21*N21</f>
        <v>3045.8856335400001</v>
      </c>
      <c r="P21" s="1790">
        <f>O21*2.75</f>
        <v>8376.1854922349994</v>
      </c>
      <c r="Q21" s="1790">
        <f>M21*(1-N21)</f>
        <v>2.7437664600000367</v>
      </c>
      <c r="R21" s="1790">
        <f>K21*(1-L21)</f>
        <v>4997.3706000000002</v>
      </c>
      <c r="S21" s="1794">
        <v>0.1</v>
      </c>
      <c r="T21" s="1790">
        <f>R21*S21</f>
        <v>499.73706000000004</v>
      </c>
      <c r="U21" s="1790">
        <f>R21-T21</f>
        <v>4497.6335399999998</v>
      </c>
      <c r="V21" s="1790">
        <f>U21+Q21</f>
        <v>4500.37730646</v>
      </c>
      <c r="W21" s="1790">
        <f>V21*$C$84</f>
        <v>126010.56458088</v>
      </c>
      <c r="X21" s="1796">
        <f>J21+W21</f>
        <v>148090.56458087999</v>
      </c>
      <c r="Y21" s="6"/>
      <c r="Z21" s="6"/>
      <c r="AA21" s="6"/>
    </row>
    <row r="22" spans="1:27" ht="15.75" customHeight="1">
      <c r="A22" s="6"/>
      <c r="B22" s="1768"/>
      <c r="C22" s="381"/>
      <c r="D22" s="1777"/>
      <c r="E22" s="1778"/>
      <c r="F22" s="1779"/>
      <c r="G22" s="1779"/>
      <c r="H22" s="380"/>
      <c r="I22" s="1780"/>
      <c r="J22" s="1765"/>
      <c r="K22" s="1765"/>
      <c r="L22" s="1783"/>
      <c r="M22" s="1778"/>
      <c r="N22" s="1798"/>
      <c r="O22" s="1778"/>
      <c r="P22" s="1765"/>
      <c r="Q22" s="1778"/>
      <c r="R22" s="1778"/>
      <c r="S22" s="1783"/>
      <c r="T22" s="1765"/>
      <c r="U22" s="1778"/>
      <c r="V22" s="1778"/>
      <c r="W22" s="1778"/>
      <c r="X22" s="1785"/>
      <c r="Y22" s="6"/>
      <c r="Z22" s="6"/>
      <c r="AA22" s="6"/>
    </row>
    <row r="23" spans="1:27" ht="15.75" customHeight="1">
      <c r="A23" s="6"/>
      <c r="B23" s="1768" t="s">
        <v>1420</v>
      </c>
      <c r="C23" s="1788" t="s">
        <v>1421</v>
      </c>
      <c r="D23" s="1789">
        <v>22.812999999999999</v>
      </c>
      <c r="E23" s="1790">
        <f>D23*1000000*0.9071847</f>
        <v>20695604.561099999</v>
      </c>
      <c r="F23" s="1791">
        <v>250000</v>
      </c>
      <c r="G23" s="1791">
        <f>F23*0.9071847</f>
        <v>226796.17499999999</v>
      </c>
      <c r="H23" s="1792">
        <v>1982</v>
      </c>
      <c r="I23" s="1793">
        <v>2033</v>
      </c>
      <c r="J23" s="1790">
        <v>15570</v>
      </c>
      <c r="K23" s="1790">
        <v>8166</v>
      </c>
      <c r="L23" s="1794">
        <v>0.63870000000000005</v>
      </c>
      <c r="M23" s="1790">
        <f t="shared" ref="M23:M24" si="13">K23*L23</f>
        <v>5215.6242000000002</v>
      </c>
      <c r="N23" s="1794">
        <v>0.98</v>
      </c>
      <c r="O23" s="1790">
        <f t="shared" ref="O23:O24" si="14">M23*N23</f>
        <v>5111.3117160000002</v>
      </c>
      <c r="P23" s="1790">
        <f t="shared" ref="P23:P24" si="15">O23*2.75</f>
        <v>14056.107219000001</v>
      </c>
      <c r="Q23" s="1790">
        <f t="shared" ref="Q23:Q24" si="16">M23*(1-N23)</f>
        <v>104.3124840000001</v>
      </c>
      <c r="R23" s="1790">
        <f t="shared" ref="R23:R24" si="17">K23*(1-L23)</f>
        <v>2950.3757999999998</v>
      </c>
      <c r="S23" s="1794">
        <v>0.1</v>
      </c>
      <c r="T23" s="1790">
        <f t="shared" ref="T23:T24" si="18">R23*S23</f>
        <v>295.03757999999999</v>
      </c>
      <c r="U23" s="1790">
        <f t="shared" ref="U23:U24" si="19">R23-T23</f>
        <v>2655.3382199999996</v>
      </c>
      <c r="V23" s="1790">
        <f t="shared" ref="V23:V24" si="20">U23+Q23</f>
        <v>2759.6507039999997</v>
      </c>
      <c r="W23" s="1790">
        <f t="shared" ref="W23:W24" si="21">V23*$C$84</f>
        <v>77270.219711999991</v>
      </c>
      <c r="X23" s="1796">
        <f t="shared" ref="X23:X24" si="22">J23+P23+W23</f>
        <v>106896.32693099999</v>
      </c>
      <c r="Y23" s="6"/>
      <c r="Z23" s="6"/>
      <c r="AA23" s="6"/>
    </row>
    <row r="24" spans="1:27" ht="15.75" customHeight="1">
      <c r="A24" s="6"/>
      <c r="B24" s="1325"/>
      <c r="C24" s="1769" t="s">
        <v>1422</v>
      </c>
      <c r="D24" s="1799"/>
      <c r="E24" s="1771">
        <v>7259745.9538000003</v>
      </c>
      <c r="F24" s="1772"/>
      <c r="G24" s="1772"/>
      <c r="H24" s="1773">
        <v>1968</v>
      </c>
      <c r="I24" s="1774">
        <v>1986</v>
      </c>
      <c r="J24" s="1771">
        <f>12360</f>
        <v>12360</v>
      </c>
      <c r="K24" s="1771">
        <f>4505</f>
        <v>4505</v>
      </c>
      <c r="L24" s="1775">
        <v>0.42880000000000001</v>
      </c>
      <c r="M24" s="1771">
        <f t="shared" si="13"/>
        <v>1931.7440000000001</v>
      </c>
      <c r="N24" s="1775">
        <v>0.98</v>
      </c>
      <c r="O24" s="1771">
        <f t="shared" si="14"/>
        <v>1893.1091200000001</v>
      </c>
      <c r="P24" s="1771">
        <f t="shared" si="15"/>
        <v>5206.05008</v>
      </c>
      <c r="Q24" s="1771">
        <f t="shared" si="16"/>
        <v>38.634880000000038</v>
      </c>
      <c r="R24" s="1771">
        <f t="shared" si="17"/>
        <v>2573.2559999999999</v>
      </c>
      <c r="S24" s="1775">
        <v>0.1</v>
      </c>
      <c r="T24" s="1771">
        <f t="shared" si="18"/>
        <v>257.32560000000001</v>
      </c>
      <c r="U24" s="1771">
        <f t="shared" si="19"/>
        <v>2315.9303999999997</v>
      </c>
      <c r="V24" s="1771">
        <f t="shared" si="20"/>
        <v>2354.5652799999998</v>
      </c>
      <c r="W24" s="1771">
        <f t="shared" si="21"/>
        <v>65927.827839999998</v>
      </c>
      <c r="X24" s="1776">
        <f t="shared" si="22"/>
        <v>83493.877919999999</v>
      </c>
      <c r="Y24" s="6"/>
      <c r="Z24" s="6"/>
      <c r="AA24" s="6"/>
    </row>
    <row r="25" spans="1:27" ht="15.75" customHeight="1">
      <c r="A25" s="6"/>
      <c r="B25" s="1325"/>
      <c r="C25" s="381"/>
      <c r="D25" s="1786"/>
      <c r="E25" s="1766"/>
      <c r="F25" s="1779"/>
      <c r="G25" s="1779"/>
      <c r="H25" s="380"/>
      <c r="I25" s="1780"/>
      <c r="J25" s="1765"/>
      <c r="K25" s="1765"/>
      <c r="L25" s="1782"/>
      <c r="M25" s="1766"/>
      <c r="N25" s="1782"/>
      <c r="O25" s="1766"/>
      <c r="P25" s="1765"/>
      <c r="Q25" s="1766"/>
      <c r="R25" s="1766"/>
      <c r="S25" s="381"/>
      <c r="T25" s="1765"/>
      <c r="U25" s="1787"/>
      <c r="V25" s="1766"/>
      <c r="W25" s="1766"/>
      <c r="X25" s="1767"/>
      <c r="Y25" s="6"/>
      <c r="Z25" s="6"/>
      <c r="AA25" s="6"/>
    </row>
    <row r="26" spans="1:27" ht="15.75" customHeight="1">
      <c r="A26" s="6"/>
      <c r="B26" s="1768" t="s">
        <v>1063</v>
      </c>
      <c r="C26" s="381" t="s">
        <v>1423</v>
      </c>
      <c r="D26" s="1777">
        <v>2.7992900000000001</v>
      </c>
      <c r="E26" s="1778">
        <f t="shared" ref="E26:E27" si="23">D26*1000000*0.9071847</f>
        <v>2539473.058863</v>
      </c>
      <c r="F26" s="1779">
        <v>20000</v>
      </c>
      <c r="G26" s="1779">
        <f t="shared" ref="G26:G27" si="24">F26*0.9071847</f>
        <v>18143.694</v>
      </c>
      <c r="H26" s="380">
        <v>1992</v>
      </c>
      <c r="I26" s="1780">
        <v>2037</v>
      </c>
      <c r="J26" s="1781">
        <v>1714</v>
      </c>
      <c r="K26" s="1781">
        <v>624.6</v>
      </c>
      <c r="L26" s="1782"/>
      <c r="M26" s="1766"/>
      <c r="N26" s="1782"/>
      <c r="O26" s="1766"/>
      <c r="P26" s="1765"/>
      <c r="Q26" s="1766"/>
      <c r="R26" s="1778">
        <f t="shared" ref="R26:R27" si="25">K26</f>
        <v>624.6</v>
      </c>
      <c r="S26" s="1783">
        <v>0.1</v>
      </c>
      <c r="T26" s="1781">
        <f t="shared" ref="T26:T27" si="26">R26*S26</f>
        <v>62.460000000000008</v>
      </c>
      <c r="U26" s="1784">
        <f t="shared" ref="U26:U27" si="27">R26-T26</f>
        <v>562.14</v>
      </c>
      <c r="V26" s="1778">
        <f t="shared" ref="V26:V27" si="28">U26</f>
        <v>562.14</v>
      </c>
      <c r="W26" s="1778">
        <f t="shared" ref="W26:W27" si="29">V26*$C$84</f>
        <v>15739.92</v>
      </c>
      <c r="X26" s="1785">
        <f t="shared" ref="X26:X27" si="30">J26+W26</f>
        <v>17453.919999999998</v>
      </c>
      <c r="Y26" s="6"/>
      <c r="Z26" s="6"/>
      <c r="AA26" s="6"/>
    </row>
    <row r="27" spans="1:27" ht="15.75" customHeight="1">
      <c r="A27" s="6"/>
      <c r="B27" s="1325"/>
      <c r="C27" s="381" t="s">
        <v>1424</v>
      </c>
      <c r="D27" s="1777">
        <v>0.6</v>
      </c>
      <c r="E27" s="1778">
        <f t="shared" si="23"/>
        <v>544310.81999999995</v>
      </c>
      <c r="F27" s="1779">
        <v>28000</v>
      </c>
      <c r="G27" s="1779">
        <f t="shared" si="24"/>
        <v>25401.171599999998</v>
      </c>
      <c r="H27" s="380">
        <v>1975</v>
      </c>
      <c r="I27" s="1780">
        <v>1993</v>
      </c>
      <c r="J27" s="1781">
        <v>1271</v>
      </c>
      <c r="K27" s="1781">
        <v>463.3</v>
      </c>
      <c r="L27" s="1782"/>
      <c r="M27" s="1766"/>
      <c r="N27" s="1782"/>
      <c r="O27" s="1766"/>
      <c r="P27" s="1765"/>
      <c r="Q27" s="1766"/>
      <c r="R27" s="1778">
        <f t="shared" si="25"/>
        <v>463.3</v>
      </c>
      <c r="S27" s="1783">
        <v>0.1</v>
      </c>
      <c r="T27" s="1781">
        <f t="shared" si="26"/>
        <v>46.330000000000005</v>
      </c>
      <c r="U27" s="1784">
        <f t="shared" si="27"/>
        <v>416.97</v>
      </c>
      <c r="V27" s="1778">
        <f t="shared" si="28"/>
        <v>416.97</v>
      </c>
      <c r="W27" s="1778">
        <f t="shared" si="29"/>
        <v>11675.16</v>
      </c>
      <c r="X27" s="1785">
        <f t="shared" si="30"/>
        <v>12946.16</v>
      </c>
      <c r="Y27" s="6"/>
      <c r="Z27" s="6"/>
      <c r="AA27" s="6"/>
    </row>
    <row r="28" spans="1:27" ht="15.75" customHeight="1">
      <c r="A28" s="6"/>
      <c r="B28" s="1325"/>
      <c r="C28" s="381"/>
      <c r="D28" s="1786"/>
      <c r="E28" s="1766"/>
      <c r="F28" s="1779"/>
      <c r="G28" s="1779"/>
      <c r="H28" s="380"/>
      <c r="I28" s="1780"/>
      <c r="J28" s="1765"/>
      <c r="K28" s="1765"/>
      <c r="L28" s="1782"/>
      <c r="M28" s="1766"/>
      <c r="N28" s="1782"/>
      <c r="O28" s="1766"/>
      <c r="P28" s="1765"/>
      <c r="Q28" s="1766"/>
      <c r="R28" s="1766"/>
      <c r="S28" s="381"/>
      <c r="T28" s="1765"/>
      <c r="U28" s="1787"/>
      <c r="V28" s="1766"/>
      <c r="W28" s="1766"/>
      <c r="X28" s="1767"/>
      <c r="Y28" s="6"/>
      <c r="Z28" s="6"/>
      <c r="AA28" s="6"/>
    </row>
    <row r="29" spans="1:27" ht="15.75" customHeight="1">
      <c r="A29" s="6"/>
      <c r="B29" s="1768" t="s">
        <v>1064</v>
      </c>
      <c r="C29" s="1788" t="s">
        <v>1425</v>
      </c>
      <c r="D29" s="1789">
        <f>3487273/1000000</f>
        <v>3.4872730000000001</v>
      </c>
      <c r="E29" s="1800"/>
      <c r="F29" s="1791"/>
      <c r="G29" s="1791"/>
      <c r="H29" s="1792">
        <v>1953</v>
      </c>
      <c r="I29" s="1793">
        <v>2010</v>
      </c>
      <c r="J29" s="1790">
        <f>9043</f>
        <v>9043</v>
      </c>
      <c r="K29" s="1790">
        <f>3296</f>
        <v>3296</v>
      </c>
      <c r="L29" s="1794">
        <v>0.63839999999999997</v>
      </c>
      <c r="M29" s="1790">
        <f>K29*L29</f>
        <v>2104.1664000000001</v>
      </c>
      <c r="N29" s="1794">
        <v>0.98</v>
      </c>
      <c r="O29" s="1790">
        <f>M29*N29</f>
        <v>2062.0830719999999</v>
      </c>
      <c r="P29" s="1790">
        <f>O29*2.75</f>
        <v>5670.7284479999998</v>
      </c>
      <c r="Q29" s="1790">
        <f>M29*(1-N29)</f>
        <v>42.083328000000037</v>
      </c>
      <c r="R29" s="1790">
        <f>K29*(1-L29)</f>
        <v>1191.8336000000002</v>
      </c>
      <c r="S29" s="1794">
        <v>0.1</v>
      </c>
      <c r="T29" s="1790">
        <f>R29*S29</f>
        <v>119.18336000000002</v>
      </c>
      <c r="U29" s="1790">
        <f>R29-T29</f>
        <v>1072.6502400000002</v>
      </c>
      <c r="V29" s="1790">
        <f>U29+Q29</f>
        <v>1114.7335680000001</v>
      </c>
      <c r="W29" s="1790">
        <f>V29*$C$84</f>
        <v>31212.539904000005</v>
      </c>
      <c r="X29" s="1796">
        <f>J29+P29+W29</f>
        <v>45926.268352000006</v>
      </c>
      <c r="Y29" s="6"/>
      <c r="Z29" s="6"/>
      <c r="AA29" s="6"/>
    </row>
    <row r="30" spans="1:27" ht="15.75" customHeight="1">
      <c r="A30" s="6"/>
      <c r="B30" s="1325"/>
      <c r="C30" s="381"/>
      <c r="D30" s="1786"/>
      <c r="E30" s="1766"/>
      <c r="F30" s="1779"/>
      <c r="G30" s="1779"/>
      <c r="H30" s="380"/>
      <c r="I30" s="1780"/>
      <c r="J30" s="1765"/>
      <c r="K30" s="1765"/>
      <c r="L30" s="1782"/>
      <c r="M30" s="1766"/>
      <c r="N30" s="1782"/>
      <c r="O30" s="1766"/>
      <c r="P30" s="1765"/>
      <c r="Q30" s="1766"/>
      <c r="R30" s="1766"/>
      <c r="S30" s="381"/>
      <c r="T30" s="1765"/>
      <c r="U30" s="1787"/>
      <c r="V30" s="1766"/>
      <c r="W30" s="1766"/>
      <c r="X30" s="1767"/>
      <c r="Y30" s="6"/>
      <c r="Z30" s="6"/>
      <c r="AA30" s="6"/>
    </row>
    <row r="31" spans="1:27" ht="15.75" customHeight="1">
      <c r="A31" s="6"/>
      <c r="B31" s="1768" t="s">
        <v>1065</v>
      </c>
      <c r="C31" s="381" t="s">
        <v>1426</v>
      </c>
      <c r="D31" s="1801">
        <v>0.5</v>
      </c>
      <c r="E31" s="1778">
        <f t="shared" ref="E31:E32" si="31">D31*1000000*0.9071847</f>
        <v>453592.35</v>
      </c>
      <c r="F31" s="1779">
        <v>35000</v>
      </c>
      <c r="G31" s="1779">
        <f t="shared" ref="G31:G32" si="32">F31*0.9071847</f>
        <v>31751.464499999998</v>
      </c>
      <c r="H31" s="380">
        <v>1981</v>
      </c>
      <c r="I31" s="1780">
        <v>1994</v>
      </c>
      <c r="J31" s="1781">
        <v>1138</v>
      </c>
      <c r="K31" s="1781">
        <v>414.7</v>
      </c>
      <c r="L31" s="1782"/>
      <c r="M31" s="1766"/>
      <c r="N31" s="1782"/>
      <c r="O31" s="1766"/>
      <c r="P31" s="1765"/>
      <c r="Q31" s="1766"/>
      <c r="R31" s="1778">
        <f>K31</f>
        <v>414.7</v>
      </c>
      <c r="S31" s="1783">
        <v>0.1</v>
      </c>
      <c r="T31" s="1781">
        <f t="shared" ref="T31:T32" si="33">R31*S31</f>
        <v>41.47</v>
      </c>
      <c r="U31" s="1784">
        <f t="shared" ref="U31:U32" si="34">R31-T31</f>
        <v>373.23</v>
      </c>
      <c r="V31" s="1778">
        <f>U31</f>
        <v>373.23</v>
      </c>
      <c r="W31" s="1778">
        <f t="shared" ref="W31:W32" si="35">V31*$C$84</f>
        <v>10450.44</v>
      </c>
      <c r="X31" s="1785">
        <f t="shared" ref="X31:X32" si="36">J31+W31</f>
        <v>11588.44</v>
      </c>
      <c r="Y31" s="6"/>
      <c r="Z31" s="6"/>
      <c r="AA31" s="6"/>
    </row>
    <row r="32" spans="1:27" ht="15.75" customHeight="1">
      <c r="A32" s="6"/>
      <c r="B32" s="1325"/>
      <c r="C32" s="1769" t="s">
        <v>1427</v>
      </c>
      <c r="D32" s="1770">
        <v>3.5041869999999999</v>
      </c>
      <c r="E32" s="1771">
        <f t="shared" si="31"/>
        <v>3178944.8323388998</v>
      </c>
      <c r="F32" s="1772">
        <v>80000</v>
      </c>
      <c r="G32" s="1772">
        <f t="shared" si="32"/>
        <v>72574.775999999998</v>
      </c>
      <c r="H32" s="1773">
        <v>1988</v>
      </c>
      <c r="I32" s="1774">
        <v>2053</v>
      </c>
      <c r="J32" s="1771">
        <v>3574</v>
      </c>
      <c r="K32" s="1771">
        <v>1303</v>
      </c>
      <c r="L32" s="1775">
        <v>4.7500000000000001E-2</v>
      </c>
      <c r="M32" s="1771">
        <f>K32*L32</f>
        <v>61.892499999999998</v>
      </c>
      <c r="N32" s="1775">
        <v>0.97699999999999998</v>
      </c>
      <c r="O32" s="1771">
        <f>M32*N32</f>
        <v>60.4689725</v>
      </c>
      <c r="P32" s="1771">
        <f>O32*2.75</f>
        <v>166.289674375</v>
      </c>
      <c r="Q32" s="1771">
        <f>M32*(1-N32)</f>
        <v>1.4235275000000012</v>
      </c>
      <c r="R32" s="1771">
        <f>K32*(1-L32)</f>
        <v>1241.1075000000001</v>
      </c>
      <c r="S32" s="1775">
        <v>0.1</v>
      </c>
      <c r="T32" s="1771">
        <f t="shared" si="33"/>
        <v>124.11075000000001</v>
      </c>
      <c r="U32" s="1771">
        <f t="shared" si="34"/>
        <v>1116.99675</v>
      </c>
      <c r="V32" s="1771">
        <f>U32+Q32</f>
        <v>1118.4202775000001</v>
      </c>
      <c r="W32" s="1771">
        <f t="shared" si="35"/>
        <v>31315.767770000002</v>
      </c>
      <c r="X32" s="1776">
        <f t="shared" si="36"/>
        <v>34889.767770000006</v>
      </c>
      <c r="Y32" s="6"/>
      <c r="Z32" s="6"/>
      <c r="AA32" s="6"/>
    </row>
    <row r="33" spans="1:27" ht="15.75" customHeight="1">
      <c r="A33" s="6"/>
      <c r="B33" s="1325"/>
      <c r="C33" s="381"/>
      <c r="D33" s="1786"/>
      <c r="E33" s="1766"/>
      <c r="F33" s="1779"/>
      <c r="G33" s="1779"/>
      <c r="H33" s="380"/>
      <c r="I33" s="1780"/>
      <c r="J33" s="1765"/>
      <c r="K33" s="1765"/>
      <c r="L33" s="1782"/>
      <c r="M33" s="1766"/>
      <c r="N33" s="1782"/>
      <c r="O33" s="1766"/>
      <c r="P33" s="1765"/>
      <c r="Q33" s="1766"/>
      <c r="R33" s="1766"/>
      <c r="S33" s="381"/>
      <c r="T33" s="1765"/>
      <c r="U33" s="1787"/>
      <c r="V33" s="1766"/>
      <c r="W33" s="1766"/>
      <c r="X33" s="1767"/>
      <c r="Y33" s="6"/>
      <c r="Z33" s="6"/>
      <c r="AA33" s="6"/>
    </row>
    <row r="34" spans="1:27" ht="15.75" customHeight="1">
      <c r="A34" s="6"/>
      <c r="B34" s="1768" t="s">
        <v>1066</v>
      </c>
      <c r="C34" s="1769" t="s">
        <v>1428</v>
      </c>
      <c r="D34" s="1770">
        <v>4.5049999999999999</v>
      </c>
      <c r="E34" s="1771">
        <f>D34*1000000*0.9071847</f>
        <v>4086867.0734999999</v>
      </c>
      <c r="F34" s="1772"/>
      <c r="G34" s="1772">
        <v>60623.332999999999</v>
      </c>
      <c r="H34" s="1773">
        <v>1978</v>
      </c>
      <c r="I34" s="1774">
        <v>2046</v>
      </c>
      <c r="J34" s="1771">
        <v>12530</v>
      </c>
      <c r="K34" s="1771">
        <v>4568</v>
      </c>
      <c r="L34" s="1775">
        <v>0.64129999999999998</v>
      </c>
      <c r="M34" s="1771">
        <f>K34*L34</f>
        <v>2929.4584</v>
      </c>
      <c r="N34" s="1775">
        <v>0.98</v>
      </c>
      <c r="O34" s="1771">
        <f>M34*N34</f>
        <v>2870.869232</v>
      </c>
      <c r="P34" s="1771">
        <f>O34*2.75</f>
        <v>7894.8903879999998</v>
      </c>
      <c r="Q34" s="1771">
        <f>M34*(1-N34)</f>
        <v>58.589168000000051</v>
      </c>
      <c r="R34" s="1771">
        <f>K34*(1-L34)</f>
        <v>1638.5416</v>
      </c>
      <c r="S34" s="1775">
        <v>0.1</v>
      </c>
      <c r="T34" s="1771">
        <f>R34*S34</f>
        <v>163.85416000000001</v>
      </c>
      <c r="U34" s="1771">
        <f>R34-T34</f>
        <v>1474.6874399999999</v>
      </c>
      <c r="V34" s="1771">
        <f>U34+Q34</f>
        <v>1533.2766079999999</v>
      </c>
      <c r="W34" s="1771">
        <f>V34*$C$84</f>
        <v>42931.745023999996</v>
      </c>
      <c r="X34" s="1776">
        <f>J34+P34+W34</f>
        <v>63356.635411999996</v>
      </c>
      <c r="Y34" s="6"/>
      <c r="Z34" s="6"/>
      <c r="AA34" s="6"/>
    </row>
    <row r="35" spans="1:27" ht="15.75" customHeight="1">
      <c r="A35" s="6"/>
      <c r="B35" s="1325"/>
      <c r="C35" s="381"/>
      <c r="D35" s="1786"/>
      <c r="E35" s="1766"/>
      <c r="F35" s="1779"/>
      <c r="G35" s="1779"/>
      <c r="H35" s="380"/>
      <c r="I35" s="1780"/>
      <c r="J35" s="1765"/>
      <c r="K35" s="1765"/>
      <c r="L35" s="1782"/>
      <c r="M35" s="1766"/>
      <c r="N35" s="1782"/>
      <c r="O35" s="1766"/>
      <c r="P35" s="1765"/>
      <c r="Q35" s="1766"/>
      <c r="R35" s="1766"/>
      <c r="S35" s="381"/>
      <c r="T35" s="1765"/>
      <c r="U35" s="1787"/>
      <c r="V35" s="1766"/>
      <c r="W35" s="1766"/>
      <c r="X35" s="1767"/>
      <c r="Y35" s="6"/>
      <c r="Z35" s="6"/>
      <c r="AA35" s="6"/>
    </row>
    <row r="36" spans="1:27" ht="15.75" customHeight="1">
      <c r="A36" s="6"/>
      <c r="B36" s="1768" t="s">
        <v>1067</v>
      </c>
      <c r="C36" s="1769" t="s">
        <v>1429</v>
      </c>
      <c r="D36" s="1770">
        <v>4.3746999999999998</v>
      </c>
      <c r="E36" s="1771">
        <f t="shared" ref="E36:E37" si="37">D36*1000000*0.9071847</f>
        <v>3968660.9070899999</v>
      </c>
      <c r="F36" s="1772">
        <v>82000</v>
      </c>
      <c r="G36" s="1772">
        <f t="shared" ref="G36:G37" si="38">F36*0.9071847</f>
        <v>74389.145399999994</v>
      </c>
      <c r="H36" s="1773">
        <v>1994</v>
      </c>
      <c r="I36" s="1774">
        <v>2040</v>
      </c>
      <c r="J36" s="1771">
        <v>14840</v>
      </c>
      <c r="K36" s="1771">
        <v>5410</v>
      </c>
      <c r="L36" s="1775">
        <v>0.7</v>
      </c>
      <c r="M36" s="1771">
        <f>K36*L36</f>
        <v>3786.9999999999995</v>
      </c>
      <c r="N36" s="1775">
        <v>0.98</v>
      </c>
      <c r="O36" s="1771">
        <f>M36*N36</f>
        <v>3711.2599999999993</v>
      </c>
      <c r="P36" s="1771">
        <f>O36*2.75</f>
        <v>10205.964999999998</v>
      </c>
      <c r="Q36" s="1771">
        <f>M36*(1-N36)</f>
        <v>75.740000000000052</v>
      </c>
      <c r="R36" s="1771">
        <f>K36*(1-L36)</f>
        <v>1623.0000000000002</v>
      </c>
      <c r="S36" s="1775">
        <v>0.1</v>
      </c>
      <c r="T36" s="1771">
        <f t="shared" ref="T36:T37" si="39">R36*S36</f>
        <v>162.30000000000004</v>
      </c>
      <c r="U36" s="1771">
        <f t="shared" ref="U36:U37" si="40">R36-T36</f>
        <v>1460.7000000000003</v>
      </c>
      <c r="V36" s="1771">
        <f>U36+Q36</f>
        <v>1536.4400000000003</v>
      </c>
      <c r="W36" s="1771">
        <f t="shared" ref="W36:W37" si="41">V36*$C$84</f>
        <v>43020.320000000007</v>
      </c>
      <c r="X36" s="1776">
        <f t="shared" ref="X36:X37" si="42">J36+W36</f>
        <v>57860.320000000007</v>
      </c>
      <c r="Y36" s="6"/>
      <c r="Z36" s="6"/>
      <c r="AA36" s="6"/>
    </row>
    <row r="37" spans="1:27" ht="15.75" customHeight="1">
      <c r="A37" s="6"/>
      <c r="B37" s="1325"/>
      <c r="C37" s="381" t="s">
        <v>1430</v>
      </c>
      <c r="D37" s="1777">
        <v>1.5</v>
      </c>
      <c r="E37" s="1778">
        <f t="shared" si="37"/>
        <v>1360777.05</v>
      </c>
      <c r="F37" s="1779">
        <v>75000</v>
      </c>
      <c r="G37" s="1779">
        <f t="shared" si="38"/>
        <v>68038.852499999994</v>
      </c>
      <c r="H37" s="380">
        <v>1974</v>
      </c>
      <c r="I37" s="1780">
        <v>1994</v>
      </c>
      <c r="J37" s="1781">
        <v>3567</v>
      </c>
      <c r="K37" s="1781">
        <v>1300</v>
      </c>
      <c r="L37" s="1782"/>
      <c r="M37" s="1766"/>
      <c r="N37" s="1782"/>
      <c r="O37" s="1766"/>
      <c r="P37" s="1765"/>
      <c r="Q37" s="1766"/>
      <c r="R37" s="1778">
        <f>K37</f>
        <v>1300</v>
      </c>
      <c r="S37" s="1783">
        <v>0.1</v>
      </c>
      <c r="T37" s="1781">
        <f t="shared" si="39"/>
        <v>130</v>
      </c>
      <c r="U37" s="1784">
        <f t="shared" si="40"/>
        <v>1170</v>
      </c>
      <c r="V37" s="1778">
        <f>U37</f>
        <v>1170</v>
      </c>
      <c r="W37" s="1778">
        <f t="shared" si="41"/>
        <v>32760</v>
      </c>
      <c r="X37" s="1785">
        <f t="shared" si="42"/>
        <v>36327</v>
      </c>
      <c r="Y37" s="6"/>
      <c r="Z37" s="6"/>
      <c r="AA37" s="6"/>
    </row>
    <row r="38" spans="1:27" ht="15.75" customHeight="1">
      <c r="A38" s="6"/>
      <c r="B38" s="1325"/>
      <c r="C38" s="381"/>
      <c r="D38" s="1786"/>
      <c r="E38" s="1766"/>
      <c r="F38" s="1779"/>
      <c r="G38" s="1779"/>
      <c r="H38" s="380"/>
      <c r="I38" s="1780"/>
      <c r="J38" s="1765"/>
      <c r="K38" s="1765"/>
      <c r="L38" s="1782"/>
      <c r="M38" s="1766"/>
      <c r="N38" s="1782"/>
      <c r="O38" s="1766"/>
      <c r="P38" s="1765"/>
      <c r="Q38" s="1766"/>
      <c r="R38" s="1766"/>
      <c r="S38" s="381"/>
      <c r="T38" s="1765"/>
      <c r="U38" s="1787"/>
      <c r="V38" s="1766"/>
      <c r="W38" s="1766"/>
      <c r="X38" s="1767"/>
      <c r="Y38" s="6"/>
      <c r="Z38" s="6"/>
      <c r="AA38" s="6"/>
    </row>
    <row r="39" spans="1:27" ht="15.75" customHeight="1">
      <c r="A39" s="6"/>
      <c r="B39" s="1768" t="s">
        <v>1431</v>
      </c>
      <c r="C39" s="381" t="s">
        <v>1432</v>
      </c>
      <c r="D39" s="1777">
        <v>0.8</v>
      </c>
      <c r="E39" s="1778">
        <f t="shared" ref="E39:E40" si="43">D39*1000000*0.9071847</f>
        <v>725747.76</v>
      </c>
      <c r="F39" s="1779">
        <v>35000</v>
      </c>
      <c r="G39" s="1779">
        <f>F39*0.9071847</f>
        <v>31751.464499999998</v>
      </c>
      <c r="H39" s="380">
        <v>1973</v>
      </c>
      <c r="I39" s="1780">
        <v>1995</v>
      </c>
      <c r="J39" s="1781">
        <v>1110</v>
      </c>
      <c r="K39" s="1781">
        <v>404.4</v>
      </c>
      <c r="L39" s="1782"/>
      <c r="M39" s="1766"/>
      <c r="N39" s="1782"/>
      <c r="O39" s="1766"/>
      <c r="P39" s="1765"/>
      <c r="Q39" s="1766"/>
      <c r="R39" s="1778">
        <f>K39</f>
        <v>404.4</v>
      </c>
      <c r="S39" s="1783">
        <v>0.1</v>
      </c>
      <c r="T39" s="1781">
        <f t="shared" ref="T39:T40" si="44">R39*S39</f>
        <v>40.44</v>
      </c>
      <c r="U39" s="1784">
        <f t="shared" ref="U39:U44" si="45">R39-T39</f>
        <v>363.96</v>
      </c>
      <c r="V39" s="1778">
        <f>U39</f>
        <v>363.96</v>
      </c>
      <c r="W39" s="1778">
        <f t="shared" ref="W39:W40" si="46">V39*$C$84</f>
        <v>10190.879999999999</v>
      </c>
      <c r="X39" s="1785">
        <f t="shared" ref="X39:X40" si="47">J39+W39</f>
        <v>11300.88</v>
      </c>
      <c r="Y39" s="6"/>
      <c r="Z39" s="6"/>
      <c r="AA39" s="6"/>
    </row>
    <row r="40" spans="1:27" ht="15.75" customHeight="1">
      <c r="A40" s="6"/>
      <c r="B40" s="1325"/>
      <c r="C40" s="1769" t="s">
        <v>1433</v>
      </c>
      <c r="D40" s="1770">
        <v>4.0999999999999996</v>
      </c>
      <c r="E40" s="1771">
        <f t="shared" si="43"/>
        <v>3719457.2699999996</v>
      </c>
      <c r="F40" s="1772"/>
      <c r="G40" s="1772"/>
      <c r="H40" s="1773">
        <v>1996</v>
      </c>
      <c r="I40" s="1774">
        <v>2010</v>
      </c>
      <c r="J40" s="1771">
        <v>5875</v>
      </c>
      <c r="K40" s="1771">
        <f>2141</f>
        <v>2141</v>
      </c>
      <c r="L40" s="1775">
        <v>0.36399999999999999</v>
      </c>
      <c r="M40" s="1771">
        <f>K40*L40</f>
        <v>779.32399999999996</v>
      </c>
      <c r="N40" s="1775">
        <v>0.99</v>
      </c>
      <c r="O40" s="1771">
        <f>M40*N40</f>
        <v>771.53075999999999</v>
      </c>
      <c r="P40" s="1771">
        <f>O40*2.75</f>
        <v>2121.7095899999999</v>
      </c>
      <c r="Q40" s="1771">
        <f>M40*(1-N40)</f>
        <v>7.7932400000000062</v>
      </c>
      <c r="R40" s="1771">
        <f>K40*(1-L40)</f>
        <v>1361.6759999999999</v>
      </c>
      <c r="S40" s="1775">
        <v>0.1</v>
      </c>
      <c r="T40" s="1771">
        <f t="shared" si="44"/>
        <v>136.16759999999999</v>
      </c>
      <c r="U40" s="1771">
        <f t="shared" si="45"/>
        <v>1225.5083999999999</v>
      </c>
      <c r="V40" s="1771">
        <f>U40+Q40</f>
        <v>1233.3016399999999</v>
      </c>
      <c r="W40" s="1771">
        <f t="shared" si="46"/>
        <v>34532.445919999998</v>
      </c>
      <c r="X40" s="1776">
        <f t="shared" si="47"/>
        <v>40407.445919999998</v>
      </c>
      <c r="Y40" s="6"/>
      <c r="Z40" s="6"/>
      <c r="AA40" s="6"/>
    </row>
    <row r="41" spans="1:27" ht="15.75" customHeight="1">
      <c r="A41" s="6"/>
      <c r="B41" s="1325"/>
      <c r="C41" s="381"/>
      <c r="D41" s="1786"/>
      <c r="E41" s="1766"/>
      <c r="F41" s="1779"/>
      <c r="G41" s="1779"/>
      <c r="H41" s="380"/>
      <c r="I41" s="1780"/>
      <c r="J41" s="1765"/>
      <c r="K41" s="1765"/>
      <c r="L41" s="1782"/>
      <c r="M41" s="1766"/>
      <c r="N41" s="1782"/>
      <c r="O41" s="1766"/>
      <c r="P41" s="1765"/>
      <c r="Q41" s="1766"/>
      <c r="R41" s="1766"/>
      <c r="S41" s="381"/>
      <c r="T41" s="1765"/>
      <c r="U41" s="1784">
        <f t="shared" si="45"/>
        <v>0</v>
      </c>
      <c r="V41" s="1766"/>
      <c r="W41" s="1766"/>
      <c r="X41" s="1767"/>
      <c r="Y41" s="6"/>
      <c r="Z41" s="6"/>
      <c r="AA41" s="6"/>
    </row>
    <row r="42" spans="1:27" ht="15.75" customHeight="1">
      <c r="A42" s="6"/>
      <c r="B42" s="1768" t="s">
        <v>1069</v>
      </c>
      <c r="C42" s="381" t="s">
        <v>1434</v>
      </c>
      <c r="D42" s="1777">
        <v>1.0008999999999999</v>
      </c>
      <c r="E42" s="1778">
        <f t="shared" ref="E42:E44" si="48">D42*1000000*0.9071847</f>
        <v>908001.16622999986</v>
      </c>
      <c r="F42" s="1779"/>
      <c r="G42" s="1779">
        <f t="shared" ref="G42:G44" si="49">F42*0.9071847</f>
        <v>0</v>
      </c>
      <c r="H42" s="380">
        <v>1991</v>
      </c>
      <c r="I42" s="1780">
        <v>2504</v>
      </c>
      <c r="J42" s="1781">
        <v>185.3</v>
      </c>
      <c r="K42" s="1781">
        <v>67.55</v>
      </c>
      <c r="L42" s="1782"/>
      <c r="M42" s="1766"/>
      <c r="N42" s="1782"/>
      <c r="O42" s="1766"/>
      <c r="P42" s="1765"/>
      <c r="Q42" s="1766"/>
      <c r="R42" s="1778">
        <f>K42</f>
        <v>67.55</v>
      </c>
      <c r="S42" s="1783">
        <v>0.1</v>
      </c>
      <c r="T42" s="1781">
        <f t="shared" ref="T42:T44" si="50">R42*S42</f>
        <v>6.7549999999999999</v>
      </c>
      <c r="U42" s="1784">
        <f t="shared" si="45"/>
        <v>60.794999999999995</v>
      </c>
      <c r="V42" s="1778">
        <f>U42</f>
        <v>60.794999999999995</v>
      </c>
      <c r="W42" s="1778">
        <f t="shared" ref="W42:W44" si="51">V42*$C$84</f>
        <v>1702.2599999999998</v>
      </c>
      <c r="X42" s="1785">
        <f>J42+W42</f>
        <v>1887.5599999999997</v>
      </c>
      <c r="Y42" s="6"/>
      <c r="Z42" s="6"/>
      <c r="AA42" s="6"/>
    </row>
    <row r="43" spans="1:27" ht="15.75" customHeight="1">
      <c r="A43" s="6"/>
      <c r="B43" s="1325"/>
      <c r="C43" s="1788" t="s">
        <v>1435</v>
      </c>
      <c r="D43" s="1789">
        <v>2.1</v>
      </c>
      <c r="E43" s="1790">
        <f t="shared" si="48"/>
        <v>1905087.8699999999</v>
      </c>
      <c r="F43" s="1791">
        <v>69200</v>
      </c>
      <c r="G43" s="1791">
        <f t="shared" si="49"/>
        <v>62777.181239999998</v>
      </c>
      <c r="H43" s="1792">
        <v>1968</v>
      </c>
      <c r="I43" s="1793">
        <v>1997</v>
      </c>
      <c r="J43" s="1790">
        <v>9014</v>
      </c>
      <c r="K43" s="1790">
        <v>3521</v>
      </c>
      <c r="L43" s="1794">
        <v>0.59550000000000003</v>
      </c>
      <c r="M43" s="1790">
        <f>K43*L43</f>
        <v>2096.7555000000002</v>
      </c>
      <c r="N43" s="1794">
        <v>0.98</v>
      </c>
      <c r="O43" s="1790">
        <f>M43*N43</f>
        <v>2054.8203900000003</v>
      </c>
      <c r="P43" s="1790">
        <f>O43*2.75</f>
        <v>5650.7560725000012</v>
      </c>
      <c r="Q43" s="1790">
        <f>M43*(1-N43)</f>
        <v>41.935110000000044</v>
      </c>
      <c r="R43" s="1790">
        <f>K43*(1-L43)</f>
        <v>1424.2444999999998</v>
      </c>
      <c r="S43" s="1794">
        <v>0.1</v>
      </c>
      <c r="T43" s="1790">
        <f t="shared" si="50"/>
        <v>142.42444999999998</v>
      </c>
      <c r="U43" s="1790">
        <f t="shared" si="45"/>
        <v>1281.8200499999998</v>
      </c>
      <c r="V43" s="1790">
        <f>U43+Q43</f>
        <v>1323.7551599999999</v>
      </c>
      <c r="W43" s="1790">
        <f t="shared" si="51"/>
        <v>37065.144479999995</v>
      </c>
      <c r="X43" s="1796">
        <f>J43+P43+W43</f>
        <v>51729.900552499996</v>
      </c>
      <c r="Y43" s="6"/>
      <c r="Z43" s="6"/>
      <c r="AA43" s="6"/>
    </row>
    <row r="44" spans="1:27" ht="15.75" customHeight="1">
      <c r="A44" s="6"/>
      <c r="B44" s="1325"/>
      <c r="C44" s="381" t="s">
        <v>1436</v>
      </c>
      <c r="D44" s="1777">
        <v>4.2261879999999996</v>
      </c>
      <c r="E44" s="1778">
        <f t="shared" si="48"/>
        <v>3833933.0929235998</v>
      </c>
      <c r="F44" s="1779">
        <v>100000</v>
      </c>
      <c r="G44" s="1779">
        <f t="shared" si="49"/>
        <v>90718.47</v>
      </c>
      <c r="H44" s="380">
        <v>1995</v>
      </c>
      <c r="I44" s="1780">
        <v>2045</v>
      </c>
      <c r="J44" s="1781">
        <v>1001</v>
      </c>
      <c r="K44" s="1781">
        <v>395.1</v>
      </c>
      <c r="L44" s="1782"/>
      <c r="M44" s="1766"/>
      <c r="N44" s="1782"/>
      <c r="O44" s="1766"/>
      <c r="P44" s="1765"/>
      <c r="Q44" s="1766"/>
      <c r="R44" s="1778">
        <f>K44</f>
        <v>395.1</v>
      </c>
      <c r="S44" s="1783">
        <v>0.1</v>
      </c>
      <c r="T44" s="1781">
        <f t="shared" si="50"/>
        <v>39.510000000000005</v>
      </c>
      <c r="U44" s="1784">
        <f t="shared" si="45"/>
        <v>355.59000000000003</v>
      </c>
      <c r="V44" s="1778">
        <f>U44</f>
        <v>355.59000000000003</v>
      </c>
      <c r="W44" s="1778">
        <f t="shared" si="51"/>
        <v>9956.52</v>
      </c>
      <c r="X44" s="1785">
        <f>J44+W44</f>
        <v>10957.52</v>
      </c>
      <c r="Y44" s="6"/>
      <c r="Z44" s="6"/>
      <c r="AA44" s="6"/>
    </row>
    <row r="45" spans="1:27" ht="15.75" customHeight="1">
      <c r="A45" s="6"/>
      <c r="B45" s="1325"/>
      <c r="C45" s="381"/>
      <c r="D45" s="1786"/>
      <c r="E45" s="1766"/>
      <c r="F45" s="1779"/>
      <c r="G45" s="1779"/>
      <c r="H45" s="380"/>
      <c r="I45" s="1780"/>
      <c r="J45" s="1765"/>
      <c r="K45" s="1765"/>
      <c r="L45" s="1782"/>
      <c r="M45" s="1766"/>
      <c r="N45" s="1782"/>
      <c r="O45" s="1766"/>
      <c r="P45" s="1765"/>
      <c r="Q45" s="1766"/>
      <c r="R45" s="1766"/>
      <c r="S45" s="381"/>
      <c r="T45" s="1765"/>
      <c r="U45" s="1787"/>
      <c r="V45" s="1766"/>
      <c r="W45" s="1766"/>
      <c r="X45" s="1767"/>
      <c r="Y45" s="6"/>
      <c r="Z45" s="6"/>
      <c r="AA45" s="6"/>
    </row>
    <row r="46" spans="1:27" ht="15.75" customHeight="1">
      <c r="A46" s="6"/>
      <c r="B46" s="1768" t="s">
        <v>1070</v>
      </c>
      <c r="C46" s="381" t="s">
        <v>1437</v>
      </c>
      <c r="D46" s="1777">
        <v>1.537185</v>
      </c>
      <c r="E46" s="1778">
        <f t="shared" ref="E46:E47" si="52">D46*1000000*0.9071847</f>
        <v>1394510.7130694999</v>
      </c>
      <c r="F46" s="1779">
        <v>38000</v>
      </c>
      <c r="G46" s="1779">
        <f t="shared" ref="G46:G47" si="53">F46*0.9071847</f>
        <v>34473.018599999996</v>
      </c>
      <c r="H46" s="380">
        <v>1994</v>
      </c>
      <c r="I46" s="1780">
        <v>2028</v>
      </c>
      <c r="J46" s="1781">
        <v>2435</v>
      </c>
      <c r="K46" s="1781">
        <v>887.5</v>
      </c>
      <c r="L46" s="1782"/>
      <c r="M46" s="1766"/>
      <c r="N46" s="1782"/>
      <c r="O46" s="1766"/>
      <c r="P46" s="1765"/>
      <c r="Q46" s="1766"/>
      <c r="R46" s="1778">
        <f t="shared" ref="R46:R47" si="54">K46</f>
        <v>887.5</v>
      </c>
      <c r="S46" s="1783">
        <v>0.1</v>
      </c>
      <c r="T46" s="1781">
        <f t="shared" ref="T46:T47" si="55">R46*S46</f>
        <v>88.75</v>
      </c>
      <c r="U46" s="1784">
        <f t="shared" ref="U46:U47" si="56">R46-T46</f>
        <v>798.75</v>
      </c>
      <c r="V46" s="1778">
        <f t="shared" ref="V46:V47" si="57">U46</f>
        <v>798.75</v>
      </c>
      <c r="W46" s="1778">
        <f t="shared" ref="W46:W47" si="58">V46*$C$84</f>
        <v>22365</v>
      </c>
      <c r="X46" s="1785">
        <f t="shared" ref="X46:X47" si="59">J46+W46</f>
        <v>24800</v>
      </c>
      <c r="Y46" s="6"/>
      <c r="Z46" s="6"/>
      <c r="AA46" s="6"/>
    </row>
    <row r="47" spans="1:27" ht="15.75" customHeight="1">
      <c r="A47" s="6"/>
      <c r="B47" s="1325"/>
      <c r="C47" s="381" t="s">
        <v>1438</v>
      </c>
      <c r="D47" s="1777">
        <v>0.8</v>
      </c>
      <c r="E47" s="1778">
        <f t="shared" si="52"/>
        <v>725747.76</v>
      </c>
      <c r="F47" s="1779">
        <v>20000</v>
      </c>
      <c r="G47" s="1779">
        <f t="shared" si="53"/>
        <v>18143.694</v>
      </c>
      <c r="H47" s="380">
        <v>1974</v>
      </c>
      <c r="I47" s="1780">
        <v>1994</v>
      </c>
      <c r="J47" s="1781">
        <v>1619</v>
      </c>
      <c r="K47" s="1781">
        <v>590</v>
      </c>
      <c r="L47" s="1782"/>
      <c r="M47" s="1766"/>
      <c r="N47" s="1782"/>
      <c r="O47" s="1766"/>
      <c r="P47" s="1765"/>
      <c r="Q47" s="1766"/>
      <c r="R47" s="1778">
        <f t="shared" si="54"/>
        <v>590</v>
      </c>
      <c r="S47" s="1783">
        <v>0.1</v>
      </c>
      <c r="T47" s="1781">
        <f t="shared" si="55"/>
        <v>59</v>
      </c>
      <c r="U47" s="1784">
        <f t="shared" si="56"/>
        <v>531</v>
      </c>
      <c r="V47" s="1778">
        <f t="shared" si="57"/>
        <v>531</v>
      </c>
      <c r="W47" s="1778">
        <f t="shared" si="58"/>
        <v>14868</v>
      </c>
      <c r="X47" s="1785">
        <f t="shared" si="59"/>
        <v>16487</v>
      </c>
      <c r="Y47" s="6"/>
      <c r="Z47" s="6"/>
      <c r="AA47" s="6"/>
    </row>
    <row r="48" spans="1:27" ht="15.75" customHeight="1">
      <c r="A48" s="6"/>
      <c r="B48" s="1325"/>
      <c r="C48" s="381"/>
      <c r="D48" s="1786"/>
      <c r="E48" s="1766"/>
      <c r="F48" s="1779"/>
      <c r="G48" s="1779"/>
      <c r="H48" s="380"/>
      <c r="I48" s="1780"/>
      <c r="J48" s="1765"/>
      <c r="K48" s="1765"/>
      <c r="L48" s="1782"/>
      <c r="M48" s="1766"/>
      <c r="N48" s="1782"/>
      <c r="O48" s="1766"/>
      <c r="P48" s="1765"/>
      <c r="Q48" s="1766"/>
      <c r="R48" s="1766"/>
      <c r="S48" s="381"/>
      <c r="T48" s="1765"/>
      <c r="U48" s="1787"/>
      <c r="V48" s="1766"/>
      <c r="W48" s="1766"/>
      <c r="X48" s="1767"/>
      <c r="Y48" s="6"/>
      <c r="Z48" s="6"/>
      <c r="AA48" s="6"/>
    </row>
    <row r="49" spans="1:27" ht="15.75" customHeight="1">
      <c r="A49" s="6"/>
      <c r="B49" s="1768" t="s">
        <v>1071</v>
      </c>
      <c r="C49" s="1769" t="s">
        <v>1439</v>
      </c>
      <c r="D49" s="1770">
        <v>2.98</v>
      </c>
      <c r="E49" s="1771">
        <f>D49*1000000*0.9071847</f>
        <v>2703410.406</v>
      </c>
      <c r="F49" s="1772">
        <v>74000</v>
      </c>
      <c r="G49" s="1772">
        <f>F49*0.9071847</f>
        <v>67131.667799999996</v>
      </c>
      <c r="H49" s="1773">
        <v>1986</v>
      </c>
      <c r="I49" s="1774">
        <v>2008</v>
      </c>
      <c r="J49" s="1771">
        <v>6115</v>
      </c>
      <c r="K49" s="1771">
        <v>2229</v>
      </c>
      <c r="L49" s="1802">
        <v>0.3821</v>
      </c>
      <c r="M49" s="1771">
        <f>K49*L49</f>
        <v>851.70089999999993</v>
      </c>
      <c r="N49" s="1775">
        <v>0.99</v>
      </c>
      <c r="O49" s="1771">
        <f>M49*N49</f>
        <v>843.1838909999999</v>
      </c>
      <c r="P49" s="1771">
        <f>O49*2.75</f>
        <v>2318.7557002499998</v>
      </c>
      <c r="Q49" s="1771">
        <f>M49*(1-N49)</f>
        <v>8.5170090000000069</v>
      </c>
      <c r="R49" s="1771">
        <f>K49*(1-L49)</f>
        <v>1377.2991</v>
      </c>
      <c r="S49" s="1775">
        <v>0.1</v>
      </c>
      <c r="T49" s="1771">
        <f>R49*S49</f>
        <v>137.72990999999999</v>
      </c>
      <c r="U49" s="1771">
        <f>R49-T49</f>
        <v>1239.5691899999999</v>
      </c>
      <c r="V49" s="1771">
        <f>U49+Q49</f>
        <v>1248.0861989999999</v>
      </c>
      <c r="W49" s="1771">
        <f>V49*$C$84</f>
        <v>34946.413571999998</v>
      </c>
      <c r="X49" s="1776">
        <f>J49+P49+W49</f>
        <v>43380.169272250001</v>
      </c>
      <c r="Y49" s="6"/>
      <c r="Z49" s="6"/>
      <c r="AA49" s="6"/>
    </row>
    <row r="50" spans="1:27" ht="15.75" customHeight="1">
      <c r="A50" s="6"/>
      <c r="B50" s="1325"/>
      <c r="C50" s="381"/>
      <c r="D50" s="1786"/>
      <c r="E50" s="1766"/>
      <c r="F50" s="1779"/>
      <c r="G50" s="1779"/>
      <c r="H50" s="380"/>
      <c r="I50" s="1780"/>
      <c r="J50" s="1765"/>
      <c r="K50" s="1765"/>
      <c r="L50" s="1782"/>
      <c r="M50" s="1766"/>
      <c r="N50" s="1782"/>
      <c r="O50" s="1766"/>
      <c r="P50" s="1765"/>
      <c r="Q50" s="1766"/>
      <c r="R50" s="1766"/>
      <c r="S50" s="381"/>
      <c r="T50" s="1765"/>
      <c r="U50" s="1787"/>
      <c r="V50" s="1766"/>
      <c r="W50" s="1766"/>
      <c r="X50" s="1767"/>
      <c r="Y50" s="6"/>
      <c r="Z50" s="6"/>
      <c r="AA50" s="6"/>
    </row>
    <row r="51" spans="1:27" ht="15.75" customHeight="1">
      <c r="A51" s="6"/>
      <c r="B51" s="1768" t="s">
        <v>1074</v>
      </c>
      <c r="C51" s="1788" t="s">
        <v>1440</v>
      </c>
      <c r="D51" s="1803"/>
      <c r="E51" s="1800"/>
      <c r="F51" s="1791"/>
      <c r="G51" s="1791"/>
      <c r="H51" s="1792"/>
      <c r="I51" s="1793"/>
      <c r="J51" s="1790">
        <v>12430</v>
      </c>
      <c r="K51" s="1790">
        <v>4530</v>
      </c>
      <c r="L51" s="1795">
        <v>0.93159999999999998</v>
      </c>
      <c r="M51" s="1790">
        <f t="shared" ref="M51:M52" si="60">K51*L51</f>
        <v>4220.1480000000001</v>
      </c>
      <c r="N51" s="1794">
        <v>0.97199999999999998</v>
      </c>
      <c r="O51" s="1790">
        <f t="shared" ref="O51:O52" si="61">M51*N51</f>
        <v>4101.9838559999998</v>
      </c>
      <c r="P51" s="1790">
        <f t="shared" ref="P51:P52" si="62">O51*2.75</f>
        <v>11280.455603999999</v>
      </c>
      <c r="Q51" s="1790">
        <f t="shared" ref="Q51:Q52" si="63">M51*(1-N51)</f>
        <v>118.16414400000011</v>
      </c>
      <c r="R51" s="1790">
        <f t="shared" ref="R51:R52" si="64">K51*(1-L51)</f>
        <v>309.85200000000009</v>
      </c>
      <c r="S51" s="1794">
        <v>0.1</v>
      </c>
      <c r="T51" s="1790">
        <f t="shared" ref="T51:T52" si="65">R51*S51</f>
        <v>30.98520000000001</v>
      </c>
      <c r="U51" s="1790">
        <f t="shared" ref="U51:U52" si="66">R51-T51</f>
        <v>278.86680000000007</v>
      </c>
      <c r="V51" s="1790">
        <f t="shared" ref="V51:V52" si="67">U51+Q51</f>
        <v>397.0309440000002</v>
      </c>
      <c r="W51" s="1790">
        <f t="shared" ref="W51:W52" si="68">V51*$C$84</f>
        <v>11116.866432000006</v>
      </c>
      <c r="X51" s="1796">
        <f t="shared" ref="X51:X52" si="69">J51+P51+W51</f>
        <v>34827.322036000005</v>
      </c>
      <c r="Y51" s="6"/>
      <c r="Z51" s="6"/>
      <c r="AA51" s="6"/>
    </row>
    <row r="52" spans="1:27" ht="15.75" customHeight="1">
      <c r="A52" s="6"/>
      <c r="B52" s="1325"/>
      <c r="C52" s="1788" t="s">
        <v>1441</v>
      </c>
      <c r="D52" s="1803"/>
      <c r="E52" s="1800"/>
      <c r="F52" s="1791"/>
      <c r="G52" s="1791"/>
      <c r="H52" s="1792"/>
      <c r="I52" s="1793"/>
      <c r="J52" s="1790">
        <v>6443</v>
      </c>
      <c r="K52" s="1790">
        <v>2348</v>
      </c>
      <c r="L52" s="1795">
        <v>0.94699999999999995</v>
      </c>
      <c r="M52" s="1790">
        <f t="shared" si="60"/>
        <v>2223.556</v>
      </c>
      <c r="N52" s="1794">
        <v>0.97199999999999998</v>
      </c>
      <c r="O52" s="1790">
        <f t="shared" si="61"/>
        <v>2161.2964320000001</v>
      </c>
      <c r="P52" s="1790">
        <f t="shared" si="62"/>
        <v>5943.5651880000005</v>
      </c>
      <c r="Q52" s="1790">
        <f t="shared" si="63"/>
        <v>62.259568000000058</v>
      </c>
      <c r="R52" s="1790">
        <f t="shared" si="64"/>
        <v>124.44400000000012</v>
      </c>
      <c r="S52" s="1794">
        <v>0.1</v>
      </c>
      <c r="T52" s="1790">
        <f t="shared" si="65"/>
        <v>12.444400000000012</v>
      </c>
      <c r="U52" s="1790">
        <f t="shared" si="66"/>
        <v>111.9996000000001</v>
      </c>
      <c r="V52" s="1790">
        <f t="shared" si="67"/>
        <v>174.25916800000016</v>
      </c>
      <c r="W52" s="1790">
        <f t="shared" si="68"/>
        <v>4879.2567040000049</v>
      </c>
      <c r="X52" s="1796">
        <f t="shared" si="69"/>
        <v>17265.821892000007</v>
      </c>
      <c r="Y52" s="6"/>
      <c r="Z52" s="6"/>
      <c r="AA52" s="6"/>
    </row>
    <row r="53" spans="1:27" ht="15.75" customHeight="1">
      <c r="A53" s="6"/>
      <c r="B53" s="1325"/>
      <c r="C53" s="381"/>
      <c r="D53" s="1786"/>
      <c r="E53" s="1766"/>
      <c r="F53" s="1779"/>
      <c r="G53" s="1779"/>
      <c r="H53" s="380"/>
      <c r="I53" s="1780"/>
      <c r="J53" s="1765"/>
      <c r="K53" s="1765"/>
      <c r="L53" s="1782"/>
      <c r="M53" s="1766"/>
      <c r="N53" s="1782"/>
      <c r="O53" s="1766"/>
      <c r="P53" s="1765"/>
      <c r="Q53" s="1766"/>
      <c r="R53" s="1766"/>
      <c r="S53" s="381"/>
      <c r="T53" s="1765"/>
      <c r="U53" s="1787"/>
      <c r="V53" s="1766"/>
      <c r="W53" s="1766"/>
      <c r="X53" s="1767"/>
      <c r="Y53" s="6"/>
      <c r="Z53" s="6"/>
      <c r="AA53" s="6"/>
    </row>
    <row r="54" spans="1:27" ht="15.75" customHeight="1">
      <c r="A54" s="6"/>
      <c r="B54" s="1768" t="s">
        <v>1072</v>
      </c>
      <c r="C54" s="1788" t="s">
        <v>1442</v>
      </c>
      <c r="D54" s="1789">
        <v>9.9779999999999998</v>
      </c>
      <c r="E54" s="1790">
        <f>D54*1000000*0.9071847</f>
        <v>9051888.9365999997</v>
      </c>
      <c r="F54" s="1791">
        <v>225000</v>
      </c>
      <c r="G54" s="1791">
        <f>F54*0.9071847</f>
        <v>204116.5575</v>
      </c>
      <c r="H54" s="1792">
        <v>1980</v>
      </c>
      <c r="I54" s="1793">
        <v>2122</v>
      </c>
      <c r="J54" s="1790">
        <v>7618</v>
      </c>
      <c r="K54" s="1790">
        <v>2777</v>
      </c>
      <c r="L54" s="1794">
        <v>0.4133</v>
      </c>
      <c r="M54" s="1790">
        <f>K54*L54</f>
        <v>1147.7340999999999</v>
      </c>
      <c r="N54" s="1794">
        <v>0.98</v>
      </c>
      <c r="O54" s="1790">
        <f>M54*N54</f>
        <v>1124.7794179999999</v>
      </c>
      <c r="P54" s="1790">
        <f>O54*2.75</f>
        <v>3093.1433994999998</v>
      </c>
      <c r="Q54" s="1790">
        <f>M54*(1-N54)</f>
        <v>22.95468200000002</v>
      </c>
      <c r="R54" s="1790">
        <f>K54*(1-L54)</f>
        <v>1629.2659000000001</v>
      </c>
      <c r="S54" s="1794">
        <v>0.1</v>
      </c>
      <c r="T54" s="1790">
        <f>R54*S54</f>
        <v>162.92659000000003</v>
      </c>
      <c r="U54" s="1790">
        <f>R54-T54</f>
        <v>1466.3393100000001</v>
      </c>
      <c r="V54" s="1790">
        <f>U54+Q54</f>
        <v>1489.2939920000001</v>
      </c>
      <c r="W54" s="1790">
        <f>V54*$C$84</f>
        <v>41700.231776000001</v>
      </c>
      <c r="X54" s="1796">
        <f>J54+P54+W54</f>
        <v>52411.375175499998</v>
      </c>
      <c r="Y54" s="6"/>
      <c r="Z54" s="6"/>
      <c r="AA54" s="6"/>
    </row>
    <row r="55" spans="1:27" ht="15.75" customHeight="1">
      <c r="A55" s="6"/>
      <c r="B55" s="1768"/>
      <c r="C55" s="381"/>
      <c r="D55" s="1786"/>
      <c r="E55" s="1766"/>
      <c r="F55" s="1779"/>
      <c r="G55" s="1779"/>
      <c r="H55" s="380"/>
      <c r="I55" s="1780"/>
      <c r="J55" s="1765"/>
      <c r="K55" s="1765"/>
      <c r="L55" s="1782"/>
      <c r="M55" s="1766"/>
      <c r="N55" s="1782"/>
      <c r="O55" s="1766"/>
      <c r="P55" s="1765"/>
      <c r="Q55" s="1766"/>
      <c r="R55" s="1766"/>
      <c r="S55" s="381"/>
      <c r="T55" s="1765"/>
      <c r="U55" s="1787"/>
      <c r="V55" s="1766"/>
      <c r="W55" s="1766"/>
      <c r="X55" s="1767"/>
      <c r="Y55" s="6"/>
      <c r="Z55" s="6"/>
      <c r="AA55" s="6"/>
    </row>
    <row r="56" spans="1:27" ht="15.75" customHeight="1">
      <c r="A56" s="6"/>
      <c r="B56" s="1768" t="s">
        <v>1073</v>
      </c>
      <c r="C56" s="381" t="s">
        <v>1443</v>
      </c>
      <c r="D56" s="1777">
        <v>0.6</v>
      </c>
      <c r="E56" s="1778">
        <f>D56*1000000*0.9071847</f>
        <v>544310.81999999995</v>
      </c>
      <c r="F56" s="1779">
        <v>20000</v>
      </c>
      <c r="G56" s="1779">
        <f>F56*0.9071847</f>
        <v>18143.694</v>
      </c>
      <c r="H56" s="380">
        <v>1964</v>
      </c>
      <c r="I56" s="1780">
        <v>1992</v>
      </c>
      <c r="J56" s="1781">
        <v>1014</v>
      </c>
      <c r="K56" s="1781">
        <v>369.7</v>
      </c>
      <c r="L56" s="1782"/>
      <c r="M56" s="1766"/>
      <c r="N56" s="1782"/>
      <c r="O56" s="1766"/>
      <c r="P56" s="1765"/>
      <c r="Q56" s="1766"/>
      <c r="R56" s="1778">
        <f>K56</f>
        <v>369.7</v>
      </c>
      <c r="S56" s="1783">
        <v>0.1</v>
      </c>
      <c r="T56" s="1781">
        <f>R56*S56</f>
        <v>36.97</v>
      </c>
      <c r="U56" s="1784">
        <f>R56-T56</f>
        <v>332.73</v>
      </c>
      <c r="V56" s="1778">
        <f>U56</f>
        <v>332.73</v>
      </c>
      <c r="W56" s="1778">
        <f>V56*$C$84</f>
        <v>9316.44</v>
      </c>
      <c r="X56" s="1785">
        <f>J56+W56</f>
        <v>10330.44</v>
      </c>
      <c r="Y56" s="6"/>
      <c r="Z56" s="6"/>
      <c r="AA56" s="6"/>
    </row>
    <row r="57" spans="1:27" ht="15.75" customHeight="1">
      <c r="A57" s="6"/>
      <c r="B57" s="1325"/>
      <c r="C57" s="381"/>
      <c r="D57" s="1786"/>
      <c r="E57" s="1766"/>
      <c r="F57" s="1779"/>
      <c r="G57" s="1779"/>
      <c r="H57" s="380"/>
      <c r="I57" s="1780"/>
      <c r="J57" s="1765"/>
      <c r="K57" s="1765"/>
      <c r="L57" s="1782"/>
      <c r="M57" s="1766"/>
      <c r="N57" s="1782"/>
      <c r="O57" s="1766"/>
      <c r="P57" s="1765"/>
      <c r="Q57" s="1766"/>
      <c r="R57" s="1766"/>
      <c r="S57" s="381"/>
      <c r="T57" s="1765"/>
      <c r="U57" s="1787"/>
      <c r="V57" s="1766"/>
      <c r="W57" s="1766"/>
      <c r="X57" s="1767"/>
      <c r="Y57" s="6"/>
      <c r="Z57" s="6"/>
      <c r="AA57" s="6"/>
    </row>
    <row r="58" spans="1:27" ht="15.75" customHeight="1">
      <c r="A58" s="6"/>
      <c r="B58" s="1768" t="s">
        <v>1444</v>
      </c>
      <c r="C58" s="1788" t="s">
        <v>1445</v>
      </c>
      <c r="D58" s="1789">
        <v>7.1</v>
      </c>
      <c r="E58" s="1790">
        <f t="shared" ref="E58:E61" si="70">D58*1000000*0.9071847</f>
        <v>6441011.3700000001</v>
      </c>
      <c r="F58" s="1791">
        <v>284000</v>
      </c>
      <c r="G58" s="1791">
        <f t="shared" ref="G58:G61" si="71">F58*0.9071847</f>
        <v>257640.45479999998</v>
      </c>
      <c r="H58" s="1792">
        <v>1968</v>
      </c>
      <c r="I58" s="1793">
        <v>1993</v>
      </c>
      <c r="J58" s="1790">
        <v>13060</v>
      </c>
      <c r="K58" s="1790">
        <v>4761</v>
      </c>
      <c r="L58" s="1794">
        <v>0.66600000000000004</v>
      </c>
      <c r="M58" s="1790">
        <f t="shared" ref="M58:M60" si="72">K58*L58</f>
        <v>3170.826</v>
      </c>
      <c r="N58" s="1804">
        <v>0.997</v>
      </c>
      <c r="O58" s="1790">
        <f t="shared" ref="O58:O60" si="73">M58*N58</f>
        <v>3161.3135219999999</v>
      </c>
      <c r="P58" s="1790">
        <f t="shared" ref="P58:P60" si="74">O58*2.75</f>
        <v>8693.6121855000001</v>
      </c>
      <c r="Q58" s="1790">
        <f t="shared" ref="Q58:Q60" si="75">M58*(1-N58)</f>
        <v>9.5124780000000086</v>
      </c>
      <c r="R58" s="1790">
        <f t="shared" ref="R58:R60" si="76">K58*(1-L58)</f>
        <v>1590.1739999999998</v>
      </c>
      <c r="S58" s="1794">
        <v>0.1</v>
      </c>
      <c r="T58" s="1790">
        <f t="shared" ref="T58:T61" si="77">R58*S58</f>
        <v>159.01739999999998</v>
      </c>
      <c r="U58" s="1790">
        <f t="shared" ref="U58:U61" si="78">R58-T58</f>
        <v>1431.1565999999998</v>
      </c>
      <c r="V58" s="1790">
        <f t="shared" ref="V58:V60" si="79">U58+Q58</f>
        <v>1440.6690779999999</v>
      </c>
      <c r="W58" s="1790">
        <f t="shared" ref="W58:W61" si="80">V58*$C$84</f>
        <v>40338.734184000001</v>
      </c>
      <c r="X58" s="1796">
        <f t="shared" ref="X58:X60" si="81">J58+P58+W58</f>
        <v>62092.346369500003</v>
      </c>
      <c r="Y58" s="6"/>
      <c r="Z58" s="6"/>
      <c r="AA58" s="6"/>
    </row>
    <row r="59" spans="1:27" ht="15.75" customHeight="1">
      <c r="A59" s="6"/>
      <c r="B59" s="1325"/>
      <c r="C59" s="1788" t="s">
        <v>1446</v>
      </c>
      <c r="D59" s="1789">
        <v>16</v>
      </c>
      <c r="E59" s="1790">
        <f t="shared" si="70"/>
        <v>14514955.199999999</v>
      </c>
      <c r="F59" s="1791">
        <v>280000</v>
      </c>
      <c r="G59" s="1791">
        <f t="shared" si="71"/>
        <v>254011.71599999999</v>
      </c>
      <c r="H59" s="1792">
        <v>1992</v>
      </c>
      <c r="I59" s="1793">
        <v>2016</v>
      </c>
      <c r="J59" s="1790">
        <v>38830</v>
      </c>
      <c r="K59" s="1790">
        <v>14150</v>
      </c>
      <c r="L59" s="1794">
        <v>0.66600000000000004</v>
      </c>
      <c r="M59" s="1790">
        <f t="shared" si="72"/>
        <v>9423.9</v>
      </c>
      <c r="N59" s="1794">
        <v>0.97199999999999998</v>
      </c>
      <c r="O59" s="1790">
        <f t="shared" si="73"/>
        <v>9160.0307999999986</v>
      </c>
      <c r="P59" s="1790">
        <f t="shared" si="74"/>
        <v>25190.084699999996</v>
      </c>
      <c r="Q59" s="1790">
        <f t="shared" si="75"/>
        <v>263.86920000000021</v>
      </c>
      <c r="R59" s="1790">
        <f t="shared" si="76"/>
        <v>4726.0999999999995</v>
      </c>
      <c r="S59" s="1794">
        <v>0.1</v>
      </c>
      <c r="T59" s="1790">
        <f t="shared" si="77"/>
        <v>472.60999999999996</v>
      </c>
      <c r="U59" s="1790">
        <f t="shared" si="78"/>
        <v>4253.49</v>
      </c>
      <c r="V59" s="1790">
        <f t="shared" si="79"/>
        <v>4517.3591999999999</v>
      </c>
      <c r="W59" s="1790">
        <f t="shared" si="80"/>
        <v>126486.0576</v>
      </c>
      <c r="X59" s="1796">
        <f t="shared" si="81"/>
        <v>190506.14230000001</v>
      </c>
      <c r="Y59" s="6"/>
      <c r="Z59" s="6"/>
      <c r="AA59" s="6"/>
    </row>
    <row r="60" spans="1:27" ht="15.75" customHeight="1">
      <c r="A60" s="6"/>
      <c r="B60" s="1325"/>
      <c r="C60" s="1788" t="s">
        <v>1447</v>
      </c>
      <c r="D60" s="1789">
        <v>7.5</v>
      </c>
      <c r="E60" s="1790">
        <f t="shared" si="70"/>
        <v>6803885.25</v>
      </c>
      <c r="F60" s="1791">
        <v>280000</v>
      </c>
      <c r="G60" s="1791">
        <f t="shared" si="71"/>
        <v>254011.71599999999</v>
      </c>
      <c r="H60" s="1792">
        <v>1978</v>
      </c>
      <c r="I60" s="1793">
        <v>2000</v>
      </c>
      <c r="J60" s="1790">
        <v>16500</v>
      </c>
      <c r="K60" s="1790">
        <f>((LFGTE!M46+LFGTE!N46+LFGTE!O46)/LFGTE!Q46)</f>
        <v>8286.2289565254978</v>
      </c>
      <c r="L60" s="1794">
        <v>0.94699999999999995</v>
      </c>
      <c r="M60" s="1790">
        <f t="shared" si="72"/>
        <v>7847.0588218296461</v>
      </c>
      <c r="N60" s="1794">
        <v>0.98</v>
      </c>
      <c r="O60" s="1790">
        <f t="shared" si="73"/>
        <v>7690.117645393053</v>
      </c>
      <c r="P60" s="1790">
        <f t="shared" si="74"/>
        <v>21147.823524830896</v>
      </c>
      <c r="Q60" s="1790">
        <f t="shared" si="75"/>
        <v>156.94117643659305</v>
      </c>
      <c r="R60" s="1790">
        <f t="shared" si="76"/>
        <v>439.1701346958518</v>
      </c>
      <c r="S60" s="1794">
        <v>0.1</v>
      </c>
      <c r="T60" s="1790">
        <f t="shared" si="77"/>
        <v>43.917013469585186</v>
      </c>
      <c r="U60" s="1790">
        <f t="shared" si="78"/>
        <v>395.25312122626661</v>
      </c>
      <c r="V60" s="1790">
        <f t="shared" si="79"/>
        <v>552.19429766285964</v>
      </c>
      <c r="W60" s="1790">
        <f t="shared" si="80"/>
        <v>15461.440334560069</v>
      </c>
      <c r="X60" s="1796">
        <f t="shared" si="81"/>
        <v>53109.263859390965</v>
      </c>
      <c r="Y60" s="6"/>
      <c r="Z60" s="6"/>
      <c r="AA60" s="6"/>
    </row>
    <row r="61" spans="1:27" ht="15.75" customHeight="1">
      <c r="A61" s="6"/>
      <c r="B61" s="1325"/>
      <c r="C61" s="381" t="s">
        <v>1448</v>
      </c>
      <c r="D61" s="1777">
        <v>1.6</v>
      </c>
      <c r="E61" s="1778">
        <f t="shared" si="70"/>
        <v>1451495.52</v>
      </c>
      <c r="F61" s="1779">
        <v>34000</v>
      </c>
      <c r="G61" s="1779">
        <f t="shared" si="71"/>
        <v>30844.2798</v>
      </c>
      <c r="H61" s="380">
        <v>1960</v>
      </c>
      <c r="I61" s="1780">
        <v>2004</v>
      </c>
      <c r="J61" s="1781">
        <v>3343</v>
      </c>
      <c r="K61" s="1781">
        <v>1218</v>
      </c>
      <c r="L61" s="1782"/>
      <c r="M61" s="1766"/>
      <c r="N61" s="1782"/>
      <c r="O61" s="1766"/>
      <c r="P61" s="1765"/>
      <c r="Q61" s="1766"/>
      <c r="R61" s="1778">
        <f>K61</f>
        <v>1218</v>
      </c>
      <c r="S61" s="1783">
        <v>0.1</v>
      </c>
      <c r="T61" s="1781">
        <f t="shared" si="77"/>
        <v>121.80000000000001</v>
      </c>
      <c r="U61" s="1784">
        <f t="shared" si="78"/>
        <v>1096.2</v>
      </c>
      <c r="V61" s="1778">
        <f>U61</f>
        <v>1096.2</v>
      </c>
      <c r="W61" s="1778">
        <f t="shared" si="80"/>
        <v>30693.600000000002</v>
      </c>
      <c r="X61" s="1785">
        <f>J61+W61</f>
        <v>34036.600000000006</v>
      </c>
      <c r="Y61" s="6"/>
      <c r="Z61" s="6"/>
      <c r="AA61" s="6"/>
    </row>
    <row r="62" spans="1:27" ht="15.75" customHeight="1">
      <c r="A62" s="6"/>
      <c r="B62" s="1325"/>
      <c r="C62" s="381"/>
      <c r="D62" s="1786"/>
      <c r="E62" s="1766"/>
      <c r="F62" s="1779"/>
      <c r="G62" s="1779"/>
      <c r="H62" s="380"/>
      <c r="I62" s="1780"/>
      <c r="J62" s="1765"/>
      <c r="K62" s="1765"/>
      <c r="L62" s="1782"/>
      <c r="M62" s="1766"/>
      <c r="N62" s="1782"/>
      <c r="O62" s="1766"/>
      <c r="P62" s="1765"/>
      <c r="Q62" s="1766"/>
      <c r="R62" s="1766"/>
      <c r="S62" s="381"/>
      <c r="T62" s="1765"/>
      <c r="U62" s="1787"/>
      <c r="V62" s="1766"/>
      <c r="W62" s="1766"/>
      <c r="X62" s="1767"/>
      <c r="Y62" s="6"/>
      <c r="Z62" s="6"/>
      <c r="AA62" s="6"/>
    </row>
    <row r="63" spans="1:27" ht="15.75" customHeight="1">
      <c r="A63" s="6"/>
      <c r="B63" s="1768" t="s">
        <v>1078</v>
      </c>
      <c r="C63" s="381" t="s">
        <v>1449</v>
      </c>
      <c r="D63" s="1777">
        <v>1.61</v>
      </c>
      <c r="E63" s="1778">
        <v>393341</v>
      </c>
      <c r="F63" s="1779"/>
      <c r="G63" s="1779">
        <f t="shared" ref="G63:G64" si="82">F63*0.9071847</f>
        <v>0</v>
      </c>
      <c r="H63" s="1780">
        <v>1998</v>
      </c>
      <c r="I63" s="1780">
        <v>2023</v>
      </c>
      <c r="J63" s="1781">
        <v>2124</v>
      </c>
      <c r="K63" s="1781">
        <v>774.1</v>
      </c>
      <c r="L63" s="1782"/>
      <c r="M63" s="1766"/>
      <c r="N63" s="1782"/>
      <c r="O63" s="1766"/>
      <c r="P63" s="1765"/>
      <c r="Q63" s="1766"/>
      <c r="R63" s="1778">
        <f t="shared" ref="R63:R64" si="83">K63</f>
        <v>774.1</v>
      </c>
      <c r="S63" s="1783">
        <v>0.1</v>
      </c>
      <c r="T63" s="1781">
        <f t="shared" ref="T63:T64" si="84">R63*S63</f>
        <v>77.410000000000011</v>
      </c>
      <c r="U63" s="1784">
        <f t="shared" ref="U63:U64" si="85">R63-T63</f>
        <v>696.69</v>
      </c>
      <c r="V63" s="1778">
        <f t="shared" ref="V63:V64" si="86">U63</f>
        <v>696.69</v>
      </c>
      <c r="W63" s="1778">
        <f t="shared" ref="W63:W64" si="87">V63*$C$84</f>
        <v>19507.32</v>
      </c>
      <c r="X63" s="1785">
        <f t="shared" ref="X63:X64" si="88">J63+W63</f>
        <v>21631.32</v>
      </c>
      <c r="Y63" s="6"/>
      <c r="Z63" s="6"/>
      <c r="AA63" s="6"/>
    </row>
    <row r="64" spans="1:27" ht="15.75" customHeight="1">
      <c r="A64" s="6"/>
      <c r="B64" s="1325"/>
      <c r="C64" s="381" t="s">
        <v>1450</v>
      </c>
      <c r="D64" s="1786"/>
      <c r="E64" s="1778">
        <v>368200</v>
      </c>
      <c r="F64" s="1779"/>
      <c r="G64" s="1779">
        <f t="shared" si="82"/>
        <v>0</v>
      </c>
      <c r="H64" s="380">
        <v>1977</v>
      </c>
      <c r="I64" s="1780">
        <v>1998</v>
      </c>
      <c r="J64" s="1781">
        <v>1062</v>
      </c>
      <c r="K64" s="1781">
        <v>387.2</v>
      </c>
      <c r="L64" s="1782"/>
      <c r="M64" s="1766"/>
      <c r="N64" s="1782"/>
      <c r="O64" s="1766"/>
      <c r="P64" s="1765"/>
      <c r="Q64" s="1766"/>
      <c r="R64" s="1778">
        <f t="shared" si="83"/>
        <v>387.2</v>
      </c>
      <c r="S64" s="1783">
        <v>0.1</v>
      </c>
      <c r="T64" s="1781">
        <f t="shared" si="84"/>
        <v>38.72</v>
      </c>
      <c r="U64" s="1784">
        <f t="shared" si="85"/>
        <v>348.48</v>
      </c>
      <c r="V64" s="1778">
        <f t="shared" si="86"/>
        <v>348.48</v>
      </c>
      <c r="W64" s="1778">
        <f t="shared" si="87"/>
        <v>9757.44</v>
      </c>
      <c r="X64" s="1785">
        <f t="shared" si="88"/>
        <v>10819.44</v>
      </c>
      <c r="Y64" s="6"/>
      <c r="Z64" s="6"/>
      <c r="AA64" s="6"/>
    </row>
    <row r="65" spans="1:27" ht="15.75" customHeight="1">
      <c r="A65" s="6"/>
      <c r="B65" s="1325"/>
      <c r="C65" s="381"/>
      <c r="D65" s="1786"/>
      <c r="E65" s="1778"/>
      <c r="F65" s="1779"/>
      <c r="G65" s="1779"/>
      <c r="H65" s="380"/>
      <c r="I65" s="1780"/>
      <c r="J65" s="1765"/>
      <c r="K65" s="1765"/>
      <c r="L65" s="1782"/>
      <c r="M65" s="1766"/>
      <c r="N65" s="1782"/>
      <c r="O65" s="1766"/>
      <c r="P65" s="1765"/>
      <c r="Q65" s="1766"/>
      <c r="R65" s="1766"/>
      <c r="S65" s="381"/>
      <c r="T65" s="1765"/>
      <c r="U65" s="1787"/>
      <c r="V65" s="1766"/>
      <c r="W65" s="1766"/>
      <c r="X65" s="1767"/>
      <c r="Y65" s="6"/>
      <c r="Z65" s="6"/>
      <c r="AA65" s="6"/>
    </row>
    <row r="66" spans="1:27" ht="15.75" customHeight="1">
      <c r="A66" s="6"/>
      <c r="B66" s="1768" t="s">
        <v>1079</v>
      </c>
      <c r="C66" s="381" t="s">
        <v>1451</v>
      </c>
      <c r="D66" s="1777">
        <v>3.7512439999999998</v>
      </c>
      <c r="E66" s="1778">
        <f>D66*1000000*0.9071847</f>
        <v>3403071.1627667998</v>
      </c>
      <c r="F66" s="1779">
        <v>81800</v>
      </c>
      <c r="G66" s="1779">
        <f>F66*0.9071847</f>
        <v>74207.708459999994</v>
      </c>
      <c r="H66" s="380">
        <v>1991</v>
      </c>
      <c r="I66" s="1780">
        <v>2010</v>
      </c>
      <c r="J66" s="1781">
        <v>4241</v>
      </c>
      <c r="K66" s="1781">
        <v>1546</v>
      </c>
      <c r="L66" s="1782"/>
      <c r="M66" s="1766"/>
      <c r="N66" s="1782"/>
      <c r="O66" s="1766"/>
      <c r="P66" s="1765"/>
      <c r="Q66" s="1766"/>
      <c r="R66" s="1778">
        <f>K66</f>
        <v>1546</v>
      </c>
      <c r="S66" s="1783">
        <v>0.1</v>
      </c>
      <c r="T66" s="1781">
        <f>R66*S66</f>
        <v>154.60000000000002</v>
      </c>
      <c r="U66" s="1784">
        <f>R66-T66</f>
        <v>1391.4</v>
      </c>
      <c r="V66" s="1778">
        <f>U66</f>
        <v>1391.4</v>
      </c>
      <c r="W66" s="1778">
        <f>V66*$C$84</f>
        <v>38959.200000000004</v>
      </c>
      <c r="X66" s="1785">
        <f>J66+W66</f>
        <v>43200.200000000004</v>
      </c>
      <c r="Y66" s="6"/>
      <c r="Z66" s="6"/>
      <c r="AA66" s="6"/>
    </row>
    <row r="67" spans="1:27" ht="15.75" customHeight="1">
      <c r="A67" s="6"/>
      <c r="B67" s="1325"/>
      <c r="C67" s="381"/>
      <c r="D67" s="1786"/>
      <c r="E67" s="1766"/>
      <c r="F67" s="1779"/>
      <c r="G67" s="1779"/>
      <c r="H67" s="380"/>
      <c r="I67" s="1780"/>
      <c r="J67" s="1765"/>
      <c r="K67" s="1765"/>
      <c r="L67" s="1782"/>
      <c r="M67" s="1766"/>
      <c r="N67" s="1782"/>
      <c r="O67" s="1766"/>
      <c r="P67" s="1765"/>
      <c r="Q67" s="1766"/>
      <c r="R67" s="1766"/>
      <c r="S67" s="381"/>
      <c r="T67" s="1765"/>
      <c r="U67" s="1787"/>
      <c r="V67" s="1766"/>
      <c r="W67" s="1766"/>
      <c r="X67" s="1767"/>
      <c r="Y67" s="6"/>
      <c r="Z67" s="6"/>
      <c r="AA67" s="6"/>
    </row>
    <row r="68" spans="1:27" ht="15.75" customHeight="1">
      <c r="A68" s="6"/>
      <c r="B68" s="1768" t="s">
        <v>1080</v>
      </c>
      <c r="C68" s="381" t="s">
        <v>1452</v>
      </c>
      <c r="D68" s="862"/>
      <c r="E68" s="1778">
        <v>89729.73</v>
      </c>
      <c r="F68" s="380"/>
      <c r="G68" s="1779">
        <f t="shared" ref="G68:G70" si="89">F68*0.9071847</f>
        <v>0</v>
      </c>
      <c r="H68" s="380">
        <v>1981</v>
      </c>
      <c r="I68" s="1780">
        <v>1993</v>
      </c>
      <c r="J68" s="1781">
        <v>243.8</v>
      </c>
      <c r="K68" s="1781">
        <v>88.85</v>
      </c>
      <c r="L68" s="1782"/>
      <c r="M68" s="1766"/>
      <c r="N68" s="1782"/>
      <c r="O68" s="1766"/>
      <c r="P68" s="1765"/>
      <c r="Q68" s="1766"/>
      <c r="R68" s="1778">
        <f t="shared" ref="R68:R70" si="90">K68</f>
        <v>88.85</v>
      </c>
      <c r="S68" s="1783">
        <v>0.1</v>
      </c>
      <c r="T68" s="1781">
        <f t="shared" ref="T68:T70" si="91">R68*S68</f>
        <v>8.8849999999999998</v>
      </c>
      <c r="U68" s="1784">
        <f t="shared" ref="U68:U70" si="92">R68-T68</f>
        <v>79.964999999999989</v>
      </c>
      <c r="V68" s="1778">
        <f t="shared" ref="V68:V70" si="93">U68</f>
        <v>79.964999999999989</v>
      </c>
      <c r="W68" s="1778">
        <f t="shared" ref="W68:W70" si="94">V68*$C$84</f>
        <v>2239.0199999999995</v>
      </c>
      <c r="X68" s="1785">
        <f t="shared" ref="X68:X70" si="95">J68+W68</f>
        <v>2482.8199999999997</v>
      </c>
      <c r="Y68" s="6"/>
      <c r="Z68" s="6"/>
      <c r="AA68" s="6"/>
    </row>
    <row r="69" spans="1:27" ht="15.75" customHeight="1">
      <c r="A69" s="6"/>
      <c r="B69" s="1325"/>
      <c r="C69" s="381" t="s">
        <v>1453</v>
      </c>
      <c r="D69" s="1777">
        <v>2.5499999999999998</v>
      </c>
      <c r="E69" s="1778">
        <f t="shared" ref="E69:E70" si="96">D69*1000000*0.9071847</f>
        <v>2313320.9849999999</v>
      </c>
      <c r="F69" s="1779">
        <v>150000</v>
      </c>
      <c r="G69" s="1779">
        <f t="shared" si="89"/>
        <v>136077.70499999999</v>
      </c>
      <c r="H69" s="380">
        <v>1982</v>
      </c>
      <c r="I69" s="1780">
        <v>2000</v>
      </c>
      <c r="J69" s="1781">
        <v>1996</v>
      </c>
      <c r="K69" s="1781">
        <v>727.6</v>
      </c>
      <c r="L69" s="1782"/>
      <c r="M69" s="1766"/>
      <c r="N69" s="1782"/>
      <c r="O69" s="1766"/>
      <c r="P69" s="1765"/>
      <c r="Q69" s="1766"/>
      <c r="R69" s="1778">
        <f t="shared" si="90"/>
        <v>727.6</v>
      </c>
      <c r="S69" s="1783">
        <v>0.1</v>
      </c>
      <c r="T69" s="1781">
        <f t="shared" si="91"/>
        <v>72.760000000000005</v>
      </c>
      <c r="U69" s="1784">
        <f t="shared" si="92"/>
        <v>654.84</v>
      </c>
      <c r="V69" s="1778">
        <f t="shared" si="93"/>
        <v>654.84</v>
      </c>
      <c r="W69" s="1778">
        <f t="shared" si="94"/>
        <v>18335.52</v>
      </c>
      <c r="X69" s="1785">
        <f t="shared" si="95"/>
        <v>20331.52</v>
      </c>
      <c r="Y69" s="6"/>
      <c r="Z69" s="6"/>
      <c r="AA69" s="6"/>
    </row>
    <row r="70" spans="1:27" ht="15.75" customHeight="1">
      <c r="A70" s="6"/>
      <c r="B70" s="1325"/>
      <c r="C70" s="381" t="s">
        <v>1454</v>
      </c>
      <c r="D70" s="1777">
        <v>20.273</v>
      </c>
      <c r="E70" s="1778">
        <f t="shared" si="96"/>
        <v>18391355.423099998</v>
      </c>
      <c r="F70" s="1779"/>
      <c r="G70" s="1779">
        <f t="shared" si="89"/>
        <v>0</v>
      </c>
      <c r="H70" s="380">
        <v>2000</v>
      </c>
      <c r="I70" s="1780">
        <v>2047</v>
      </c>
      <c r="J70" s="1781">
        <v>17320</v>
      </c>
      <c r="K70" s="1781">
        <v>6311</v>
      </c>
      <c r="L70" s="1782"/>
      <c r="M70" s="1766"/>
      <c r="N70" s="1782"/>
      <c r="O70" s="1766"/>
      <c r="P70" s="1765"/>
      <c r="Q70" s="1766"/>
      <c r="R70" s="1778">
        <f t="shared" si="90"/>
        <v>6311</v>
      </c>
      <c r="S70" s="1783">
        <v>0.1</v>
      </c>
      <c r="T70" s="1781">
        <f t="shared" si="91"/>
        <v>631.1</v>
      </c>
      <c r="U70" s="1784">
        <f t="shared" si="92"/>
        <v>5679.9</v>
      </c>
      <c r="V70" s="1778">
        <f t="shared" si="93"/>
        <v>5679.9</v>
      </c>
      <c r="W70" s="1778">
        <f t="shared" si="94"/>
        <v>159037.19999999998</v>
      </c>
      <c r="X70" s="1785">
        <f t="shared" si="95"/>
        <v>176357.19999999998</v>
      </c>
      <c r="Y70" s="6"/>
      <c r="Z70" s="6"/>
      <c r="AA70" s="6"/>
    </row>
    <row r="71" spans="1:27" ht="15.75" customHeight="1">
      <c r="A71" s="6"/>
      <c r="B71" s="1325"/>
      <c r="C71" s="381"/>
      <c r="D71" s="1786"/>
      <c r="E71" s="1766"/>
      <c r="F71" s="1779"/>
      <c r="G71" s="1779"/>
      <c r="H71" s="380"/>
      <c r="I71" s="1780"/>
      <c r="J71" s="1765"/>
      <c r="K71" s="1765"/>
      <c r="L71" s="1782"/>
      <c r="M71" s="1766"/>
      <c r="N71" s="1782"/>
      <c r="O71" s="1766"/>
      <c r="P71" s="1765"/>
      <c r="Q71" s="1766"/>
      <c r="R71" s="1766"/>
      <c r="S71" s="381"/>
      <c r="T71" s="1765"/>
      <c r="U71" s="1787"/>
      <c r="V71" s="1766"/>
      <c r="W71" s="1766"/>
      <c r="X71" s="1767"/>
      <c r="Y71" s="6"/>
      <c r="Z71" s="6"/>
      <c r="AA71" s="6"/>
    </row>
    <row r="72" spans="1:27" ht="15.75" customHeight="1">
      <c r="A72" s="6"/>
      <c r="B72" s="1768" t="s">
        <v>1081</v>
      </c>
      <c r="C72" s="1788" t="s">
        <v>1455</v>
      </c>
      <c r="D72" s="1789">
        <v>7.2</v>
      </c>
      <c r="E72" s="1790">
        <f>D72*1000000*0.9071847</f>
        <v>6531729.8399999999</v>
      </c>
      <c r="F72" s="1791">
        <v>82000</v>
      </c>
      <c r="G72" s="1791">
        <f>F72*0.9071847</f>
        <v>74389.145399999994</v>
      </c>
      <c r="H72" s="1792">
        <v>1955</v>
      </c>
      <c r="I72" s="1793">
        <v>2031</v>
      </c>
      <c r="J72" s="1790">
        <v>12760</v>
      </c>
      <c r="K72" s="1790">
        <v>4649</v>
      </c>
      <c r="L72" s="1794">
        <v>0.54730000000000001</v>
      </c>
      <c r="M72" s="1790">
        <f>K72*L72</f>
        <v>2544.3977</v>
      </c>
      <c r="N72" s="1794">
        <v>0.98</v>
      </c>
      <c r="O72" s="1790">
        <f>M72*N72</f>
        <v>2493.5097459999997</v>
      </c>
      <c r="P72" s="1790">
        <f>O72*2.75</f>
        <v>6857.1518014999992</v>
      </c>
      <c r="Q72" s="1790">
        <f>M72*(1-N72)</f>
        <v>50.887954000000043</v>
      </c>
      <c r="R72" s="1790">
        <f>K72*(1-L72)</f>
        <v>2104.6023</v>
      </c>
      <c r="S72" s="1794">
        <v>0.1</v>
      </c>
      <c r="T72" s="1790">
        <f>R72*S72</f>
        <v>210.46023000000002</v>
      </c>
      <c r="U72" s="1790">
        <f>R72-T72</f>
        <v>1894.1420699999999</v>
      </c>
      <c r="V72" s="1790">
        <f>U72</f>
        <v>1894.1420699999999</v>
      </c>
      <c r="W72" s="1790">
        <f>V72*$C$84</f>
        <v>53035.977959999997</v>
      </c>
      <c r="X72" s="1796">
        <f>J72+W72</f>
        <v>65795.977959999989</v>
      </c>
      <c r="Y72" s="6"/>
      <c r="Z72" s="6"/>
      <c r="AA72" s="6"/>
    </row>
    <row r="73" spans="1:27" ht="15.75" customHeight="1">
      <c r="A73" s="6"/>
      <c r="B73" s="1325"/>
      <c r="C73" s="381"/>
      <c r="D73" s="862"/>
      <c r="E73" s="1766"/>
      <c r="F73" s="380"/>
      <c r="G73" s="380"/>
      <c r="H73" s="380"/>
      <c r="I73" s="380"/>
      <c r="J73" s="1765"/>
      <c r="K73" s="1765"/>
      <c r="L73" s="1782"/>
      <c r="M73" s="1766"/>
      <c r="N73" s="1782"/>
      <c r="O73" s="1766"/>
      <c r="P73" s="1765"/>
      <c r="Q73" s="1766"/>
      <c r="R73" s="1766"/>
      <c r="S73" s="381"/>
      <c r="T73" s="1765"/>
      <c r="U73" s="1787"/>
      <c r="V73" s="1766"/>
      <c r="W73" s="1766"/>
      <c r="X73" s="1767"/>
      <c r="Y73" s="6"/>
      <c r="Z73" s="6"/>
      <c r="AA73" s="6"/>
    </row>
    <row r="74" spans="1:27" ht="15.75" customHeight="1">
      <c r="A74" s="6"/>
      <c r="B74" s="1768" t="s">
        <v>1082</v>
      </c>
      <c r="C74" s="1805" t="s">
        <v>1456</v>
      </c>
      <c r="D74" s="1806">
        <v>4.8</v>
      </c>
      <c r="E74" s="1778">
        <f>D74*1000000*0.9071847</f>
        <v>4354486.5599999996</v>
      </c>
      <c r="F74" s="1807">
        <v>70000</v>
      </c>
      <c r="G74" s="1779">
        <f>F74*0.9071847</f>
        <v>63502.928999999996</v>
      </c>
      <c r="H74" s="380">
        <v>1990</v>
      </c>
      <c r="I74" s="1780">
        <v>2028</v>
      </c>
      <c r="J74" s="1781">
        <v>4295</v>
      </c>
      <c r="K74" s="1781">
        <v>1565</v>
      </c>
      <c r="L74" s="1808"/>
      <c r="M74" s="1787"/>
      <c r="N74" s="1808"/>
      <c r="O74" s="1787"/>
      <c r="P74" s="1765"/>
      <c r="Q74" s="1787"/>
      <c r="R74" s="1784">
        <f>K74</f>
        <v>1565</v>
      </c>
      <c r="S74" s="1809">
        <v>0.1</v>
      </c>
      <c r="T74" s="1781">
        <f t="shared" ref="T74:T75" si="97">R74*S74</f>
        <v>156.5</v>
      </c>
      <c r="U74" s="1784">
        <f t="shared" ref="U74:U75" si="98">R74-T74</f>
        <v>1408.5</v>
      </c>
      <c r="V74" s="1784">
        <f t="shared" ref="V74:V75" si="99">U74+Q74</f>
        <v>1408.5</v>
      </c>
      <c r="W74" s="1784">
        <f t="shared" ref="W74:W75" si="100">V74*$C$84</f>
        <v>39438</v>
      </c>
      <c r="X74" s="1810">
        <f t="shared" ref="X74:X75" si="101">J74+P74+W74</f>
        <v>43733</v>
      </c>
      <c r="Y74" s="6"/>
      <c r="Z74" s="6"/>
      <c r="AA74" s="6"/>
    </row>
    <row r="75" spans="1:27" ht="15.75" customHeight="1">
      <c r="A75" s="6"/>
      <c r="B75" s="1325"/>
      <c r="C75" s="1769" t="s">
        <v>1457</v>
      </c>
      <c r="D75" s="1797"/>
      <c r="E75" s="1811"/>
      <c r="F75" s="1773"/>
      <c r="G75" s="1773"/>
      <c r="H75" s="1773"/>
      <c r="I75" s="1773"/>
      <c r="J75" s="1771">
        <v>37.68</v>
      </c>
      <c r="K75" s="1771">
        <v>13.73</v>
      </c>
      <c r="L75" s="1775">
        <v>0.75</v>
      </c>
      <c r="M75" s="1771">
        <f>K75*L75</f>
        <v>10.297499999999999</v>
      </c>
      <c r="N75" s="1775">
        <v>0.98</v>
      </c>
      <c r="O75" s="1771">
        <f>M75*N75</f>
        <v>10.09155</v>
      </c>
      <c r="P75" s="1771">
        <f>O75*2.75</f>
        <v>27.751762499999998</v>
      </c>
      <c r="Q75" s="1812">
        <f>M75*(1-N75)</f>
        <v>0.20595000000000016</v>
      </c>
      <c r="R75" s="1771">
        <f>K75*(1-L75)</f>
        <v>3.4325000000000001</v>
      </c>
      <c r="S75" s="1775">
        <v>0.1</v>
      </c>
      <c r="T75" s="1812">
        <f t="shared" si="97"/>
        <v>0.34325000000000006</v>
      </c>
      <c r="U75" s="1771">
        <f t="shared" si="98"/>
        <v>3.0892499999999998</v>
      </c>
      <c r="V75" s="1771">
        <f t="shared" si="99"/>
        <v>3.2951999999999999</v>
      </c>
      <c r="W75" s="1771">
        <f t="shared" si="100"/>
        <v>92.265599999999992</v>
      </c>
      <c r="X75" s="1776">
        <f t="shared" si="101"/>
        <v>157.6973625</v>
      </c>
      <c r="Y75" s="6"/>
      <c r="Z75" s="6"/>
      <c r="AA75" s="6"/>
    </row>
    <row r="76" spans="1:27" ht="15.75" customHeight="1">
      <c r="A76" s="6"/>
      <c r="B76" s="1325"/>
      <c r="C76" s="381"/>
      <c r="D76" s="862"/>
      <c r="E76" s="1766"/>
      <c r="F76" s="380"/>
      <c r="G76" s="380"/>
      <c r="H76" s="380"/>
      <c r="I76" s="380"/>
      <c r="J76" s="1765"/>
      <c r="K76" s="1765"/>
      <c r="L76" s="381"/>
      <c r="M76" s="1766"/>
      <c r="N76" s="381"/>
      <c r="O76" s="1766"/>
      <c r="P76" s="1765"/>
      <c r="Q76" s="1766"/>
      <c r="R76" s="1766"/>
      <c r="S76" s="381"/>
      <c r="T76" s="1765"/>
      <c r="U76" s="1787"/>
      <c r="V76" s="1766"/>
      <c r="W76" s="1766"/>
      <c r="X76" s="1767"/>
      <c r="Y76" s="6"/>
      <c r="Z76" s="6"/>
      <c r="AA76" s="6"/>
    </row>
    <row r="77" spans="1:27" ht="15.75" customHeight="1">
      <c r="A77" s="6"/>
      <c r="B77" s="582"/>
      <c r="C77" s="412"/>
      <c r="D77" s="583"/>
      <c r="E77" s="583"/>
      <c r="F77" s="583"/>
      <c r="G77" s="583"/>
      <c r="H77" s="583"/>
      <c r="I77" s="583"/>
      <c r="J77" s="1813">
        <f t="shared" ref="J77:K77" si="102">SUM(J11:J75)</f>
        <v>318183.77999999997</v>
      </c>
      <c r="K77" s="1813">
        <f t="shared" si="102"/>
        <v>120994.05895652549</v>
      </c>
      <c r="L77" s="583"/>
      <c r="M77" s="1814">
        <f>SUM(M11:M75)</f>
        <v>62855.837621829654</v>
      </c>
      <c r="N77" s="583"/>
      <c r="O77" s="1814">
        <f t="shared" ref="O77:R77" si="103">SUM(O11:O75)</f>
        <v>61725.878128033044</v>
      </c>
      <c r="P77" s="1813">
        <f t="shared" si="103"/>
        <v>169746.16485209091</v>
      </c>
      <c r="Q77" s="1814">
        <f t="shared" si="103"/>
        <v>1129.9594937965942</v>
      </c>
      <c r="R77" s="1814">
        <f t="shared" si="103"/>
        <v>58138.221334695838</v>
      </c>
      <c r="S77" s="583"/>
      <c r="T77" s="1813">
        <f t="shared" ref="T77:X77" si="104">SUM(T11:T75)</f>
        <v>5813.8221334695854</v>
      </c>
      <c r="U77" s="1814">
        <f t="shared" si="104"/>
        <v>52324.399201226261</v>
      </c>
      <c r="V77" s="1814">
        <f t="shared" si="104"/>
        <v>53403.470741022858</v>
      </c>
      <c r="W77" s="1814">
        <f t="shared" si="104"/>
        <v>1495297.1807486401</v>
      </c>
      <c r="X77" s="1815">
        <f t="shared" si="104"/>
        <v>1937397.7116197213</v>
      </c>
      <c r="Y77" s="6"/>
      <c r="Z77" s="6"/>
      <c r="AA77" s="6"/>
    </row>
    <row r="78" spans="1:27" ht="15.75" customHeight="1">
      <c r="A78" s="6"/>
      <c r="B78" s="6"/>
      <c r="C78" s="6"/>
      <c r="D78" s="6"/>
      <c r="E78" s="6"/>
      <c r="F78" s="6"/>
      <c r="G78" s="6"/>
      <c r="H78" s="6"/>
      <c r="I78" s="6"/>
      <c r="J78" s="1816"/>
      <c r="K78" s="6"/>
      <c r="L78" s="6"/>
      <c r="M78" s="117"/>
      <c r="N78" s="6"/>
      <c r="O78" s="1817"/>
      <c r="P78" s="6"/>
      <c r="Q78" s="6"/>
      <c r="R78" s="6"/>
      <c r="S78" s="6"/>
      <c r="T78" s="6"/>
      <c r="U78" s="6"/>
      <c r="V78" s="1816"/>
      <c r="W78" s="6"/>
      <c r="X78" s="6"/>
      <c r="Y78" s="6"/>
      <c r="Z78" s="6"/>
      <c r="AA78" s="6"/>
    </row>
    <row r="79" spans="1:27" ht="15.75" customHeight="1">
      <c r="A79" s="6"/>
      <c r="D79" s="6"/>
      <c r="E79" s="6"/>
      <c r="F79" s="6"/>
      <c r="G79" s="6"/>
      <c r="H79" s="6"/>
      <c r="I79" s="6"/>
      <c r="J79" s="6"/>
      <c r="K79" s="6"/>
      <c r="L79" s="6"/>
      <c r="M79" s="117"/>
      <c r="N79" s="6"/>
      <c r="O79" s="1817"/>
      <c r="P79" s="6"/>
      <c r="Q79" s="6"/>
      <c r="R79" s="6"/>
      <c r="S79" s="6"/>
      <c r="T79" s="6"/>
      <c r="U79" s="6"/>
      <c r="V79" s="6"/>
      <c r="W79" s="6"/>
      <c r="X79" s="1818"/>
      <c r="Y79" s="6"/>
      <c r="Z79" s="6"/>
      <c r="AA79" s="6"/>
    </row>
    <row r="80" spans="1:27" ht="15.75" customHeight="1">
      <c r="A80" s="6"/>
      <c r="D80" s="6"/>
      <c r="E80" s="6"/>
      <c r="F80" s="6"/>
      <c r="G80" s="6"/>
      <c r="H80" s="6"/>
      <c r="I80" s="6"/>
      <c r="J80" s="6"/>
      <c r="K80" s="6"/>
      <c r="L80" s="6"/>
      <c r="M80" s="117"/>
      <c r="N80" s="6"/>
      <c r="O80" s="1817"/>
      <c r="P80" s="6"/>
      <c r="Q80" s="6"/>
      <c r="R80" s="6"/>
      <c r="S80" s="6"/>
      <c r="T80" s="6"/>
      <c r="U80" s="6"/>
      <c r="V80" s="6"/>
      <c r="W80" s="6"/>
      <c r="X80" s="6"/>
      <c r="Y80" s="6"/>
      <c r="Z80" s="6"/>
      <c r="AA80" s="6"/>
    </row>
    <row r="81" spans="1:27" ht="15.75" customHeight="1">
      <c r="A81" s="6"/>
      <c r="B81" s="2858" t="s">
        <v>0</v>
      </c>
      <c r="C81" s="2859"/>
      <c r="D81" s="6"/>
      <c r="E81" s="6"/>
      <c r="F81" s="6"/>
      <c r="G81" s="2900" t="s">
        <v>1458</v>
      </c>
      <c r="H81" s="2901"/>
      <c r="I81" s="2901"/>
      <c r="J81" s="2902"/>
      <c r="K81" s="1819">
        <f>K77</f>
        <v>120994.05895652549</v>
      </c>
      <c r="L81" s="1820"/>
      <c r="M81" s="1821" t="s">
        <v>1459</v>
      </c>
      <c r="N81" s="1822"/>
      <c r="O81" s="1823">
        <f>LFGTE!M67</f>
        <v>18262.602687399354</v>
      </c>
      <c r="P81" s="1820"/>
      <c r="Q81" s="2903" t="s">
        <v>1460</v>
      </c>
      <c r="R81" s="2901"/>
      <c r="S81" s="2901"/>
      <c r="T81" s="2901"/>
      <c r="U81" s="2902"/>
      <c r="V81" s="1824">
        <f>LFGTE!N67+LFGTE!O67</f>
        <v>41723.728124334375</v>
      </c>
      <c r="W81" s="6"/>
      <c r="X81" s="1816"/>
      <c r="Y81" s="6"/>
      <c r="Z81" s="6"/>
      <c r="AA81" s="6"/>
    </row>
    <row r="82" spans="1:27" ht="15.75" customHeight="1">
      <c r="A82" s="6"/>
      <c r="B82" s="240"/>
      <c r="C82" s="241"/>
      <c r="D82" s="6"/>
      <c r="E82" s="6"/>
      <c r="F82" s="6"/>
      <c r="G82" s="1825" t="s">
        <v>1461</v>
      </c>
      <c r="H82" s="595"/>
      <c r="I82" s="595"/>
      <c r="J82" s="595"/>
      <c r="K82" s="1826">
        <f>$C$84</f>
        <v>28</v>
      </c>
      <c r="L82" s="595"/>
      <c r="M82" s="1827" t="s">
        <v>1462</v>
      </c>
      <c r="N82" s="595"/>
      <c r="O82" s="1826">
        <f>$C$84</f>
        <v>28</v>
      </c>
      <c r="P82" s="595"/>
      <c r="Q82" s="2904" t="s">
        <v>1463</v>
      </c>
      <c r="R82" s="2877"/>
      <c r="S82" s="2877"/>
      <c r="T82" s="2877"/>
      <c r="U82" s="2880"/>
      <c r="V82" s="1828">
        <f>$C$84</f>
        <v>28</v>
      </c>
      <c r="W82" s="6"/>
      <c r="X82" s="6"/>
      <c r="Y82" s="6"/>
      <c r="Z82" s="6"/>
      <c r="AA82" s="6"/>
    </row>
    <row r="83" spans="1:27" ht="15.75" customHeight="1">
      <c r="A83" s="6"/>
      <c r="B83" s="240" t="s">
        <v>528</v>
      </c>
      <c r="C83" s="247">
        <f>Summary!$E4</f>
        <v>1</v>
      </c>
      <c r="D83" s="6"/>
      <c r="E83" s="6"/>
      <c r="F83" s="6"/>
      <c r="G83" s="2905" t="s">
        <v>1464</v>
      </c>
      <c r="H83" s="2877"/>
      <c r="I83" s="2880"/>
      <c r="J83" s="1829"/>
      <c r="K83" s="1830">
        <f>(K81*K82)*0.907184</f>
        <v>3073388.4826516653</v>
      </c>
      <c r="L83" s="595"/>
      <c r="M83" s="2906" t="s">
        <v>1465</v>
      </c>
      <c r="N83" s="2880"/>
      <c r="O83" s="1831">
        <f>(O81*O82)*0.907184</f>
        <v>463891.14677823946</v>
      </c>
      <c r="P83" s="595"/>
      <c r="Q83" s="2910" t="s">
        <v>1466</v>
      </c>
      <c r="R83" s="2877"/>
      <c r="S83" s="2877"/>
      <c r="T83" s="2877"/>
      <c r="U83" s="2880"/>
      <c r="V83" s="1832">
        <f>(V81*V82)*0.907184</f>
        <v>1059830.7600928925</v>
      </c>
      <c r="W83" s="6"/>
      <c r="X83" s="6"/>
      <c r="Y83" s="6"/>
      <c r="Z83" s="6"/>
      <c r="AA83" s="6"/>
    </row>
    <row r="84" spans="1:27" ht="15.75" customHeight="1">
      <c r="A84" s="6"/>
      <c r="B84" s="240" t="s">
        <v>530</v>
      </c>
      <c r="C84" s="247">
        <f>Summary!$E5</f>
        <v>28</v>
      </c>
      <c r="D84" s="6"/>
      <c r="E84" s="6"/>
      <c r="F84" s="6"/>
      <c r="G84" s="2907" t="s">
        <v>1467</v>
      </c>
      <c r="H84" s="2877"/>
      <c r="I84" s="2880"/>
      <c r="J84" s="1833"/>
      <c r="K84" s="1834">
        <f>K83*7%</f>
        <v>215137.1937856166</v>
      </c>
      <c r="L84" s="595"/>
      <c r="M84" s="595"/>
      <c r="N84" s="595"/>
      <c r="O84" s="595"/>
      <c r="P84" s="595"/>
      <c r="Q84" s="2911"/>
      <c r="R84" s="2912"/>
      <c r="S84" s="2912"/>
      <c r="T84" s="2912"/>
      <c r="U84" s="2913"/>
      <c r="V84" s="1835"/>
      <c r="W84" s="6"/>
      <c r="X84" s="6"/>
      <c r="Y84" s="6"/>
      <c r="Z84" s="6"/>
      <c r="AA84" s="6"/>
    </row>
    <row r="85" spans="1:27" ht="15.75" customHeight="1">
      <c r="A85" s="6"/>
      <c r="B85" s="240" t="s">
        <v>532</v>
      </c>
      <c r="C85" s="247">
        <f>Summary!$E6</f>
        <v>265</v>
      </c>
      <c r="D85" s="6"/>
      <c r="E85" s="6"/>
      <c r="F85" s="6"/>
      <c r="G85" s="1836"/>
      <c r="H85" s="595"/>
      <c r="I85" s="595"/>
      <c r="J85" s="595"/>
      <c r="K85" s="674"/>
      <c r="L85" s="595"/>
      <c r="M85" s="672"/>
      <c r="N85" s="595"/>
      <c r="O85" s="674"/>
      <c r="P85" s="595"/>
      <c r="Q85" s="2914" t="s">
        <v>1468</v>
      </c>
      <c r="R85" s="2877"/>
      <c r="S85" s="2877"/>
      <c r="T85" s="2877"/>
      <c r="U85" s="2880"/>
      <c r="V85" s="1837">
        <f>V83*(12/44)</f>
        <v>289044.75275260699</v>
      </c>
      <c r="W85" s="6"/>
      <c r="X85" s="6"/>
      <c r="Y85" s="6"/>
      <c r="Z85" s="6"/>
      <c r="AA85" s="6"/>
    </row>
    <row r="86" spans="1:27" ht="15.75" customHeight="1">
      <c r="A86" s="6"/>
      <c r="B86" s="240" t="s">
        <v>533</v>
      </c>
      <c r="C86" s="247">
        <f>Summary!$E7</f>
        <v>23500</v>
      </c>
      <c r="D86" s="6"/>
      <c r="E86" s="1816"/>
      <c r="F86" s="6"/>
      <c r="G86" s="1836"/>
      <c r="H86" s="595"/>
      <c r="I86" s="595"/>
      <c r="J86" s="595"/>
      <c r="K86" s="595"/>
      <c r="L86" s="595"/>
      <c r="M86" s="595"/>
      <c r="N86" s="595"/>
      <c r="O86" s="595"/>
      <c r="P86" s="595"/>
      <c r="Q86" s="2911"/>
      <c r="R86" s="2912"/>
      <c r="S86" s="2912"/>
      <c r="T86" s="2912"/>
      <c r="U86" s="2913"/>
      <c r="V86" s="1835"/>
      <c r="W86" s="6"/>
      <c r="X86" s="6"/>
      <c r="Y86" s="6"/>
      <c r="Z86" s="6"/>
      <c r="AA86" s="6"/>
    </row>
    <row r="87" spans="1:27" ht="15.75" customHeight="1">
      <c r="A87" s="6"/>
      <c r="B87" s="259"/>
      <c r="C87" s="260"/>
      <c r="D87" s="6"/>
      <c r="E87" s="6"/>
      <c r="F87" s="6"/>
      <c r="G87" s="2908" t="s">
        <v>1469</v>
      </c>
      <c r="H87" s="2877"/>
      <c r="I87" s="2880"/>
      <c r="J87" s="1838"/>
      <c r="K87" s="1839">
        <f>(K83+K84)</f>
        <v>3288525.676437282</v>
      </c>
      <c r="L87" s="595"/>
      <c r="M87" s="2915" t="s">
        <v>1470</v>
      </c>
      <c r="N87" s="2880"/>
      <c r="O87" s="1840">
        <f>O83+V83</f>
        <v>1523721.9068711319</v>
      </c>
      <c r="P87" s="595"/>
      <c r="Q87" s="2916" t="s">
        <v>1471</v>
      </c>
      <c r="R87" s="2877"/>
      <c r="S87" s="2877"/>
      <c r="T87" s="2877"/>
      <c r="U87" s="2880"/>
      <c r="V87" s="1841">
        <f>T77</f>
        <v>5813.8221334695854</v>
      </c>
      <c r="W87" s="6"/>
      <c r="X87" s="6"/>
      <c r="Y87" s="6"/>
      <c r="Z87" s="6"/>
      <c r="AA87" s="6"/>
    </row>
    <row r="88" spans="1:27" ht="15.75" customHeight="1">
      <c r="A88" s="6"/>
      <c r="B88" s="6"/>
      <c r="C88" s="6"/>
      <c r="D88" s="6"/>
      <c r="E88" s="6"/>
      <c r="F88" s="6"/>
      <c r="G88" s="1836"/>
      <c r="H88" s="595"/>
      <c r="I88" s="595"/>
      <c r="J88" s="595"/>
      <c r="K88" s="595"/>
      <c r="L88" s="595"/>
      <c r="M88" s="595"/>
      <c r="N88" s="595"/>
      <c r="O88" s="595"/>
      <c r="P88" s="595"/>
      <c r="Q88" s="2904" t="s">
        <v>1472</v>
      </c>
      <c r="R88" s="2877"/>
      <c r="S88" s="2877"/>
      <c r="T88" s="2877"/>
      <c r="U88" s="2880"/>
      <c r="V88" s="1828">
        <f>$C$84</f>
        <v>28</v>
      </c>
      <c r="W88" s="6"/>
      <c r="X88" s="6"/>
      <c r="Y88" s="6"/>
      <c r="Z88" s="6"/>
      <c r="AA88" s="6"/>
    </row>
    <row r="89" spans="1:27" ht="15.75" customHeight="1">
      <c r="A89" s="6"/>
      <c r="B89" s="6"/>
      <c r="C89" s="6"/>
      <c r="D89" s="6"/>
      <c r="E89" s="6"/>
      <c r="F89" s="6"/>
      <c r="G89" s="2909" t="s">
        <v>1473</v>
      </c>
      <c r="H89" s="2877"/>
      <c r="I89" s="2880"/>
      <c r="J89" s="1842"/>
      <c r="K89" s="1843">
        <f>K87*(12/44)</f>
        <v>896870.63902834954</v>
      </c>
      <c r="L89" s="595"/>
      <c r="M89" s="2915" t="s">
        <v>1474</v>
      </c>
      <c r="N89" s="2880"/>
      <c r="O89" s="1840">
        <f>O87*(12/44)</f>
        <v>415560.52005576319</v>
      </c>
      <c r="P89" s="595"/>
      <c r="Q89" s="2917" t="s">
        <v>1475</v>
      </c>
      <c r="R89" s="2877"/>
      <c r="S89" s="2877"/>
      <c r="T89" s="2877"/>
      <c r="U89" s="2880"/>
      <c r="V89" s="1844">
        <f>(V87*V88)*0.907184</f>
        <v>147677.77971322523</v>
      </c>
      <c r="W89" s="6"/>
      <c r="X89" s="6"/>
      <c r="Y89" s="6"/>
      <c r="Z89" s="6"/>
      <c r="AA89" s="6"/>
    </row>
    <row r="90" spans="1:27" ht="15.75" customHeight="1">
      <c r="A90" s="6"/>
      <c r="B90" s="6"/>
      <c r="C90" s="6"/>
      <c r="D90" s="6"/>
      <c r="E90" s="6"/>
      <c r="F90" s="6"/>
      <c r="G90" s="1836"/>
      <c r="H90" s="595"/>
      <c r="I90" s="595"/>
      <c r="J90" s="595"/>
      <c r="K90" s="595"/>
      <c r="L90" s="595"/>
      <c r="M90" s="595"/>
      <c r="N90" s="595"/>
      <c r="O90" s="595"/>
      <c r="P90" s="595"/>
      <c r="Q90" s="2911"/>
      <c r="R90" s="2912"/>
      <c r="S90" s="2912"/>
      <c r="T90" s="2912"/>
      <c r="U90" s="2913"/>
      <c r="V90" s="1835"/>
      <c r="W90" s="6"/>
      <c r="X90" s="6"/>
      <c r="Y90" s="6"/>
      <c r="Z90" s="6"/>
      <c r="AA90" s="6"/>
    </row>
    <row r="91" spans="1:27" ht="15.75" customHeight="1">
      <c r="A91" s="6"/>
      <c r="B91" s="6"/>
      <c r="C91" s="6"/>
      <c r="D91" s="6"/>
      <c r="E91" s="6"/>
      <c r="F91" s="6"/>
      <c r="G91" s="1836"/>
      <c r="H91" s="595"/>
      <c r="I91" s="595"/>
      <c r="J91" s="595"/>
      <c r="K91" s="595"/>
      <c r="L91" s="595"/>
      <c r="M91" s="595"/>
      <c r="N91" s="595"/>
      <c r="O91" s="595"/>
      <c r="P91" s="595"/>
      <c r="Q91" s="2914" t="s">
        <v>1476</v>
      </c>
      <c r="R91" s="2877"/>
      <c r="S91" s="2877"/>
      <c r="T91" s="2877"/>
      <c r="U91" s="2880"/>
      <c r="V91" s="1837">
        <f>V89*(12/44)</f>
        <v>40275.75810360688</v>
      </c>
      <c r="W91" s="6"/>
      <c r="X91" s="6"/>
      <c r="Y91" s="6"/>
      <c r="Z91" s="6"/>
      <c r="AA91" s="6"/>
    </row>
    <row r="92" spans="1:27" ht="15.75" customHeight="1">
      <c r="A92" s="6"/>
      <c r="B92" s="6"/>
      <c r="C92" s="6"/>
      <c r="D92" s="6"/>
      <c r="E92" s="6"/>
      <c r="F92" s="6"/>
      <c r="G92" s="1836"/>
      <c r="H92" s="595"/>
      <c r="I92" s="595"/>
      <c r="J92" s="595"/>
      <c r="K92" s="595"/>
      <c r="L92" s="595"/>
      <c r="M92" s="595"/>
      <c r="N92" s="595"/>
      <c r="O92" s="595"/>
      <c r="P92" s="595"/>
      <c r="Q92" s="2911"/>
      <c r="R92" s="2912"/>
      <c r="S92" s="2912"/>
      <c r="T92" s="2912"/>
      <c r="U92" s="2913"/>
      <c r="V92" s="1835"/>
      <c r="W92" s="6"/>
      <c r="X92" s="6"/>
      <c r="Y92" s="6"/>
      <c r="Z92" s="6"/>
      <c r="AA92" s="6"/>
    </row>
    <row r="93" spans="1:27" ht="15.75" customHeight="1">
      <c r="A93" s="6"/>
      <c r="B93" s="6"/>
      <c r="C93" s="6"/>
      <c r="D93" s="6"/>
      <c r="E93" s="6"/>
      <c r="F93" s="6"/>
      <c r="G93" s="1836"/>
      <c r="H93" s="595"/>
      <c r="I93" s="595"/>
      <c r="J93" s="595"/>
      <c r="K93" s="595"/>
      <c r="L93" s="595"/>
      <c r="M93" s="595"/>
      <c r="N93" s="595"/>
      <c r="O93" s="595"/>
      <c r="P93" s="595"/>
      <c r="Q93" s="2918" t="s">
        <v>1477</v>
      </c>
      <c r="R93" s="2877"/>
      <c r="S93" s="2877"/>
      <c r="T93" s="2877"/>
      <c r="U93" s="2880"/>
      <c r="V93" s="1845">
        <f>V89*7%</f>
        <v>10337.444579925766</v>
      </c>
      <c r="W93" s="6"/>
      <c r="X93" s="6"/>
      <c r="Y93" s="6"/>
      <c r="Z93" s="6"/>
      <c r="AA93" s="6"/>
    </row>
    <row r="94" spans="1:27" ht="15.75" customHeight="1">
      <c r="A94" s="6"/>
      <c r="B94" s="6"/>
      <c r="C94" s="6"/>
      <c r="D94" s="6"/>
      <c r="E94" s="6"/>
      <c r="F94" s="6"/>
      <c r="G94" s="1836"/>
      <c r="H94" s="595"/>
      <c r="I94" s="595"/>
      <c r="J94" s="595"/>
      <c r="K94" s="595"/>
      <c r="L94" s="595"/>
      <c r="M94" s="595"/>
      <c r="N94" s="595"/>
      <c r="O94" s="595"/>
      <c r="P94" s="595"/>
      <c r="Q94" s="2911"/>
      <c r="R94" s="2912"/>
      <c r="S94" s="2912"/>
      <c r="T94" s="2912"/>
      <c r="U94" s="2913"/>
      <c r="V94" s="1835"/>
      <c r="W94" s="6"/>
      <c r="X94" s="6"/>
      <c r="Y94" s="6"/>
      <c r="Z94" s="6"/>
      <c r="AA94" s="6"/>
    </row>
    <row r="95" spans="1:27" ht="15.75" customHeight="1">
      <c r="A95" s="6"/>
      <c r="B95" s="6"/>
      <c r="C95" s="6"/>
      <c r="D95" s="6"/>
      <c r="E95" s="6"/>
      <c r="F95" s="6"/>
      <c r="G95" s="1836"/>
      <c r="H95" s="595"/>
      <c r="I95" s="595"/>
      <c r="J95" s="595"/>
      <c r="K95" s="595"/>
      <c r="L95" s="595"/>
      <c r="M95" s="595"/>
      <c r="N95" s="595"/>
      <c r="O95" s="595"/>
      <c r="P95" s="595"/>
      <c r="Q95" s="2918" t="s">
        <v>1478</v>
      </c>
      <c r="R95" s="2877"/>
      <c r="S95" s="2877"/>
      <c r="T95" s="2877"/>
      <c r="U95" s="2880"/>
      <c r="V95" s="1845">
        <f>V93*(12/44)</f>
        <v>2819.3030672524815</v>
      </c>
      <c r="W95" s="6"/>
      <c r="X95" s="6"/>
      <c r="Y95" s="6"/>
      <c r="Z95" s="6"/>
      <c r="AA95" s="6"/>
    </row>
    <row r="96" spans="1:27" ht="15.75" customHeight="1">
      <c r="A96" s="6"/>
      <c r="B96" s="6"/>
      <c r="C96" s="6"/>
      <c r="D96" s="6"/>
      <c r="E96" s="6"/>
      <c r="F96" s="6"/>
      <c r="G96" s="1836"/>
      <c r="H96" s="595"/>
      <c r="I96" s="595"/>
      <c r="J96" s="595"/>
      <c r="K96" s="595"/>
      <c r="L96" s="595"/>
      <c r="M96" s="595"/>
      <c r="N96" s="595"/>
      <c r="O96" s="595"/>
      <c r="P96" s="595"/>
      <c r="Q96" s="2911"/>
      <c r="R96" s="2912"/>
      <c r="S96" s="2912"/>
      <c r="T96" s="2912"/>
      <c r="U96" s="2913"/>
      <c r="V96" s="1835"/>
      <c r="W96" s="6"/>
      <c r="X96" s="6"/>
      <c r="Y96" s="6"/>
      <c r="Z96" s="6"/>
      <c r="AA96" s="6"/>
    </row>
    <row r="97" spans="1:27" ht="15.75" customHeight="1">
      <c r="A97" s="6"/>
      <c r="B97" s="6"/>
      <c r="C97" s="6"/>
      <c r="D97" s="6"/>
      <c r="E97" s="6"/>
      <c r="F97" s="6"/>
      <c r="G97" s="1836"/>
      <c r="H97" s="595"/>
      <c r="I97" s="595"/>
      <c r="J97" s="595"/>
      <c r="K97" s="595"/>
      <c r="L97" s="595"/>
      <c r="M97" s="595"/>
      <c r="N97" s="595"/>
      <c r="O97" s="595"/>
      <c r="P97" s="595"/>
      <c r="Q97" s="2923" t="s">
        <v>1479</v>
      </c>
      <c r="R97" s="2877"/>
      <c r="S97" s="2877"/>
      <c r="T97" s="2877"/>
      <c r="U97" s="2880"/>
      <c r="V97" s="1846">
        <f>((K87-O87-V89-V93)+((LFGTE!X67+LFGTE!Y67+LFGTE!Z67)*0.907184*V88))</f>
        <v>1635263.2072053584</v>
      </c>
      <c r="W97" s="6"/>
      <c r="X97" s="6"/>
      <c r="Y97" s="6"/>
      <c r="Z97" s="6"/>
      <c r="AA97" s="6"/>
    </row>
    <row r="98" spans="1:27" ht="15.75" customHeight="1">
      <c r="A98" s="6"/>
      <c r="B98" s="6"/>
      <c r="C98" s="6"/>
      <c r="D98" s="6"/>
      <c r="E98" s="6"/>
      <c r="F98" s="6"/>
      <c r="G98" s="1836"/>
      <c r="H98" s="595"/>
      <c r="I98" s="595"/>
      <c r="J98" s="595"/>
      <c r="K98" s="595"/>
      <c r="L98" s="595"/>
      <c r="M98" s="595"/>
      <c r="N98" s="595"/>
      <c r="O98" s="595"/>
      <c r="P98" s="595"/>
      <c r="Q98" s="2911"/>
      <c r="R98" s="2912"/>
      <c r="S98" s="2912"/>
      <c r="T98" s="2912"/>
      <c r="U98" s="2913"/>
      <c r="V98" s="1835"/>
      <c r="W98" s="6"/>
      <c r="X98" s="6"/>
      <c r="Y98" s="6"/>
      <c r="Z98" s="6"/>
      <c r="AA98" s="6"/>
    </row>
    <row r="99" spans="1:27" ht="15.75" customHeight="1">
      <c r="A99" s="6"/>
      <c r="B99" s="6"/>
      <c r="C99" s="6"/>
      <c r="D99" s="6"/>
      <c r="E99" s="6"/>
      <c r="F99" s="6"/>
      <c r="G99" s="1836"/>
      <c r="H99" s="595"/>
      <c r="I99" s="595"/>
      <c r="J99" s="595"/>
      <c r="K99" s="595"/>
      <c r="L99" s="595"/>
      <c r="M99" s="595"/>
      <c r="N99" s="595"/>
      <c r="O99" s="595"/>
      <c r="P99" s="595"/>
      <c r="Q99" s="2919" t="s">
        <v>1480</v>
      </c>
      <c r="R99" s="2877"/>
      <c r="S99" s="2877"/>
      <c r="T99" s="2877"/>
      <c r="U99" s="2880"/>
      <c r="V99" s="1847">
        <f>(LFGTE!T67+LFGTE!U67+LFGTE!V67)*0.907184</f>
        <v>149651.25871055762</v>
      </c>
      <c r="W99" s="6"/>
      <c r="X99" s="6"/>
      <c r="Y99" s="6"/>
      <c r="Z99" s="6"/>
      <c r="AA99" s="6"/>
    </row>
    <row r="100" spans="1:27" ht="15.75" customHeight="1">
      <c r="A100" s="6"/>
      <c r="B100" s="6"/>
      <c r="C100" s="6"/>
      <c r="D100" s="6"/>
      <c r="E100" s="6"/>
      <c r="F100" s="6"/>
      <c r="G100" s="1836"/>
      <c r="H100" s="595"/>
      <c r="I100" s="595"/>
      <c r="J100" s="595"/>
      <c r="K100" s="595"/>
      <c r="L100" s="595"/>
      <c r="M100" s="595"/>
      <c r="N100" s="595"/>
      <c r="O100" s="595"/>
      <c r="P100" s="595"/>
      <c r="Q100" s="2911"/>
      <c r="R100" s="2912"/>
      <c r="S100" s="2912"/>
      <c r="T100" s="2912"/>
      <c r="U100" s="2913"/>
      <c r="V100" s="1848"/>
      <c r="W100" s="6"/>
      <c r="X100" s="6"/>
      <c r="Y100" s="6"/>
      <c r="Z100" s="6"/>
      <c r="AA100" s="6"/>
    </row>
    <row r="101" spans="1:27" ht="15.75" customHeight="1">
      <c r="A101" s="6"/>
      <c r="B101" s="6"/>
      <c r="C101" s="6"/>
      <c r="D101" s="6"/>
      <c r="E101" s="6"/>
      <c r="F101" s="6"/>
      <c r="G101" s="1836"/>
      <c r="H101" s="595"/>
      <c r="I101" s="595"/>
      <c r="J101" s="595"/>
      <c r="K101" s="595"/>
      <c r="L101" s="595"/>
      <c r="M101" s="595"/>
      <c r="N101" s="595"/>
      <c r="O101" s="595"/>
      <c r="P101" s="595"/>
      <c r="Q101" s="2919" t="s">
        <v>1481</v>
      </c>
      <c r="R101" s="2877"/>
      <c r="S101" s="2877"/>
      <c r="T101" s="2877"/>
      <c r="U101" s="2880"/>
      <c r="V101" s="1849">
        <f>V99/1000000</f>
        <v>0.14965125871055762</v>
      </c>
      <c r="W101" s="6"/>
      <c r="X101" s="6"/>
      <c r="Y101" s="6"/>
      <c r="Z101" s="6"/>
      <c r="AA101" s="6"/>
    </row>
    <row r="102" spans="1:27" ht="15.75" customHeight="1">
      <c r="A102" s="6"/>
      <c r="B102" s="6"/>
      <c r="C102" s="6"/>
      <c r="D102" s="6"/>
      <c r="E102" s="6"/>
      <c r="F102" s="6"/>
      <c r="G102" s="1836"/>
      <c r="H102" s="595"/>
      <c r="I102" s="595"/>
      <c r="J102" s="595"/>
      <c r="K102" s="595"/>
      <c r="L102" s="595"/>
      <c r="M102" s="595"/>
      <c r="N102" s="595"/>
      <c r="O102" s="595"/>
      <c r="P102" s="595"/>
      <c r="Q102" s="2911"/>
      <c r="R102" s="2912"/>
      <c r="S102" s="2912"/>
      <c r="T102" s="2912"/>
      <c r="U102" s="2913"/>
      <c r="V102" s="1848"/>
      <c r="W102" s="6"/>
      <c r="X102" s="6"/>
      <c r="Y102" s="6"/>
      <c r="Z102" s="6"/>
      <c r="AA102" s="6"/>
    </row>
    <row r="103" spans="1:27" ht="15.75" customHeight="1">
      <c r="A103" s="6"/>
      <c r="B103" s="6"/>
      <c r="C103" s="6"/>
      <c r="D103" s="6"/>
      <c r="E103" s="6"/>
      <c r="F103" s="6"/>
      <c r="G103" s="1836"/>
      <c r="H103" s="595"/>
      <c r="I103" s="595"/>
      <c r="J103" s="595"/>
      <c r="K103" s="595"/>
      <c r="L103" s="595"/>
      <c r="M103" s="595"/>
      <c r="N103" s="595"/>
      <c r="O103" s="595"/>
      <c r="P103" s="595"/>
      <c r="Q103" s="2919" t="s">
        <v>1482</v>
      </c>
      <c r="R103" s="2877"/>
      <c r="S103" s="2877"/>
      <c r="T103" s="2877"/>
      <c r="U103" s="2880"/>
      <c r="V103" s="1850">
        <f>((J77*0.907184)/1000000)+V101</f>
        <v>0.4383024929860776</v>
      </c>
      <c r="W103" s="6"/>
      <c r="X103" s="6"/>
      <c r="Y103" s="6"/>
      <c r="Z103" s="6"/>
      <c r="AA103" s="6"/>
    </row>
    <row r="104" spans="1:27" ht="15.75" customHeight="1">
      <c r="A104" s="6"/>
      <c r="B104" s="6"/>
      <c r="C104" s="6"/>
      <c r="D104" s="6"/>
      <c r="E104" s="6"/>
      <c r="F104" s="6"/>
      <c r="G104" s="1836"/>
      <c r="H104" s="595"/>
      <c r="I104" s="595"/>
      <c r="J104" s="595"/>
      <c r="K104" s="595"/>
      <c r="L104" s="595"/>
      <c r="M104" s="595"/>
      <c r="N104" s="595"/>
      <c r="O104" s="595"/>
      <c r="P104" s="595"/>
      <c r="Q104" s="2911"/>
      <c r="R104" s="2912"/>
      <c r="S104" s="2912"/>
      <c r="T104" s="2912"/>
      <c r="U104" s="2913"/>
      <c r="V104" s="1835"/>
      <c r="W104" s="6"/>
      <c r="X104" s="6"/>
      <c r="Y104" s="6"/>
      <c r="Z104" s="6"/>
      <c r="AA104" s="6"/>
    </row>
    <row r="105" spans="1:27" ht="15.75" customHeight="1">
      <c r="A105" s="6"/>
      <c r="B105" s="6"/>
      <c r="C105" s="6"/>
      <c r="D105" s="6"/>
      <c r="E105" s="6"/>
      <c r="F105" s="6"/>
      <c r="G105" s="1836"/>
      <c r="H105" s="595"/>
      <c r="I105" s="595"/>
      <c r="J105" s="595"/>
      <c r="K105" s="595"/>
      <c r="L105" s="595"/>
      <c r="M105" s="595"/>
      <c r="N105" s="595"/>
      <c r="O105" s="595"/>
      <c r="P105" s="595"/>
      <c r="Q105" s="2920" t="s">
        <v>1483</v>
      </c>
      <c r="R105" s="2877"/>
      <c r="S105" s="2877"/>
      <c r="T105" s="2877"/>
      <c r="U105" s="2880"/>
      <c r="V105" s="1851">
        <f>V97/1000000</f>
        <v>1.6352632072053583</v>
      </c>
      <c r="W105" s="6"/>
      <c r="X105" s="6"/>
      <c r="Y105" s="6"/>
      <c r="Z105" s="6"/>
      <c r="AA105" s="6"/>
    </row>
    <row r="106" spans="1:27" ht="15.75" customHeight="1">
      <c r="A106" s="6"/>
      <c r="B106" s="6"/>
      <c r="C106" s="6"/>
      <c r="D106" s="6"/>
      <c r="E106" s="6"/>
      <c r="F106" s="6"/>
      <c r="G106" s="1852"/>
      <c r="H106" s="1853"/>
      <c r="I106" s="1853"/>
      <c r="J106" s="1853"/>
      <c r="K106" s="1853"/>
      <c r="L106" s="1853"/>
      <c r="M106" s="1853"/>
      <c r="N106" s="1853"/>
      <c r="O106" s="1853"/>
      <c r="P106" s="1853"/>
      <c r="Q106" s="2921"/>
      <c r="R106" s="2895"/>
      <c r="S106" s="2895"/>
      <c r="T106" s="2895"/>
      <c r="U106" s="2922"/>
      <c r="V106" s="1854"/>
      <c r="W106" s="6"/>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row r="307" spans="1:27" ht="15.75" customHeight="1"/>
    <row r="308" spans="1:27" ht="15.75" customHeight="1"/>
    <row r="309" spans="1:27" ht="15.75" customHeight="1"/>
    <row r="310" spans="1:27" ht="15.75" customHeight="1"/>
    <row r="311" spans="1:27" ht="15.75" customHeight="1"/>
    <row r="312" spans="1:27" ht="15.75" customHeight="1"/>
    <row r="313" spans="1:27" ht="15.75" customHeight="1"/>
    <row r="314" spans="1:27" ht="15.75" customHeight="1"/>
    <row r="315" spans="1:27" ht="15.75" customHeight="1"/>
    <row r="316" spans="1:27" ht="15.75" customHeight="1"/>
    <row r="317" spans="1:27" ht="15.75" customHeight="1"/>
    <row r="318" spans="1:27" ht="15.75" customHeight="1"/>
    <row r="319" spans="1:27" ht="15.75" customHeight="1"/>
    <row r="320" spans="1:27"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Q100:U100"/>
    <mergeCell ref="Q101:U101"/>
    <mergeCell ref="Q95:U95"/>
    <mergeCell ref="Q96:U96"/>
    <mergeCell ref="Q97:U97"/>
    <mergeCell ref="Q98:U98"/>
    <mergeCell ref="Q99:U99"/>
    <mergeCell ref="Q102:U102"/>
    <mergeCell ref="Q103:U103"/>
    <mergeCell ref="Q104:U104"/>
    <mergeCell ref="Q105:U105"/>
    <mergeCell ref="Q106:U106"/>
    <mergeCell ref="Q90:U90"/>
    <mergeCell ref="Q91:U91"/>
    <mergeCell ref="Q92:U92"/>
    <mergeCell ref="Q93:U93"/>
    <mergeCell ref="Q94:U94"/>
    <mergeCell ref="G84:I84"/>
    <mergeCell ref="G87:I87"/>
    <mergeCell ref="G89:I89"/>
    <mergeCell ref="Q83:U83"/>
    <mergeCell ref="Q84:U84"/>
    <mergeCell ref="Q85:U85"/>
    <mergeCell ref="Q86:U86"/>
    <mergeCell ref="M87:N87"/>
    <mergeCell ref="Q87:U87"/>
    <mergeCell ref="M89:N89"/>
    <mergeCell ref="Q88:U88"/>
    <mergeCell ref="Q89:U89"/>
    <mergeCell ref="B81:C81"/>
    <mergeCell ref="G81:J81"/>
    <mergeCell ref="Q81:U81"/>
    <mergeCell ref="Q82:U82"/>
    <mergeCell ref="G83:I83"/>
    <mergeCell ref="M83:N83"/>
  </mergeCells>
  <pageMargins left="0.7" right="0.7" top="0.75" bottom="0.75" header="0" footer="0"/>
  <pageSetup orientation="portrait"/>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AE1000"/>
  <sheetViews>
    <sheetView topLeftCell="A22" zoomScaleNormal="100" workbookViewId="0">
      <selection activeCell="M67" sqref="M67:O67"/>
    </sheetView>
  </sheetViews>
  <sheetFormatPr defaultColWidth="16.85546875" defaultRowHeight="15" customHeight="1"/>
  <cols>
    <col min="1" max="1" width="3.85546875" customWidth="1"/>
    <col min="2" max="2" width="36.7109375" customWidth="1"/>
    <col min="3" max="5" width="14.28515625" customWidth="1"/>
    <col min="6" max="6" width="10.7109375" customWidth="1"/>
    <col min="7" max="8" width="16.85546875" customWidth="1"/>
    <col min="9" max="11" width="14.28515625" customWidth="1"/>
    <col min="12" max="15" width="16.85546875" customWidth="1"/>
    <col min="16" max="26" width="12" customWidth="1"/>
    <col min="27" max="31" width="16.85546875" customWidth="1"/>
  </cols>
  <sheetData>
    <row r="1" spans="1:31" ht="19.8">
      <c r="A1" s="134" t="s">
        <v>1484</v>
      </c>
      <c r="B1" s="1855"/>
      <c r="C1" s="6"/>
      <c r="D1" s="6"/>
      <c r="E1" s="6"/>
      <c r="F1" s="6"/>
      <c r="G1" s="6"/>
      <c r="H1" s="6"/>
      <c r="I1" s="6"/>
      <c r="J1" s="6"/>
      <c r="K1" s="6"/>
      <c r="L1" s="6"/>
      <c r="M1" s="6"/>
      <c r="N1" s="6"/>
      <c r="O1" s="6"/>
      <c r="P1" s="6"/>
      <c r="Q1" s="6"/>
      <c r="R1" s="6"/>
      <c r="S1" s="6"/>
      <c r="T1" s="6"/>
      <c r="U1" s="6"/>
      <c r="V1" s="6"/>
      <c r="W1" s="6"/>
      <c r="X1" s="6"/>
      <c r="Y1" s="6"/>
      <c r="Z1" s="6"/>
      <c r="AA1" s="6"/>
      <c r="AB1" s="6"/>
      <c r="AC1" s="6"/>
      <c r="AD1" s="6"/>
      <c r="AE1" s="6"/>
    </row>
    <row r="2" spans="1:31" ht="15" customHeight="1">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row>
    <row r="3" spans="1:31" ht="15" customHeight="1">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row>
    <row r="4" spans="1:31" ht="15" customHeight="1">
      <c r="A4" s="6"/>
      <c r="B4" s="2927" t="s">
        <v>1485</v>
      </c>
      <c r="C4" s="2928"/>
      <c r="D4" s="1856">
        <v>44.01</v>
      </c>
      <c r="E4" s="485" t="s">
        <v>1486</v>
      </c>
      <c r="F4" s="1857"/>
      <c r="G4" s="1857"/>
      <c r="H4" s="1858"/>
      <c r="I4" s="6"/>
      <c r="J4" s="6"/>
      <c r="K4" s="6"/>
      <c r="L4" s="6"/>
      <c r="M4" s="6"/>
      <c r="N4" s="6"/>
      <c r="O4" s="6"/>
      <c r="P4" s="6"/>
      <c r="Q4" s="6"/>
      <c r="R4" s="6"/>
      <c r="S4" s="6"/>
      <c r="T4" s="6"/>
      <c r="U4" s="6"/>
      <c r="V4" s="6"/>
      <c r="W4" s="6"/>
      <c r="X4" s="6"/>
      <c r="Y4" s="6"/>
      <c r="Z4" s="6"/>
      <c r="AA4" s="6"/>
      <c r="AB4" s="6"/>
      <c r="AC4" s="6"/>
      <c r="AD4" s="6"/>
      <c r="AE4" s="6"/>
    </row>
    <row r="5" spans="1:31" ht="15" customHeight="1">
      <c r="A5" s="6"/>
      <c r="B5" s="2929" t="s">
        <v>1487</v>
      </c>
      <c r="C5" s="2863"/>
      <c r="D5" s="1860">
        <v>16.044</v>
      </c>
      <c r="E5" s="3" t="s">
        <v>1486</v>
      </c>
      <c r="F5" s="6"/>
      <c r="G5" s="6"/>
      <c r="H5" s="1861"/>
      <c r="I5" s="6"/>
      <c r="J5" s="6"/>
      <c r="K5" s="6"/>
      <c r="L5" s="6"/>
      <c r="M5" s="6"/>
      <c r="N5" s="6"/>
      <c r="O5" s="6"/>
      <c r="P5" s="6"/>
      <c r="Q5" s="6"/>
      <c r="R5" s="6"/>
      <c r="S5" s="6"/>
      <c r="T5" s="6"/>
      <c r="U5" s="6"/>
      <c r="V5" s="6"/>
      <c r="W5" s="6"/>
      <c r="X5" s="6"/>
      <c r="Y5" s="6"/>
      <c r="Z5" s="6"/>
      <c r="AA5" s="6"/>
      <c r="AB5" s="6"/>
      <c r="AC5" s="6"/>
      <c r="AD5" s="6"/>
      <c r="AE5" s="6"/>
    </row>
    <row r="6" spans="1:31" ht="16.2">
      <c r="A6" s="6"/>
      <c r="B6" s="2930" t="s">
        <v>1488</v>
      </c>
      <c r="C6" s="2863"/>
      <c r="D6" s="1862">
        <v>8.2050000000000002E-5</v>
      </c>
      <c r="E6" s="1863" t="s">
        <v>1489</v>
      </c>
      <c r="F6" s="6"/>
      <c r="G6" s="6"/>
      <c r="H6" s="1861"/>
      <c r="I6" s="6"/>
      <c r="J6" s="6"/>
      <c r="K6" s="6"/>
      <c r="L6" s="6"/>
      <c r="M6" s="6"/>
      <c r="N6" s="6"/>
      <c r="O6" s="6"/>
      <c r="P6" s="6"/>
      <c r="Q6" s="6"/>
      <c r="R6" s="6"/>
      <c r="S6" s="6"/>
      <c r="T6" s="6"/>
      <c r="U6" s="6"/>
      <c r="V6" s="6"/>
      <c r="W6" s="6"/>
      <c r="X6" s="6"/>
      <c r="Y6" s="6"/>
      <c r="Z6" s="6"/>
      <c r="AA6" s="6"/>
      <c r="AB6" s="6"/>
      <c r="AC6" s="6"/>
      <c r="AD6" s="6"/>
      <c r="AE6" s="6"/>
    </row>
    <row r="7" spans="1:31" ht="16.2">
      <c r="A7" s="6"/>
      <c r="B7" s="2930" t="s">
        <v>1490</v>
      </c>
      <c r="C7" s="2863"/>
      <c r="D7" s="1862">
        <v>25</v>
      </c>
      <c r="E7" s="1863" t="s">
        <v>1491</v>
      </c>
      <c r="F7" s="6"/>
      <c r="G7" s="1862">
        <f>D7+273</f>
        <v>298</v>
      </c>
      <c r="H7" s="1864" t="s">
        <v>1492</v>
      </c>
      <c r="I7" s="6"/>
      <c r="J7" s="6"/>
      <c r="K7" s="6"/>
      <c r="L7" s="6"/>
      <c r="M7" s="6"/>
      <c r="N7" s="6"/>
      <c r="O7" s="6"/>
      <c r="P7" s="6"/>
      <c r="Q7" s="6"/>
      <c r="R7" s="6"/>
      <c r="S7" s="6"/>
      <c r="T7" s="6"/>
      <c r="U7" s="6"/>
      <c r="V7" s="6"/>
      <c r="W7" s="6"/>
      <c r="X7" s="6"/>
      <c r="Y7" s="6"/>
      <c r="Z7" s="6"/>
      <c r="AA7" s="6"/>
      <c r="AB7" s="6"/>
      <c r="AC7" s="6"/>
      <c r="AD7" s="6"/>
      <c r="AE7" s="6"/>
    </row>
    <row r="8" spans="1:31" ht="16.2">
      <c r="A8" s="6"/>
      <c r="B8" s="2930" t="s">
        <v>1493</v>
      </c>
      <c r="C8" s="2863"/>
      <c r="D8" s="6"/>
      <c r="E8" s="3"/>
      <c r="F8" s="6"/>
      <c r="G8" s="6"/>
      <c r="H8" s="1861"/>
      <c r="I8" s="6"/>
      <c r="J8" s="6"/>
      <c r="K8" s="6"/>
      <c r="L8" s="6"/>
      <c r="M8" s="6"/>
      <c r="N8" s="6"/>
      <c r="O8" s="6"/>
      <c r="P8" s="6"/>
      <c r="Q8" s="6"/>
      <c r="R8" s="6"/>
      <c r="S8" s="6"/>
      <c r="T8" s="6"/>
      <c r="U8" s="6"/>
      <c r="V8" s="6"/>
      <c r="W8" s="6"/>
      <c r="X8" s="6"/>
      <c r="Y8" s="6"/>
      <c r="Z8" s="6"/>
      <c r="AA8" s="6"/>
      <c r="AB8" s="6"/>
      <c r="AC8" s="6"/>
      <c r="AD8" s="6"/>
      <c r="AE8" s="6"/>
    </row>
    <row r="9" spans="1:31" ht="14.4">
      <c r="A9" s="6"/>
      <c r="B9" s="12" t="s">
        <v>1494</v>
      </c>
      <c r="C9" s="6"/>
      <c r="D9" s="6"/>
      <c r="E9" s="3"/>
      <c r="F9" s="6"/>
      <c r="G9" s="6"/>
      <c r="H9" s="1861"/>
      <c r="I9" s="6"/>
      <c r="J9" s="6"/>
      <c r="K9" s="6"/>
      <c r="L9" s="6"/>
      <c r="M9" s="6"/>
      <c r="N9" s="6"/>
      <c r="O9" s="6"/>
      <c r="P9" s="6"/>
      <c r="Q9" s="6"/>
      <c r="R9" s="6"/>
      <c r="S9" s="6"/>
      <c r="T9" s="6"/>
      <c r="U9" s="6"/>
      <c r="V9" s="6"/>
      <c r="W9" s="6"/>
      <c r="X9" s="6"/>
      <c r="Y9" s="6"/>
      <c r="Z9" s="6"/>
      <c r="AA9" s="6"/>
      <c r="AB9" s="6"/>
      <c r="AC9" s="6"/>
      <c r="AD9" s="6"/>
      <c r="AE9" s="6"/>
    </row>
    <row r="10" spans="1:31" ht="14.4">
      <c r="A10" s="6"/>
      <c r="B10" s="2930" t="s">
        <v>1495</v>
      </c>
      <c r="C10" s="2863"/>
      <c r="D10" s="6"/>
      <c r="E10" s="3"/>
      <c r="F10" s="6"/>
      <c r="G10" s="6"/>
      <c r="H10" s="1861"/>
      <c r="I10" s="6"/>
      <c r="J10" s="6"/>
      <c r="K10" s="6"/>
      <c r="L10" s="6"/>
      <c r="M10" s="6"/>
      <c r="N10" s="6"/>
      <c r="O10" s="6"/>
      <c r="P10" s="6"/>
      <c r="Q10" s="6"/>
      <c r="R10" s="6"/>
      <c r="S10" s="6"/>
      <c r="T10" s="6"/>
      <c r="U10" s="6"/>
      <c r="V10" s="6"/>
      <c r="W10" s="6"/>
      <c r="X10" s="6"/>
      <c r="Y10" s="6"/>
      <c r="Z10" s="6"/>
      <c r="AA10" s="6"/>
      <c r="AB10" s="6"/>
      <c r="AC10" s="6"/>
      <c r="AD10" s="6"/>
      <c r="AE10" s="6"/>
    </row>
    <row r="11" spans="1:31" ht="14.4">
      <c r="A11" s="6"/>
      <c r="B11" s="12" t="s">
        <v>1496</v>
      </c>
      <c r="C11" s="6"/>
      <c r="D11" s="1862">
        <v>1</v>
      </c>
      <c r="E11" s="3" t="s">
        <v>1497</v>
      </c>
      <c r="F11" s="6"/>
      <c r="G11" s="6"/>
      <c r="H11" s="1861"/>
      <c r="I11" s="6"/>
      <c r="J11" s="6"/>
      <c r="K11" s="6"/>
      <c r="L11" s="6"/>
      <c r="M11" s="6"/>
      <c r="N11" s="6"/>
      <c r="O11" s="6"/>
      <c r="P11" s="6"/>
      <c r="Q11" s="6"/>
      <c r="R11" s="6"/>
      <c r="S11" s="6"/>
      <c r="T11" s="6"/>
      <c r="U11" s="6"/>
      <c r="V11" s="6"/>
      <c r="W11" s="6"/>
      <c r="X11" s="6"/>
      <c r="Y11" s="6"/>
      <c r="Z11" s="6"/>
      <c r="AA11" s="6"/>
      <c r="AB11" s="6"/>
      <c r="AC11" s="6"/>
      <c r="AD11" s="6"/>
      <c r="AE11" s="6"/>
    </row>
    <row r="12" spans="1:31" ht="14.4">
      <c r="A12" s="6"/>
      <c r="B12" s="1865"/>
      <c r="C12" s="6"/>
      <c r="D12" s="6"/>
      <c r="E12" s="3"/>
      <c r="F12" s="6"/>
      <c r="G12" s="6"/>
      <c r="H12" s="1861"/>
      <c r="I12" s="6"/>
      <c r="J12" s="6"/>
      <c r="K12" s="6"/>
      <c r="L12" s="6"/>
      <c r="M12" s="6"/>
      <c r="N12" s="6"/>
      <c r="O12" s="6"/>
      <c r="P12" s="6"/>
      <c r="Q12" s="6"/>
      <c r="R12" s="6"/>
      <c r="S12" s="6"/>
      <c r="T12" s="6"/>
      <c r="U12" s="6"/>
      <c r="V12" s="6"/>
      <c r="W12" s="6"/>
      <c r="X12" s="6"/>
      <c r="Y12" s="6"/>
      <c r="Z12" s="6"/>
      <c r="AA12" s="6"/>
      <c r="AB12" s="6"/>
      <c r="AC12" s="6"/>
      <c r="AD12" s="6"/>
      <c r="AE12" s="6"/>
    </row>
    <row r="13" spans="1:31" ht="15" customHeight="1">
      <c r="A13" s="6"/>
      <c r="B13" s="1859" t="s">
        <v>1498</v>
      </c>
      <c r="C13" s="6"/>
      <c r="D13" s="1862">
        <v>1000</v>
      </c>
      <c r="E13" s="3" t="s">
        <v>458</v>
      </c>
      <c r="F13" s="6"/>
      <c r="G13" s="6"/>
      <c r="H13" s="1861"/>
      <c r="I13" s="6"/>
      <c r="J13" s="6"/>
      <c r="K13" s="6"/>
      <c r="L13" s="6"/>
      <c r="M13" s="6"/>
      <c r="N13" s="6"/>
      <c r="O13" s="6"/>
      <c r="P13" s="6"/>
      <c r="Q13" s="6"/>
      <c r="R13" s="6"/>
      <c r="S13" s="6"/>
      <c r="T13" s="6"/>
      <c r="U13" s="6"/>
      <c r="V13" s="6"/>
      <c r="W13" s="6"/>
      <c r="X13" s="6"/>
      <c r="Y13" s="6"/>
      <c r="Z13" s="6"/>
      <c r="AA13" s="6"/>
      <c r="AB13" s="6"/>
      <c r="AC13" s="6"/>
      <c r="AD13" s="6"/>
      <c r="AE13" s="6"/>
    </row>
    <row r="14" spans="1:31" ht="14.4">
      <c r="A14" s="6"/>
      <c r="B14" s="1865"/>
      <c r="C14" s="6"/>
      <c r="D14" s="1866"/>
      <c r="E14" s="3"/>
      <c r="F14" s="6"/>
      <c r="G14" s="6"/>
      <c r="H14" s="1861"/>
      <c r="I14" s="6"/>
      <c r="J14" s="6"/>
      <c r="K14" s="6"/>
      <c r="L14" s="6"/>
      <c r="M14" s="6"/>
      <c r="N14" s="6"/>
      <c r="O14" s="6"/>
      <c r="P14" s="6"/>
      <c r="Q14" s="6"/>
      <c r="R14" s="6"/>
      <c r="S14" s="6"/>
      <c r="T14" s="6"/>
      <c r="U14" s="6"/>
      <c r="V14" s="6"/>
      <c r="W14" s="6"/>
      <c r="X14" s="6"/>
      <c r="Y14" s="6"/>
      <c r="Z14" s="6"/>
      <c r="AA14" s="6"/>
      <c r="AB14" s="6"/>
      <c r="AC14" s="6"/>
      <c r="AD14" s="6"/>
      <c r="AE14" s="6"/>
    </row>
    <row r="15" spans="1:31" ht="15" customHeight="1">
      <c r="A15" s="6"/>
      <c r="B15" s="1859" t="s">
        <v>1499</v>
      </c>
      <c r="C15" s="6"/>
      <c r="D15" s="1867">
        <v>0.98</v>
      </c>
      <c r="E15" s="3"/>
      <c r="F15" s="6"/>
      <c r="G15" s="6"/>
      <c r="H15" s="1861"/>
      <c r="I15" s="6"/>
      <c r="J15" s="6"/>
      <c r="K15" s="6"/>
      <c r="L15" s="6"/>
      <c r="M15" s="6"/>
      <c r="N15" s="6"/>
      <c r="O15" s="6"/>
      <c r="P15" s="6"/>
      <c r="Q15" s="6"/>
      <c r="R15" s="6"/>
      <c r="S15" s="6"/>
      <c r="T15" s="6"/>
      <c r="U15" s="6"/>
      <c r="V15" s="6"/>
      <c r="W15" s="6"/>
      <c r="X15" s="6"/>
      <c r="Y15" s="6"/>
      <c r="Z15" s="6"/>
      <c r="AA15" s="6"/>
      <c r="AB15" s="6"/>
      <c r="AC15" s="6"/>
      <c r="AD15" s="6"/>
      <c r="AE15" s="6"/>
    </row>
    <row r="16" spans="1:31" ht="14.4">
      <c r="A16" s="6"/>
      <c r="B16" s="12" t="s">
        <v>1500</v>
      </c>
      <c r="C16" s="6"/>
      <c r="D16" s="1867">
        <v>0.998</v>
      </c>
      <c r="E16" s="3"/>
      <c r="F16" s="6"/>
      <c r="G16" s="6"/>
      <c r="H16" s="1861"/>
      <c r="I16" s="6"/>
      <c r="J16" s="6"/>
      <c r="K16" s="6"/>
      <c r="L16" s="6"/>
      <c r="M16" s="6"/>
      <c r="N16" s="6"/>
      <c r="O16" s="6"/>
      <c r="P16" s="6"/>
      <c r="Q16" s="6"/>
      <c r="R16" s="6"/>
      <c r="S16" s="6"/>
      <c r="T16" s="6"/>
      <c r="U16" s="6"/>
      <c r="V16" s="6"/>
      <c r="W16" s="6"/>
      <c r="X16" s="6"/>
      <c r="Y16" s="6"/>
      <c r="Z16" s="6"/>
      <c r="AA16" s="6"/>
      <c r="AB16" s="6"/>
      <c r="AC16" s="6"/>
      <c r="AD16" s="6"/>
      <c r="AE16" s="6"/>
    </row>
    <row r="17" spans="1:31" ht="14.4">
      <c r="A17" s="6"/>
      <c r="B17" s="12" t="s">
        <v>1501</v>
      </c>
      <c r="C17" s="6"/>
      <c r="D17" s="1867">
        <v>0.98199999999999998</v>
      </c>
      <c r="E17" s="3"/>
      <c r="F17" s="6"/>
      <c r="G17" s="6"/>
      <c r="H17" s="1861"/>
      <c r="I17" s="6"/>
      <c r="J17" s="6"/>
      <c r="K17" s="6"/>
      <c r="L17" s="6"/>
      <c r="M17" s="6"/>
      <c r="N17" s="6"/>
      <c r="O17" s="6"/>
      <c r="P17" s="6"/>
      <c r="Q17" s="6"/>
      <c r="R17" s="6"/>
      <c r="S17" s="6"/>
      <c r="T17" s="6"/>
      <c r="U17" s="6"/>
      <c r="V17" s="6"/>
      <c r="W17" s="6"/>
      <c r="X17" s="6"/>
      <c r="Y17" s="6"/>
      <c r="Z17" s="6"/>
      <c r="AA17" s="6"/>
      <c r="AB17" s="6"/>
      <c r="AC17" s="6"/>
      <c r="AD17" s="6"/>
      <c r="AE17" s="6"/>
    </row>
    <row r="18" spans="1:31" ht="14.4">
      <c r="A18" s="6"/>
      <c r="B18" s="1865"/>
      <c r="C18" s="6"/>
      <c r="D18" s="6"/>
      <c r="E18" s="3"/>
      <c r="F18" s="6"/>
      <c r="G18" s="6"/>
      <c r="H18" s="1861"/>
      <c r="I18" s="6"/>
      <c r="J18" s="6"/>
      <c r="K18" s="6"/>
      <c r="L18" s="6"/>
      <c r="M18" s="6"/>
      <c r="N18" s="6"/>
      <c r="O18" s="6"/>
      <c r="P18" s="6"/>
      <c r="Q18" s="6"/>
      <c r="R18" s="6"/>
      <c r="S18" s="6"/>
      <c r="T18" s="6"/>
      <c r="U18" s="6"/>
      <c r="V18" s="6"/>
      <c r="W18" s="6"/>
      <c r="X18" s="6"/>
      <c r="Y18" s="6"/>
      <c r="Z18" s="6"/>
      <c r="AA18" s="6"/>
      <c r="AB18" s="6"/>
      <c r="AC18" s="6"/>
      <c r="AD18" s="6"/>
      <c r="AE18" s="6"/>
    </row>
    <row r="19" spans="1:31" ht="15" customHeight="1">
      <c r="A19" s="6"/>
      <c r="B19" s="1868" t="s">
        <v>1502</v>
      </c>
      <c r="C19" s="108"/>
      <c r="D19" s="1869">
        <v>1.25</v>
      </c>
      <c r="E19" s="1870" t="s">
        <v>1503</v>
      </c>
      <c r="F19" s="108"/>
      <c r="G19" s="108"/>
      <c r="H19" s="1871"/>
      <c r="I19" s="6"/>
      <c r="J19" s="6"/>
      <c r="K19" s="6"/>
      <c r="L19" s="6"/>
      <c r="M19" s="6"/>
      <c r="N19" s="6"/>
      <c r="O19" s="6"/>
      <c r="P19" s="6"/>
      <c r="Q19" s="6"/>
      <c r="R19" s="6"/>
      <c r="S19" s="6"/>
      <c r="T19" s="6"/>
      <c r="U19" s="6"/>
      <c r="V19" s="6"/>
      <c r="W19" s="6"/>
      <c r="X19" s="6"/>
      <c r="Y19" s="6"/>
      <c r="Z19" s="6"/>
      <c r="AA19" s="6"/>
      <c r="AB19" s="6"/>
      <c r="AC19" s="6"/>
      <c r="AD19" s="6"/>
      <c r="AE19" s="6"/>
    </row>
    <row r="20" spans="1:31" ht="15" customHeight="1">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row>
    <row r="21" spans="1:31" ht="15" customHeight="1">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row>
    <row r="22" spans="1:31" ht="15" customHeight="1">
      <c r="A22" s="6"/>
      <c r="B22" s="6"/>
      <c r="C22" s="2924"/>
      <c r="D22" s="2863"/>
      <c r="E22" s="2863"/>
      <c r="F22" s="6"/>
      <c r="G22" s="6"/>
      <c r="H22" s="6"/>
      <c r="I22" s="2924"/>
      <c r="J22" s="2863"/>
      <c r="K22" s="2863"/>
      <c r="L22" s="6"/>
      <c r="M22" s="2924"/>
      <c r="N22" s="2863"/>
      <c r="O22" s="2863"/>
      <c r="P22" s="6"/>
      <c r="Q22" s="6"/>
      <c r="R22" s="6"/>
      <c r="S22" s="6"/>
      <c r="T22" s="6"/>
      <c r="U22" s="6"/>
      <c r="V22" s="6"/>
      <c r="W22" s="6"/>
      <c r="X22" s="6"/>
      <c r="Y22" s="6"/>
      <c r="Z22" s="6"/>
      <c r="AA22" s="6"/>
      <c r="AB22" s="6"/>
      <c r="AC22" s="6"/>
      <c r="AD22" s="6"/>
      <c r="AE22" s="6"/>
    </row>
    <row r="23" spans="1:31" ht="250.2">
      <c r="A23" s="6"/>
      <c r="B23" s="17"/>
      <c r="C23" s="2931" t="s">
        <v>1504</v>
      </c>
      <c r="D23" s="2868"/>
      <c r="E23" s="2869"/>
      <c r="F23" s="1872" t="s">
        <v>1505</v>
      </c>
      <c r="G23" s="1873" t="s">
        <v>1506</v>
      </c>
      <c r="H23" s="1873" t="s">
        <v>1507</v>
      </c>
      <c r="I23" s="2925" t="s">
        <v>1508</v>
      </c>
      <c r="J23" s="2868"/>
      <c r="K23" s="2869"/>
      <c r="L23" s="1874" t="s">
        <v>1509</v>
      </c>
      <c r="M23" s="2926" t="s">
        <v>1510</v>
      </c>
      <c r="N23" s="2868"/>
      <c r="O23" s="2869"/>
      <c r="P23" s="1875" t="s">
        <v>1511</v>
      </c>
      <c r="Q23" s="1876" t="s">
        <v>1512</v>
      </c>
      <c r="R23" s="1876" t="s">
        <v>1513</v>
      </c>
      <c r="S23" s="1877" t="s">
        <v>1514</v>
      </c>
      <c r="T23" s="1878" t="s">
        <v>1515</v>
      </c>
      <c r="U23" s="1879" t="s">
        <v>1516</v>
      </c>
      <c r="V23" s="1880" t="s">
        <v>1517</v>
      </c>
      <c r="W23" s="1881" t="s">
        <v>1518</v>
      </c>
      <c r="X23" s="1876" t="s">
        <v>1519</v>
      </c>
      <c r="Y23" s="1872" t="s">
        <v>1520</v>
      </c>
      <c r="Z23" s="1876" t="s">
        <v>1521</v>
      </c>
      <c r="AA23" s="6"/>
      <c r="AB23" s="6"/>
      <c r="AC23" s="6"/>
      <c r="AD23" s="6"/>
      <c r="AE23" s="6"/>
    </row>
    <row r="24" spans="1:31" ht="15.75" customHeight="1">
      <c r="A24" s="6"/>
      <c r="B24" s="1882"/>
      <c r="C24" s="1883" t="s">
        <v>1522</v>
      </c>
      <c r="D24" s="1884" t="s">
        <v>1523</v>
      </c>
      <c r="E24" s="1885" t="s">
        <v>1524</v>
      </c>
      <c r="F24" s="1882"/>
      <c r="G24" s="1882"/>
      <c r="H24" s="1882"/>
      <c r="I24" s="1883" t="s">
        <v>1522</v>
      </c>
      <c r="J24" s="1884" t="s">
        <v>1523</v>
      </c>
      <c r="K24" s="1885" t="s">
        <v>1524</v>
      </c>
      <c r="L24" s="1882"/>
      <c r="M24" s="1886" t="s">
        <v>1522</v>
      </c>
      <c r="N24" s="1887" t="s">
        <v>1523</v>
      </c>
      <c r="O24" s="1888" t="s">
        <v>1524</v>
      </c>
      <c r="P24" s="1882"/>
      <c r="Q24" s="1882"/>
      <c r="R24" s="1882"/>
      <c r="S24" s="1882"/>
      <c r="T24" s="1882"/>
      <c r="U24" s="1882"/>
      <c r="V24" s="1882"/>
      <c r="W24" s="1882"/>
      <c r="X24" s="1882"/>
      <c r="Y24" s="1882"/>
      <c r="Z24" s="1882"/>
      <c r="AA24" s="6"/>
      <c r="AB24" s="6"/>
      <c r="AC24" s="6"/>
      <c r="AD24" s="6"/>
      <c r="AE24" s="6"/>
    </row>
    <row r="25" spans="1:31" ht="15.75" customHeight="1">
      <c r="A25" s="6"/>
      <c r="B25" s="1889"/>
      <c r="C25" s="1889"/>
      <c r="D25" s="1889"/>
      <c r="E25" s="1889"/>
      <c r="F25" s="1890"/>
      <c r="G25" s="1891"/>
      <c r="H25" s="1891"/>
      <c r="I25" s="1892"/>
      <c r="J25" s="1892"/>
      <c r="K25" s="1892"/>
      <c r="L25" s="1892"/>
      <c r="M25" s="1893"/>
      <c r="N25" s="1893"/>
      <c r="O25" s="1893"/>
      <c r="P25" s="1894"/>
      <c r="Q25" s="1891"/>
      <c r="R25" s="1890"/>
      <c r="S25" s="1890"/>
      <c r="T25" s="1890"/>
      <c r="U25" s="1895"/>
      <c r="V25" s="1890"/>
      <c r="W25" s="1890"/>
      <c r="X25" s="1896"/>
      <c r="Y25" s="1897"/>
      <c r="Z25" s="1896"/>
      <c r="AA25" s="6"/>
      <c r="AB25" s="6"/>
      <c r="AC25" s="6"/>
      <c r="AD25" s="6"/>
      <c r="AE25" s="6"/>
    </row>
    <row r="26" spans="1:31" ht="15.75" customHeight="1">
      <c r="A26" s="6"/>
      <c r="B26" s="455" t="s">
        <v>1525</v>
      </c>
      <c r="C26" s="1898">
        <v>21.077999999999999</v>
      </c>
      <c r="D26" s="1898">
        <v>0</v>
      </c>
      <c r="E26" s="1898">
        <v>101.622</v>
      </c>
      <c r="F26" s="1899">
        <f>SUM(C26:E26)</f>
        <v>122.7</v>
      </c>
      <c r="G26" s="1900">
        <v>0.45</v>
      </c>
      <c r="H26" s="1900">
        <v>0.34499999999999997</v>
      </c>
      <c r="I26" s="560">
        <f>C26*G26</f>
        <v>9.4850999999999992</v>
      </c>
      <c r="J26" s="560">
        <f>D26*G26</f>
        <v>0</v>
      </c>
      <c r="K26" s="560">
        <f>E26*G26</f>
        <v>45.729900000000001</v>
      </c>
      <c r="L26" s="560">
        <f>SUM(I26:K26)</f>
        <v>55.215000000000003</v>
      </c>
      <c r="M26" s="1901">
        <f t="shared" ref="M26:O26" si="0">((I26*1000000)/35.31)*($D$5/($D$6*$G$7))*0.0000011023</f>
        <v>194.29508189945128</v>
      </c>
      <c r="N26" s="1901">
        <f t="shared" si="0"/>
        <v>0</v>
      </c>
      <c r="O26" s="1901">
        <f t="shared" si="0"/>
        <v>936.74232910077035</v>
      </c>
      <c r="P26" s="1902">
        <v>133.6</v>
      </c>
      <c r="Q26" s="1900">
        <f>L26/P26</f>
        <v>0.41328592814371262</v>
      </c>
      <c r="R26" s="1903">
        <f>((F26*H26*((1-Q26)/Q26)*1000000))/35.31</f>
        <v>1701930.5201548187</v>
      </c>
      <c r="S26" s="1903">
        <f>((R26*$D$4)/($D$6*$G$7))*0.00000110231</f>
        <v>3376.7747585519746</v>
      </c>
      <c r="T26" s="1903">
        <f t="shared" ref="T26:V26" si="1">2.75*M26</f>
        <v>534.31147522349102</v>
      </c>
      <c r="U26" s="1903">
        <f t="shared" si="1"/>
        <v>0</v>
      </c>
      <c r="V26" s="1903">
        <f t="shared" si="1"/>
        <v>2576.0414050271183</v>
      </c>
      <c r="W26" s="1903">
        <f>(((F26*G26)*((1-Q26)/Q26))*1000000/35.31)*($D$5/($D$6*$G$7))*0.0000011023</f>
        <v>1605.6572935117695</v>
      </c>
      <c r="X26" s="1904">
        <f>(((C26*G26)*(1-$D$15))*1000000/35.31)*($D$5/($D$6*$G$7))*0.0000011023</f>
        <v>3.8859016379890283</v>
      </c>
      <c r="Y26" s="1904">
        <f>(((D26*G26)*(1-$D$16))*1000000/35.31)*($D$5/($D$6*$G$7))*0.0000011023</f>
        <v>0</v>
      </c>
      <c r="Z26" s="1904">
        <f>(((E26*G26)*(1-0.972))*1000000/35.31)*($D$5/($D$6*$G$7))*0.0000011023</f>
        <v>26.228785214821588</v>
      </c>
      <c r="AA26" s="6"/>
      <c r="AB26" s="6"/>
      <c r="AC26" s="6"/>
      <c r="AD26" s="6"/>
      <c r="AE26" s="6"/>
    </row>
    <row r="27" spans="1:31" ht="15.75" customHeight="1">
      <c r="A27" s="6"/>
      <c r="B27" s="455"/>
      <c r="C27" s="1898"/>
      <c r="D27" s="1898"/>
      <c r="E27" s="1898"/>
      <c r="F27" s="1899"/>
      <c r="G27" s="1900"/>
      <c r="H27" s="1900"/>
      <c r="I27" s="560"/>
      <c r="J27" s="560"/>
      <c r="K27" s="560"/>
      <c r="L27" s="560"/>
      <c r="M27" s="1901"/>
      <c r="N27" s="1901"/>
      <c r="O27" s="1901"/>
      <c r="P27" s="1902"/>
      <c r="Q27" s="1900"/>
      <c r="R27" s="1903"/>
      <c r="S27" s="1903"/>
      <c r="T27" s="1903"/>
      <c r="U27" s="1903"/>
      <c r="V27" s="1903"/>
      <c r="W27" s="1903"/>
      <c r="X27" s="1904"/>
      <c r="Y27" s="1904"/>
      <c r="Z27" s="1904"/>
      <c r="AA27" s="6"/>
      <c r="AB27" s="6"/>
      <c r="AC27" s="6"/>
      <c r="AD27" s="6"/>
      <c r="AE27" s="6"/>
    </row>
    <row r="28" spans="1:31" ht="15.75" customHeight="1">
      <c r="A28" s="6"/>
      <c r="B28" s="455" t="s">
        <v>1526</v>
      </c>
      <c r="C28" s="1898">
        <v>154.71</v>
      </c>
      <c r="D28" s="1898">
        <f>2.366+239.83</f>
        <v>242.19600000000003</v>
      </c>
      <c r="E28" s="1898">
        <f>899.434</f>
        <v>899.43399999999997</v>
      </c>
      <c r="F28" s="1899">
        <f>SUM(C28:E28)</f>
        <v>1296.3400000000001</v>
      </c>
      <c r="G28" s="1900">
        <v>0.46800000000000003</v>
      </c>
      <c r="H28" s="1900">
        <v>0.36099999999999999</v>
      </c>
      <c r="I28" s="560">
        <f>C28*G28</f>
        <v>72.404280000000014</v>
      </c>
      <c r="J28" s="560">
        <f>D28*G28</f>
        <v>113.34772800000002</v>
      </c>
      <c r="K28" s="560">
        <f>E28*G28</f>
        <v>420.935112</v>
      </c>
      <c r="L28" s="560">
        <f>SUM(I28:K28)</f>
        <v>606.68712000000005</v>
      </c>
      <c r="M28" s="1901">
        <f t="shared" ref="M28:O28" si="2">((I28*1000000)/35.31)*($D$5/($D$6*$G$7))*0.0000011023</f>
        <v>1483.1467788922421</v>
      </c>
      <c r="N28" s="1901">
        <f t="shared" si="2"/>
        <v>2321.8422678597726</v>
      </c>
      <c r="O28" s="1901">
        <f t="shared" si="2"/>
        <v>8622.5366164188763</v>
      </c>
      <c r="P28" s="1902">
        <f>(229100000+681000000)/1000000</f>
        <v>910.1</v>
      </c>
      <c r="Q28" s="1900">
        <f>L28/P28</f>
        <v>0.66661588836391605</v>
      </c>
      <c r="R28" s="1903">
        <f>((F28*H28*((1-Q28)/Q28)*1000000))/35.31</f>
        <v>6628231.1298946803</v>
      </c>
      <c r="S28" s="1903">
        <f>((R28*$D$4)/($D$6*$G$7))*0.00000110231</f>
        <v>13150.973737306724</v>
      </c>
      <c r="T28" s="1903">
        <f t="shared" ref="T28:V28" si="3">2.75*M28</f>
        <v>4078.6536419536656</v>
      </c>
      <c r="U28" s="1903">
        <f t="shared" si="3"/>
        <v>6385.0662366143752</v>
      </c>
      <c r="V28" s="1903">
        <f t="shared" si="3"/>
        <v>23711.975695151908</v>
      </c>
      <c r="W28" s="1903">
        <f>(((F28*G28)*((1-Q28)/Q28))*1000000/35.31)*($D$5/($D$6*$G$7))*0.0000011023</f>
        <v>6215.1827992270382</v>
      </c>
      <c r="X28" s="1904">
        <f>(((C28*G28)*(1-$D$15))*1000000/35.31)*($D$5/($D$6*$G$7))*0.0000011023</f>
        <v>29.662935577844866</v>
      </c>
      <c r="Y28" s="1904">
        <f>(((D28*G28)*(1-$D$16))*1000000/35.31)*($D$5/($D$6*$G$7))*0.0000011023</f>
        <v>4.6436845357195491</v>
      </c>
      <c r="Z28" s="1904">
        <f>(((E28*G28)*(1-0.972))*1000000/35.31)*($D$5/($D$6*$G$7))*0.0000011023</f>
        <v>241.43102525972876</v>
      </c>
      <c r="AA28" s="6"/>
      <c r="AB28" s="6"/>
      <c r="AC28" s="6"/>
      <c r="AD28" s="6"/>
      <c r="AE28" s="6"/>
    </row>
    <row r="29" spans="1:31" ht="15.75" customHeight="1">
      <c r="A29" s="6"/>
      <c r="B29" s="455"/>
      <c r="C29" s="1898"/>
      <c r="D29" s="1898"/>
      <c r="E29" s="1898"/>
      <c r="F29" s="1899"/>
      <c r="G29" s="1900"/>
      <c r="H29" s="1900"/>
      <c r="I29" s="560"/>
      <c r="J29" s="560"/>
      <c r="K29" s="560"/>
      <c r="L29" s="560"/>
      <c r="M29" s="1901"/>
      <c r="N29" s="1901"/>
      <c r="O29" s="1901"/>
      <c r="P29" s="1902"/>
      <c r="Q29" s="1900"/>
      <c r="R29" s="1903"/>
      <c r="S29" s="1903"/>
      <c r="T29" s="1903"/>
      <c r="U29" s="1903"/>
      <c r="V29" s="1903"/>
      <c r="W29" s="1903"/>
      <c r="X29" s="1904"/>
      <c r="Y29" s="1904"/>
      <c r="Z29" s="1904"/>
      <c r="AA29" s="6"/>
      <c r="AB29" s="6"/>
      <c r="AC29" s="6"/>
      <c r="AD29" s="6"/>
      <c r="AE29" s="6"/>
    </row>
    <row r="30" spans="1:31" ht="15.75" customHeight="1">
      <c r="A30" s="6"/>
      <c r="B30" s="455" t="s">
        <v>1527</v>
      </c>
      <c r="C30" s="1898">
        <v>161.58000000000001</v>
      </c>
      <c r="D30" s="1898">
        <v>0</v>
      </c>
      <c r="E30" s="1898">
        <v>263.84899999999999</v>
      </c>
      <c r="F30" s="1899">
        <f>SUM(C30:E30)</f>
        <v>425.42899999999997</v>
      </c>
      <c r="G30" s="1900">
        <v>0.59</v>
      </c>
      <c r="H30" s="1900">
        <v>0.49</v>
      </c>
      <c r="I30" s="560">
        <f>C30*G30</f>
        <v>95.3322</v>
      </c>
      <c r="J30" s="560">
        <f>D30*G30</f>
        <v>0</v>
      </c>
      <c r="K30" s="560">
        <f>E30*G30</f>
        <v>155.67090999999999</v>
      </c>
      <c r="L30" s="560">
        <f>SUM(I30:K30)</f>
        <v>251.00310999999999</v>
      </c>
      <c r="M30" s="1901">
        <f t="shared" ref="M30:O30" si="4">((I30*1000000)/35.31)*($D$5/($D$6*$G$7))*0.0000011023</f>
        <v>1952.8078361487881</v>
      </c>
      <c r="N30" s="1901">
        <f t="shared" si="4"/>
        <v>0</v>
      </c>
      <c r="O30" s="1901">
        <f t="shared" si="4"/>
        <v>3188.8005617033141</v>
      </c>
      <c r="P30" s="1902">
        <f>393000000/1000000</f>
        <v>393</v>
      </c>
      <c r="Q30" s="1900">
        <f>L30/P30</f>
        <v>0.63868475826972004</v>
      </c>
      <c r="R30" s="1903">
        <f>((F30*H30*((1-Q30)/Q30)*1000000))/35.31</f>
        <v>3339836.3213954857</v>
      </c>
      <c r="S30" s="1903">
        <f>((R30*$D$4)/($D$6*$G$7))*0.00000110231</f>
        <v>6626.5190348413553</v>
      </c>
      <c r="T30" s="1903">
        <f t="shared" ref="T30:V30" si="5">2.75*M30</f>
        <v>5370.221549409167</v>
      </c>
      <c r="U30" s="1903">
        <f t="shared" si="5"/>
        <v>0</v>
      </c>
      <c r="V30" s="1903">
        <f t="shared" si="5"/>
        <v>8769.2015446841142</v>
      </c>
      <c r="W30" s="1903">
        <f>(((F30*G30)*((1-Q30)/Q30))*1000000/35.31)*($D$5/($D$6*$G$7))*0.0000011023</f>
        <v>2908.6986296420037</v>
      </c>
      <c r="X30" s="1904">
        <f>(((C30*G30)*(1-$D$15))*1000000/35.31)*($D$5/($D$6*$G$7))*0.0000011023</f>
        <v>39.056156722975793</v>
      </c>
      <c r="Y30" s="1904">
        <f>(((D30*G30)*(1-$D$16))*1000000/35.31)*($D$5/($D$6*$G$7))*0.0000011023</f>
        <v>0</v>
      </c>
      <c r="Z30" s="1904">
        <f>(((E30*G30)*(1-0.982))*1000000/35.31)*($D$5/($D$6*$G$7))*0.0000011023</f>
        <v>57.398410110659704</v>
      </c>
      <c r="AA30" s="6"/>
      <c r="AB30" s="6"/>
      <c r="AC30" s="6"/>
      <c r="AD30" s="6"/>
      <c r="AE30" s="6"/>
    </row>
    <row r="31" spans="1:31" ht="15.75" customHeight="1">
      <c r="A31" s="6"/>
      <c r="B31" s="455"/>
      <c r="C31" s="1898"/>
      <c r="D31" s="1898"/>
      <c r="E31" s="1898"/>
      <c r="F31" s="1899"/>
      <c r="G31" s="1900"/>
      <c r="H31" s="1900"/>
      <c r="I31" s="560"/>
      <c r="J31" s="560"/>
      <c r="K31" s="560"/>
      <c r="L31" s="560"/>
      <c r="M31" s="1901"/>
      <c r="N31" s="1901"/>
      <c r="O31" s="1901"/>
      <c r="P31" s="1902"/>
      <c r="Q31" s="1900"/>
      <c r="R31" s="1903"/>
      <c r="S31" s="1903"/>
      <c r="T31" s="1903"/>
      <c r="U31" s="1903"/>
      <c r="V31" s="1903"/>
      <c r="W31" s="1903"/>
      <c r="X31" s="1904"/>
      <c r="Y31" s="1904"/>
      <c r="Z31" s="1904"/>
      <c r="AA31" s="6"/>
      <c r="AB31" s="6"/>
      <c r="AC31" s="6"/>
      <c r="AD31" s="6"/>
      <c r="AE31" s="6"/>
    </row>
    <row r="32" spans="1:31" ht="15.75" customHeight="1">
      <c r="A32" s="6"/>
      <c r="B32" s="455" t="s">
        <v>1528</v>
      </c>
      <c r="C32" s="1898">
        <v>196.2</v>
      </c>
      <c r="D32" s="1898">
        <v>0</v>
      </c>
      <c r="E32" s="1898">
        <v>72.3</v>
      </c>
      <c r="F32" s="1899">
        <f>SUM(C32:E32)</f>
        <v>268.5</v>
      </c>
      <c r="G32" s="1900">
        <v>0.39860000000000001</v>
      </c>
      <c r="H32" s="1900">
        <v>0.29099999999999998</v>
      </c>
      <c r="I32" s="560">
        <f>C32*G32</f>
        <v>78.20532</v>
      </c>
      <c r="J32" s="560">
        <f>D32*G32</f>
        <v>0</v>
      </c>
      <c r="K32" s="560">
        <f>E32*G32</f>
        <v>28.81878</v>
      </c>
      <c r="L32" s="560">
        <f>SUM(I32:K32)</f>
        <v>107.0241</v>
      </c>
      <c r="M32" s="1901">
        <f t="shared" ref="M32:O32" si="6">((I32*1000000)/35.31)*($D$5/($D$6*$G$7))*0.0000011023</f>
        <v>1601.9766849451025</v>
      </c>
      <c r="N32" s="1901">
        <f t="shared" si="6"/>
        <v>0</v>
      </c>
      <c r="O32" s="1901">
        <f t="shared" si="6"/>
        <v>590.33085790790483</v>
      </c>
      <c r="P32" s="1902">
        <f>113000000/1000000</f>
        <v>113</v>
      </c>
      <c r="Q32" s="1900">
        <f>L32/P32</f>
        <v>0.94711592920353982</v>
      </c>
      <c r="R32" s="1903">
        <f>((F32*H32*((1-Q32)/Q32)*1000000))/35.31</f>
        <v>123555.27694424114</v>
      </c>
      <c r="S32" s="1903">
        <f>((R32*$D$4)/($D$6*$G$7))*0.00000110231</f>
        <v>245.14416747944526</v>
      </c>
      <c r="T32" s="1903">
        <f t="shared" ref="T32:V32" si="7">2.75*M32</f>
        <v>4405.4358835990315</v>
      </c>
      <c r="U32" s="1903">
        <f t="shared" si="7"/>
        <v>0</v>
      </c>
      <c r="V32" s="1903">
        <f t="shared" si="7"/>
        <v>1623.4098592467383</v>
      </c>
      <c r="W32" s="1903">
        <f>(((F32*G32)*((1-Q32)/Q32))*1000000/35.31)*($D$5/($D$6*$G$7))*0.0000011023</f>
        <v>122.41178057405098</v>
      </c>
      <c r="X32" s="1904">
        <f>(((C32*G32)*(1-$D$15))*1000000/35.31)*($D$5/($D$6*$G$7))*0.0000011023</f>
        <v>32.039533698902083</v>
      </c>
      <c r="Y32" s="1904">
        <f>(((D32*G32)*(1-$D$16))*1000000/35.31)*($D$5/($D$6*$G$7))*0.0000011023</f>
        <v>0</v>
      </c>
      <c r="Z32" s="1904">
        <f>(((E32*G32)*(1-0.972))*1000000/35.31)*($D$5/($D$6*$G$7))*0.0000011023</f>
        <v>16.529264021421348</v>
      </c>
      <c r="AA32" s="6"/>
      <c r="AB32" s="6"/>
      <c r="AC32" s="6"/>
      <c r="AD32" s="6"/>
      <c r="AE32" s="6"/>
    </row>
    <row r="33" spans="1:31" ht="15.75" customHeight="1">
      <c r="A33" s="6"/>
      <c r="B33" s="455"/>
      <c r="C33" s="1898"/>
      <c r="D33" s="1898"/>
      <c r="E33" s="1898"/>
      <c r="F33" s="1899"/>
      <c r="G33" s="1900"/>
      <c r="H33" s="1900"/>
      <c r="I33" s="560"/>
      <c r="J33" s="560"/>
      <c r="K33" s="560"/>
      <c r="L33" s="560"/>
      <c r="M33" s="1901"/>
      <c r="N33" s="1901"/>
      <c r="O33" s="1901"/>
      <c r="P33" s="1902"/>
      <c r="Q33" s="1900"/>
      <c r="R33" s="1903"/>
      <c r="S33" s="1903"/>
      <c r="T33" s="1903"/>
      <c r="U33" s="1903"/>
      <c r="V33" s="1903"/>
      <c r="W33" s="1903"/>
      <c r="X33" s="1904"/>
      <c r="Y33" s="1904"/>
      <c r="Z33" s="1904"/>
      <c r="AA33" s="6"/>
      <c r="AB33" s="6"/>
      <c r="AC33" s="6"/>
      <c r="AD33" s="6"/>
      <c r="AE33" s="6"/>
    </row>
    <row r="34" spans="1:31" ht="15.75" customHeight="1">
      <c r="A34" s="6"/>
      <c r="B34" s="455" t="s">
        <v>1529</v>
      </c>
      <c r="C34" s="1898">
        <v>0</v>
      </c>
      <c r="D34" s="1898">
        <v>0</v>
      </c>
      <c r="E34" s="560">
        <f>191538359/1000000</f>
        <v>191.53835900000001</v>
      </c>
      <c r="F34" s="1899">
        <f>SUM(C34:E34)</f>
        <v>191.53835900000001</v>
      </c>
      <c r="G34" s="1900">
        <v>0.53100000000000003</v>
      </c>
      <c r="H34" s="1900">
        <v>0.5</v>
      </c>
      <c r="I34" s="560">
        <f>C34*G34</f>
        <v>0</v>
      </c>
      <c r="J34" s="560">
        <f>D34*G34</f>
        <v>0</v>
      </c>
      <c r="K34" s="560">
        <f>E34*G34</f>
        <v>101.70686862900001</v>
      </c>
      <c r="L34" s="560">
        <f>SUM(I34:K34)</f>
        <v>101.70686862900001</v>
      </c>
      <c r="M34" s="1901">
        <f t="shared" ref="M34:O34" si="8">((I34*1000000)/35.31)*($D$5/($D$6*$G$7))*0.0000011023</f>
        <v>0</v>
      </c>
      <c r="N34" s="1901">
        <f t="shared" si="8"/>
        <v>0</v>
      </c>
      <c r="O34" s="1901">
        <f t="shared" si="8"/>
        <v>2083.3880897416248</v>
      </c>
      <c r="P34" s="1902">
        <f>158600000/1000000</f>
        <v>158.6</v>
      </c>
      <c r="Q34" s="1900">
        <f>L34/P34</f>
        <v>0.64127912124211861</v>
      </c>
      <c r="R34" s="1903">
        <f>((F34*H34*((1-Q34)/Q34)*1000000))/35.31</f>
        <v>1517181.7272732602</v>
      </c>
      <c r="S34" s="1903">
        <f>((R34*$D$4)/($D$6*$G$7))*0.00000110231</f>
        <v>3010.2174560725271</v>
      </c>
      <c r="T34" s="1903">
        <f t="shared" ref="T34:V34" si="9">2.75*M34</f>
        <v>0</v>
      </c>
      <c r="U34" s="1903">
        <f t="shared" si="9"/>
        <v>0</v>
      </c>
      <c r="V34" s="1903">
        <f t="shared" si="9"/>
        <v>5729.3172467894683</v>
      </c>
      <c r="W34" s="1903">
        <f>(((F34*G34)*((1-Q34)/Q34))*1000000/35.31)*($D$5/($D$6*$G$7))*0.0000011023</f>
        <v>1165.4126597763529</v>
      </c>
      <c r="X34" s="1904">
        <f>(((C34*G34)*(1-$D$15))*1000000/35.31)*($D$5/($D$6*$G$7))*0.0000011023</f>
        <v>0</v>
      </c>
      <c r="Y34" s="1904">
        <f>(((D34*G34)*(1-$D$16))*1000000/35.31)*($D$5/($D$6*$G$7))*0.0000011023</f>
        <v>0</v>
      </c>
      <c r="Z34" s="1904">
        <f>(((E34*G34)*(1-0.98))*1000000/35.31)*($D$5/($D$6*$G$7))*0.0000011023</f>
        <v>41.667761794832543</v>
      </c>
      <c r="AA34" s="6"/>
      <c r="AB34" s="6"/>
      <c r="AC34" s="6"/>
      <c r="AD34" s="6"/>
      <c r="AE34" s="6"/>
    </row>
    <row r="35" spans="1:31" ht="15.75" customHeight="1">
      <c r="A35" s="6"/>
      <c r="B35" s="455"/>
      <c r="C35" s="1898"/>
      <c r="D35" s="1898"/>
      <c r="E35" s="1898"/>
      <c r="F35" s="1899"/>
      <c r="G35" s="1900"/>
      <c r="H35" s="1900"/>
      <c r="I35" s="560"/>
      <c r="J35" s="560"/>
      <c r="K35" s="560"/>
      <c r="L35" s="560"/>
      <c r="M35" s="1901"/>
      <c r="N35" s="1901"/>
      <c r="O35" s="1901"/>
      <c r="P35" s="1902"/>
      <c r="Q35" s="1900"/>
      <c r="R35" s="1903"/>
      <c r="S35" s="1903"/>
      <c r="T35" s="1903"/>
      <c r="U35" s="1903"/>
      <c r="V35" s="1903"/>
      <c r="W35" s="1903"/>
      <c r="X35" s="1904"/>
      <c r="Y35" s="1904"/>
      <c r="Z35" s="1904"/>
      <c r="AA35" s="6"/>
      <c r="AB35" s="6"/>
      <c r="AC35" s="6"/>
      <c r="AD35" s="6"/>
      <c r="AE35" s="6"/>
    </row>
    <row r="36" spans="1:31" ht="15.75" customHeight="1">
      <c r="A36" s="6"/>
      <c r="B36" s="455" t="s">
        <v>1530</v>
      </c>
      <c r="C36" s="1898">
        <f>0.837+12.069</f>
        <v>12.906000000000001</v>
      </c>
      <c r="D36" s="1898">
        <v>0</v>
      </c>
      <c r="E36" s="1898">
        <f>680.831</f>
        <v>680.83100000000002</v>
      </c>
      <c r="F36" s="1899">
        <f>SUM(C36:E36)</f>
        <v>693.73699999999997</v>
      </c>
      <c r="G36" s="1900">
        <v>0.45700000000000002</v>
      </c>
      <c r="H36" s="1900">
        <v>0.371</v>
      </c>
      <c r="I36" s="560">
        <f>C36*G36</f>
        <v>5.8980420000000002</v>
      </c>
      <c r="J36" s="560">
        <f>D36*G36</f>
        <v>0</v>
      </c>
      <c r="K36" s="560">
        <f>E36*G36</f>
        <v>311.13976700000001</v>
      </c>
      <c r="L36" s="560">
        <f>SUM(I36:K36)</f>
        <v>317.03780899999998</v>
      </c>
      <c r="M36" s="1901">
        <f t="shared" ref="M36:O36" si="10">((I36*1000000)/35.31)*($D$5/($D$6*$G$7))*0.0000011023</f>
        <v>120.81691847596792</v>
      </c>
      <c r="N36" s="1901">
        <f t="shared" si="10"/>
        <v>0</v>
      </c>
      <c r="O36" s="1901">
        <f t="shared" si="10"/>
        <v>6373.4622208981646</v>
      </c>
      <c r="P36" s="1902">
        <f>410000000/1000000</f>
        <v>410</v>
      </c>
      <c r="Q36" s="1900">
        <f>L36/P36</f>
        <v>0.77326294878048774</v>
      </c>
      <c r="R36" s="1903">
        <f>((F36*H36*((1-Q36)/Q36)*1000000))/35.31</f>
        <v>2137304.2183424463</v>
      </c>
      <c r="S36" s="1903">
        <f>((R36*$D$4)/($D$6*$G$7))*0.00000110231</f>
        <v>4240.5931678038824</v>
      </c>
      <c r="T36" s="1903">
        <f t="shared" ref="T36:V36" si="11">2.75*M36</f>
        <v>332.24652580891177</v>
      </c>
      <c r="U36" s="1903">
        <f t="shared" si="11"/>
        <v>0</v>
      </c>
      <c r="V36" s="1903">
        <f t="shared" si="11"/>
        <v>17527.021107469951</v>
      </c>
      <c r="W36" s="1903">
        <f>(((F36*G36)*((1-Q36)/Q36))*1000000/35.31)*($D$5/($D$6*$G$7))*0.0000011023</f>
        <v>1904.2599987240449</v>
      </c>
      <c r="X36" s="1904">
        <f>(((C36*G36)*(1-$D$15))*1000000/35.31)*($D$5/($D$6*$G$7))*0.0000011023</f>
        <v>2.416338369519361</v>
      </c>
      <c r="Y36" s="1904">
        <f>(((D36*G36)*(1-$D$16))*1000000/35.31)*($D$5/($D$6*$G$7))*0.0000011023</f>
        <v>0</v>
      </c>
      <c r="Z36" s="1904">
        <f>(((E36*G36)*(1-0.982))*1000000/35.31)*($D$5/($D$6*$G$7))*0.0000011023</f>
        <v>114.72231997616707</v>
      </c>
      <c r="AA36" s="6"/>
      <c r="AB36" s="6"/>
      <c r="AC36" s="6"/>
      <c r="AD36" s="6"/>
      <c r="AE36" s="6"/>
    </row>
    <row r="37" spans="1:31" ht="15.75" customHeight="1">
      <c r="A37" s="6"/>
      <c r="B37" s="455"/>
      <c r="C37" s="1898"/>
      <c r="D37" s="1898"/>
      <c r="E37" s="1898"/>
      <c r="F37" s="1899"/>
      <c r="G37" s="1900"/>
      <c r="H37" s="1900"/>
      <c r="I37" s="560"/>
      <c r="J37" s="560"/>
      <c r="K37" s="560"/>
      <c r="L37" s="560"/>
      <c r="M37" s="1901"/>
      <c r="N37" s="1901"/>
      <c r="O37" s="1901"/>
      <c r="P37" s="1902"/>
      <c r="Q37" s="1900"/>
      <c r="R37" s="1903"/>
      <c r="S37" s="1903"/>
      <c r="T37" s="1903"/>
      <c r="U37" s="1903"/>
      <c r="V37" s="1903"/>
      <c r="W37" s="1903"/>
      <c r="X37" s="1904"/>
      <c r="Y37" s="1904"/>
      <c r="Z37" s="1904"/>
      <c r="AA37" s="6"/>
      <c r="AB37" s="6"/>
      <c r="AC37" s="6"/>
      <c r="AD37" s="6"/>
      <c r="AE37" s="6"/>
    </row>
    <row r="38" spans="1:31" ht="15.75" customHeight="1">
      <c r="A38" s="6"/>
      <c r="B38" s="455" t="s">
        <v>1440</v>
      </c>
      <c r="C38" s="1898">
        <f>21.55</f>
        <v>21.55</v>
      </c>
      <c r="D38" s="1898">
        <v>0</v>
      </c>
      <c r="E38" s="1898">
        <f>200.9+300.29</f>
        <v>501.19000000000005</v>
      </c>
      <c r="F38" s="1899">
        <f>SUM(C38:E38)</f>
        <v>522.74</v>
      </c>
      <c r="G38" s="1900">
        <v>0.38850000000000001</v>
      </c>
      <c r="H38" s="1900">
        <v>0.32640000000000002</v>
      </c>
      <c r="I38" s="560">
        <f>C38*G38</f>
        <v>8.3721750000000004</v>
      </c>
      <c r="J38" s="560">
        <f>D38*G38</f>
        <v>0</v>
      </c>
      <c r="K38" s="560">
        <f>E38*G38</f>
        <v>194.71231500000002</v>
      </c>
      <c r="L38" s="560">
        <f>SUM(I38:K38)</f>
        <v>203.08449000000002</v>
      </c>
      <c r="M38" s="1901">
        <f t="shared" ref="M38:O38" si="12">((I38*1000000)/35.31)*($D$5/($D$6*$G$7))*0.0000011023</f>
        <v>171.49765709391977</v>
      </c>
      <c r="N38" s="1901">
        <f t="shared" si="12"/>
        <v>0</v>
      </c>
      <c r="O38" s="1901">
        <f t="shared" si="12"/>
        <v>3988.5341419443926</v>
      </c>
      <c r="P38" s="1898">
        <f>218000000/1000000</f>
        <v>218</v>
      </c>
      <c r="Q38" s="1900">
        <f>L38/P38</f>
        <v>0.93158022935779827</v>
      </c>
      <c r="R38" s="1903">
        <f>((F38*H38*((1-Q38)/Q38)*1000000))/35.31</f>
        <v>354894.7027376928</v>
      </c>
      <c r="S38" s="1903">
        <f>((R38*$D$4)/($D$6*$G$7))*0.00000110231</f>
        <v>704.14124428500963</v>
      </c>
      <c r="T38" s="1903">
        <f t="shared" ref="T38:V38" si="13">2.75*M38</f>
        <v>471.61855700827937</v>
      </c>
      <c r="U38" s="1903">
        <f t="shared" si="13"/>
        <v>0</v>
      </c>
      <c r="V38" s="1903">
        <f t="shared" si="13"/>
        <v>10968.46889034708</v>
      </c>
      <c r="W38" s="1903">
        <f>(((F38*G38)*((1-Q38)/Q38))*1000000/35.31)*($D$5/($D$6*$G$7))*0.0000011023</f>
        <v>305.53291341388905</v>
      </c>
      <c r="X38" s="1904">
        <f>(((C38*G38)*(1-$D$15))*1000000/35.31)*($D$5/($D$6*$G$7))*0.0000011023</f>
        <v>3.4299531418783991</v>
      </c>
      <c r="Y38" s="1904">
        <f>(((D38*G38)*(1-$D$16))*1000000/35.31)*($D$5/($D$6*$G$7))*0.0000011023</f>
        <v>0</v>
      </c>
      <c r="Z38" s="1904">
        <f>(((E38*G38)*(1-0.972))*1000000/35.31)*($D$5/($D$6*$G$7))*0.0000011023</f>
        <v>111.67895597444308</v>
      </c>
      <c r="AA38" s="6"/>
      <c r="AB38" s="6"/>
      <c r="AC38" s="6"/>
      <c r="AD38" s="6"/>
      <c r="AE38" s="6"/>
    </row>
    <row r="39" spans="1:31" ht="15.75" customHeight="1">
      <c r="A39" s="6"/>
      <c r="B39" s="455"/>
      <c r="C39" s="1898"/>
      <c r="D39" s="1898"/>
      <c r="E39" s="1898"/>
      <c r="F39" s="1899"/>
      <c r="G39" s="1900"/>
      <c r="H39" s="1900"/>
      <c r="I39" s="560"/>
      <c r="J39" s="560"/>
      <c r="K39" s="560"/>
      <c r="L39" s="560"/>
      <c r="M39" s="1901"/>
      <c r="N39" s="1901"/>
      <c r="O39" s="1901"/>
      <c r="P39" s="1902"/>
      <c r="Q39" s="1900"/>
      <c r="R39" s="1903"/>
      <c r="S39" s="1903"/>
      <c r="T39" s="1903"/>
      <c r="U39" s="1903"/>
      <c r="V39" s="1903"/>
      <c r="W39" s="1903"/>
      <c r="X39" s="1904"/>
      <c r="Y39" s="1904"/>
      <c r="Z39" s="1904"/>
      <c r="AA39" s="6"/>
      <c r="AB39" s="6"/>
      <c r="AC39" s="6"/>
      <c r="AD39" s="6"/>
      <c r="AE39" s="6"/>
    </row>
    <row r="40" spans="1:31" ht="15.75" customHeight="1">
      <c r="A40" s="6"/>
      <c r="B40" s="455" t="s">
        <v>1531</v>
      </c>
      <c r="C40" s="1898">
        <f>31.778</f>
        <v>31.777999999999999</v>
      </c>
      <c r="D40" s="1898">
        <v>0</v>
      </c>
      <c r="E40" s="1898">
        <f>213.084</f>
        <v>213.084</v>
      </c>
      <c r="F40" s="1899">
        <f>SUM(C40:E40)</f>
        <v>244.86199999999999</v>
      </c>
      <c r="G40" s="1900">
        <v>0.5</v>
      </c>
      <c r="H40" s="1900">
        <v>0.5</v>
      </c>
      <c r="I40" s="560">
        <f>C40*G40</f>
        <v>15.888999999999999</v>
      </c>
      <c r="J40" s="560">
        <f>D40*G40</f>
        <v>0</v>
      </c>
      <c r="K40" s="560">
        <f>E40*G40</f>
        <v>106.542</v>
      </c>
      <c r="L40" s="560">
        <f>SUM(I40:K40)</f>
        <v>122.431</v>
      </c>
      <c r="M40" s="1901">
        <f t="shared" ref="M40:O40" si="14">((I40*1000000)/35.31)*($D$5/($D$6*$G$7))*0.0000011023</f>
        <v>325.47411796400473</v>
      </c>
      <c r="N40" s="1901">
        <f t="shared" si="14"/>
        <v>0</v>
      </c>
      <c r="O40" s="1901">
        <f t="shared" si="14"/>
        <v>2182.432089881112</v>
      </c>
      <c r="P40" s="1898">
        <f>223700000/1000000</f>
        <v>223.7</v>
      </c>
      <c r="Q40" s="1900">
        <f>L40/P40</f>
        <v>0.54729995529727316</v>
      </c>
      <c r="R40" s="1903">
        <f>((F40*H40*((1-Q40)/Q40)*1000000))/35.31</f>
        <v>2867997.7343528736</v>
      </c>
      <c r="S40" s="1903">
        <f>((R40*$D$4)/($D$6*$G$7))*0.00000110231</f>
        <v>5690.3511878182089</v>
      </c>
      <c r="T40" s="1903">
        <f t="shared" ref="T40:V40" si="15">2.75*M40</f>
        <v>895.053824401013</v>
      </c>
      <c r="U40" s="1903">
        <f t="shared" si="15"/>
        <v>0</v>
      </c>
      <c r="V40" s="1903">
        <f t="shared" si="15"/>
        <v>6001.6882471730578</v>
      </c>
      <c r="W40" s="1903">
        <f>(((F40*G40)*((1-Q40)/Q40))*1000000/35.31)*($D$5/($D$6*$G$7))*0.0000011023</f>
        <v>2074.4186828684492</v>
      </c>
      <c r="X40" s="1904">
        <f>(((C40*G40)*(1-$D$15))*1000000/35.31)*($D$5/($D$6*$G$7))*0.0000011023</f>
        <v>6.5094823592801001</v>
      </c>
      <c r="Y40" s="1904">
        <f>(((D40*G40)*(1-$D$16))*1000000/35.31)*($D$5/($D$6*$G$7))*0.0000011023</f>
        <v>0</v>
      </c>
      <c r="Z40" s="1904">
        <f>(((E40*G40)*(1-0.982))*1000000/35.31)*($D$5/($D$6*$G$7))*0.0000011023</f>
        <v>39.283777617860054</v>
      </c>
      <c r="AA40" s="6"/>
      <c r="AB40" s="6"/>
      <c r="AC40" s="6"/>
      <c r="AD40" s="6"/>
      <c r="AE40" s="6"/>
    </row>
    <row r="41" spans="1:31" ht="15.75" customHeight="1">
      <c r="A41" s="6"/>
      <c r="B41" s="455"/>
      <c r="C41" s="1898"/>
      <c r="D41" s="1898"/>
      <c r="E41" s="1898"/>
      <c r="F41" s="1899"/>
      <c r="G41" s="1900"/>
      <c r="H41" s="1900"/>
      <c r="I41" s="560"/>
      <c r="J41" s="560"/>
      <c r="K41" s="560"/>
      <c r="L41" s="560"/>
      <c r="M41" s="1901"/>
      <c r="N41" s="1901"/>
      <c r="O41" s="1901"/>
      <c r="P41" s="1902"/>
      <c r="Q41" s="1900"/>
      <c r="R41" s="1903"/>
      <c r="S41" s="1903"/>
      <c r="T41" s="1903"/>
      <c r="U41" s="1903"/>
      <c r="V41" s="1903"/>
      <c r="W41" s="1903"/>
      <c r="X41" s="1904"/>
      <c r="Y41" s="1904"/>
      <c r="Z41" s="1904"/>
      <c r="AA41" s="6"/>
      <c r="AB41" s="6"/>
      <c r="AC41" s="6"/>
      <c r="AD41" s="6"/>
      <c r="AE41" s="6"/>
    </row>
    <row r="42" spans="1:31" ht="15.75" customHeight="1">
      <c r="A42" s="6"/>
      <c r="B42" s="455" t="s">
        <v>1532</v>
      </c>
      <c r="C42" s="1898">
        <f>8.38</f>
        <v>8.3800000000000008</v>
      </c>
      <c r="D42" s="1898">
        <v>0</v>
      </c>
      <c r="E42" s="1898">
        <f>215.6</f>
        <v>215.6</v>
      </c>
      <c r="F42" s="1899">
        <f>SUM(C42:E42)</f>
        <v>223.98</v>
      </c>
      <c r="G42" s="1900">
        <v>0.65500000000000003</v>
      </c>
      <c r="H42" s="1900">
        <v>0.08</v>
      </c>
      <c r="I42" s="560">
        <f>C42*G42</f>
        <v>5.488900000000001</v>
      </c>
      <c r="J42" s="560">
        <f>D42*G42</f>
        <v>0</v>
      </c>
      <c r="K42" s="560">
        <f>E42*G42</f>
        <v>141.21799999999999</v>
      </c>
      <c r="L42" s="560">
        <f>SUM(I42:K42)</f>
        <v>146.70689999999999</v>
      </c>
      <c r="M42" s="1901">
        <f t="shared" ref="M42:O42" si="16">((I42*1000000)/35.31)*($D$5/($D$6*$G$7))*0.0000011023</f>
        <v>112.43595481733436</v>
      </c>
      <c r="N42" s="1901">
        <f t="shared" si="16"/>
        <v>0</v>
      </c>
      <c r="O42" s="1901">
        <f t="shared" si="16"/>
        <v>2892.7436585462156</v>
      </c>
      <c r="P42" s="1898">
        <f>387200000/1000000</f>
        <v>387.2</v>
      </c>
      <c r="Q42" s="1900">
        <f>L42/P42</f>
        <v>0.37889178719008265</v>
      </c>
      <c r="R42" s="1903">
        <f>((F42*H42*((1-Q42)/Q42)*1000000))/35.31</f>
        <v>831866.4132946789</v>
      </c>
      <c r="S42" s="1903">
        <f>((R42*$D$4)/($D$6*$G$7))*0.00000110231</f>
        <v>1650.4936445026613</v>
      </c>
      <c r="T42" s="1903">
        <f t="shared" ref="T42:V42" si="17">2.75*M42</f>
        <v>309.19887574766949</v>
      </c>
      <c r="U42" s="1903">
        <f t="shared" si="17"/>
        <v>0</v>
      </c>
      <c r="V42" s="1903">
        <f t="shared" si="17"/>
        <v>7955.0450610020926</v>
      </c>
      <c r="W42" s="1903">
        <f>(((F42*G42)*((1-Q42)/Q42))*1000000/35.31)*($D$5/($D$6*$G$7))*0.0000011023</f>
        <v>4926.318811689167</v>
      </c>
      <c r="X42" s="1904">
        <f>(((C42*G42)*(1-$D$15))*1000000/35.31)*($D$5/($D$6*$G$7))*0.0000011023</f>
        <v>2.2487190963466892</v>
      </c>
      <c r="Y42" s="1904">
        <f>(((D42*G42)*(1-$D$16))*1000000/35.31)*($D$5/($D$6*$G$7))*0.0000011023</f>
        <v>0</v>
      </c>
      <c r="Z42" s="1904">
        <f>(((E42*G42)*(1-0.982))*1000000/35.31)*($D$5/($D$6*$G$7))*0.0000011023</f>
        <v>52.069385853831925</v>
      </c>
      <c r="AA42" s="6"/>
      <c r="AB42" s="6"/>
      <c r="AC42" s="6"/>
      <c r="AD42" s="6"/>
      <c r="AE42" s="6"/>
    </row>
    <row r="43" spans="1:31" ht="15.75" customHeight="1">
      <c r="A43" s="6"/>
      <c r="B43" s="564"/>
      <c r="C43" s="560"/>
      <c r="D43" s="560"/>
      <c r="E43" s="560"/>
      <c r="F43" s="1899"/>
      <c r="G43" s="1900"/>
      <c r="H43" s="1900"/>
      <c r="I43" s="560"/>
      <c r="J43" s="560"/>
      <c r="K43" s="560"/>
      <c r="L43" s="560"/>
      <c r="M43" s="1901"/>
      <c r="N43" s="1901"/>
      <c r="O43" s="1901"/>
      <c r="P43" s="1902"/>
      <c r="Q43" s="1900"/>
      <c r="R43" s="1903"/>
      <c r="S43" s="1903"/>
      <c r="T43" s="1903"/>
      <c r="U43" s="1903"/>
      <c r="V43" s="1903"/>
      <c r="W43" s="1903"/>
      <c r="X43" s="1904"/>
      <c r="Y43" s="1904"/>
      <c r="Z43" s="1904"/>
      <c r="AA43" s="6"/>
      <c r="AB43" s="6"/>
      <c r="AC43" s="6"/>
      <c r="AD43" s="6"/>
      <c r="AE43" s="6"/>
    </row>
    <row r="44" spans="1:31" ht="15.75" customHeight="1">
      <c r="A44" s="6"/>
      <c r="B44" s="455" t="s">
        <v>1533</v>
      </c>
      <c r="C44" s="1898">
        <f>0.34013</f>
        <v>0.34012999999999999</v>
      </c>
      <c r="D44" s="1898">
        <v>0</v>
      </c>
      <c r="E44" s="1898">
        <f>210.691</f>
        <v>210.691</v>
      </c>
      <c r="F44" s="1899">
        <f>SUM(C44:E44)</f>
        <v>211.03112999999999</v>
      </c>
      <c r="G44" s="1900">
        <v>0.47799999999999998</v>
      </c>
      <c r="H44" s="1900">
        <v>0.5</v>
      </c>
      <c r="I44" s="560">
        <f>C44*G44</f>
        <v>0.16258213999999999</v>
      </c>
      <c r="J44" s="560">
        <f>D44*G44</f>
        <v>0</v>
      </c>
      <c r="K44" s="560">
        <f>E44*G44</f>
        <v>100.71029799999999</v>
      </c>
      <c r="L44" s="560">
        <f>SUM(I44:K44)</f>
        <v>100.87288013999999</v>
      </c>
      <c r="M44" s="1901">
        <f t="shared" ref="M44:O44" si="18">((I44*1000000)/35.31)*($D$5/($D$6*$G$7))*0.0000011023</f>
        <v>3.3303718681603831</v>
      </c>
      <c r="N44" s="1901">
        <f t="shared" si="18"/>
        <v>0</v>
      </c>
      <c r="O44" s="1901">
        <f t="shared" si="18"/>
        <v>2062.9740960061717</v>
      </c>
      <c r="P44" s="1898">
        <f>169400000/1000000</f>
        <v>169.4</v>
      </c>
      <c r="Q44" s="1900">
        <f>L44/P44</f>
        <v>0.59547154746162922</v>
      </c>
      <c r="R44" s="1903">
        <f>((F44*H44*((1-Q44)/Q44)*1000000))/35.31</f>
        <v>2030050.6292740097</v>
      </c>
      <c r="S44" s="1903">
        <f>((R44*$D$4)/($D$6*$G$7))*0.00000110231</f>
        <v>4027.7929341624658</v>
      </c>
      <c r="T44" s="1903">
        <f t="shared" ref="T44:V44" si="19">2.75*M44</f>
        <v>9.1585226374410542</v>
      </c>
      <c r="U44" s="1903">
        <f t="shared" si="19"/>
        <v>0</v>
      </c>
      <c r="V44" s="1903">
        <f t="shared" si="19"/>
        <v>5673.1787640169723</v>
      </c>
      <c r="W44" s="1903">
        <f>(((F44*G44)*((1-Q44)/Q44))*1000000/35.31)*($D$5/($D$6*$G$7))*0.0000011023</f>
        <v>1403.7260930862317</v>
      </c>
      <c r="X44" s="1904">
        <f>(((C44*G44)*(1-$D$15))*1000000/35.31)*($D$5/($D$6*$G$7))*0.0000011023</f>
        <v>6.6607437363207719E-2</v>
      </c>
      <c r="Y44" s="1904">
        <f>(((D44*G44)*(1-$D$16))*1000000/35.31)*($D$5/($D$6*$G$7))*0.0000011023</f>
        <v>0</v>
      </c>
      <c r="Z44" s="1904">
        <f>(((E44*G44)*(1-0.982))*1000000/35.31)*($D$5/($D$6*$G$7))*0.0000011023</f>
        <v>37.133533728111125</v>
      </c>
      <c r="AA44" s="6"/>
      <c r="AB44" s="6"/>
      <c r="AC44" s="6"/>
      <c r="AD44" s="6"/>
      <c r="AE44" s="6"/>
    </row>
    <row r="45" spans="1:31" ht="15.75" customHeight="1">
      <c r="A45" s="6"/>
      <c r="B45" s="455"/>
      <c r="C45" s="1898"/>
      <c r="D45" s="1898"/>
      <c r="E45" s="1898"/>
      <c r="F45" s="1899"/>
      <c r="G45" s="1900"/>
      <c r="H45" s="1900"/>
      <c r="I45" s="560"/>
      <c r="J45" s="560"/>
      <c r="K45" s="560"/>
      <c r="L45" s="560"/>
      <c r="M45" s="1901"/>
      <c r="N45" s="1901"/>
      <c r="O45" s="1901"/>
      <c r="P45" s="1902"/>
      <c r="Q45" s="1900"/>
      <c r="R45" s="1903"/>
      <c r="S45" s="1903"/>
      <c r="T45" s="1903"/>
      <c r="U45" s="1903"/>
      <c r="V45" s="1903"/>
      <c r="W45" s="1903"/>
      <c r="X45" s="1904"/>
      <c r="Y45" s="1904"/>
      <c r="Z45" s="1904"/>
      <c r="AA45" s="6"/>
      <c r="AB45" s="6"/>
      <c r="AC45" s="6"/>
      <c r="AD45" s="6"/>
      <c r="AE45" s="6"/>
    </row>
    <row r="46" spans="1:31" ht="15.75" customHeight="1">
      <c r="A46" s="6"/>
      <c r="B46" s="455" t="s">
        <v>1534</v>
      </c>
      <c r="C46" s="1898">
        <f>132.463</f>
        <v>132.46299999999999</v>
      </c>
      <c r="D46" s="1898">
        <f>616.643</f>
        <v>616.64300000000003</v>
      </c>
      <c r="E46" s="1898">
        <v>0</v>
      </c>
      <c r="F46" s="1899">
        <f>SUM(C46:E46)</f>
        <v>749.10599999999999</v>
      </c>
      <c r="G46" s="1900">
        <v>0.51300000000000001</v>
      </c>
      <c r="H46" s="1900">
        <v>0.38100000000000001</v>
      </c>
      <c r="I46" s="560">
        <f>C46*G46</f>
        <v>67.953519</v>
      </c>
      <c r="J46" s="560">
        <f>D46*G46</f>
        <v>316.33785900000004</v>
      </c>
      <c r="K46" s="560">
        <f>E46*G46</f>
        <v>0</v>
      </c>
      <c r="L46" s="560">
        <f>SUM(I46:K46)</f>
        <v>384.29137800000001</v>
      </c>
      <c r="M46" s="1901">
        <f t="shared" ref="M46:O46" si="20">((I46*1000000)/35.31)*($D$5/($D$6*$G$7))*0.0000011023</f>
        <v>1391.9763143731661</v>
      </c>
      <c r="N46" s="1901">
        <f t="shared" si="20"/>
        <v>6479.9411943260557</v>
      </c>
      <c r="O46" s="1901">
        <f t="shared" si="20"/>
        <v>0</v>
      </c>
      <c r="P46" s="1902">
        <f>289300000/1000000</f>
        <v>289.3</v>
      </c>
      <c r="Q46" s="1900">
        <v>0.95</v>
      </c>
      <c r="R46" s="1903">
        <f>((F46*H46*((1-Q46)/Q46)*1000000))/35.31</f>
        <v>425419.04932254209</v>
      </c>
      <c r="S46" s="1903">
        <f>((R46*$D$4)/($D$6*$G$7))*0.00000110231</f>
        <v>844.06754009491533</v>
      </c>
      <c r="T46" s="1903">
        <f t="shared" ref="T46:V46" si="21">2.75*M46</f>
        <v>3827.9348645262071</v>
      </c>
      <c r="U46" s="1903">
        <f t="shared" si="21"/>
        <v>17819.838284396654</v>
      </c>
      <c r="V46" s="1903">
        <f t="shared" si="21"/>
        <v>0</v>
      </c>
      <c r="W46" s="1903">
        <f>(((F46*G46)*((1-Q46)/Q46))*1000000/35.31)*($D$5/($D$6*$G$7))*0.0000011023</f>
        <v>414.3114478262753</v>
      </c>
      <c r="X46" s="1904">
        <f>(((C46*G46)*(1-$D$15))*1000000/35.31)*($D$5/($D$6*$G$7))*0.0000011023</f>
        <v>27.83952628746335</v>
      </c>
      <c r="Y46" s="1904">
        <f>(((D46*G46)*(1-$D$16))*1000000/35.31)*($D$5/($D$6*$G$7))*0.0000011023</f>
        <v>12.959882388652128</v>
      </c>
      <c r="Z46" s="1904">
        <f>(((E46*G46)*(1-0.98))*1000000/35.31)*($D$5/($D$6*$G$7))*0.0000011023</f>
        <v>0</v>
      </c>
      <c r="AA46" s="6"/>
      <c r="AB46" s="6"/>
      <c r="AC46" s="6"/>
      <c r="AD46" s="6"/>
      <c r="AE46" s="6"/>
    </row>
    <row r="47" spans="1:31" ht="15.75" customHeight="1">
      <c r="A47" s="6"/>
      <c r="B47" s="1905"/>
      <c r="C47" s="1906"/>
      <c r="D47" s="1906"/>
      <c r="E47" s="1906"/>
      <c r="F47" s="1906"/>
      <c r="G47" s="1907"/>
      <c r="H47" s="1907"/>
      <c r="I47" s="1906"/>
      <c r="J47" s="1906"/>
      <c r="K47" s="1906"/>
      <c r="L47" s="1906"/>
      <c r="M47" s="1908"/>
      <c r="N47" s="1908"/>
      <c r="O47" s="1908"/>
      <c r="P47" s="1906"/>
      <c r="Q47" s="1906"/>
      <c r="R47" s="1909"/>
      <c r="S47" s="1909"/>
      <c r="T47" s="1909"/>
      <c r="U47" s="1909"/>
      <c r="V47" s="1909"/>
      <c r="W47" s="1909"/>
      <c r="X47" s="1908"/>
      <c r="Y47" s="1908"/>
      <c r="Z47" s="1908"/>
      <c r="AA47" s="6"/>
      <c r="AB47" s="6"/>
      <c r="AC47" s="6"/>
      <c r="AD47" s="6"/>
      <c r="AE47" s="6"/>
    </row>
    <row r="48" spans="1:31" ht="15.75" customHeight="1">
      <c r="A48" s="6"/>
      <c r="B48" s="455"/>
      <c r="C48" s="1898"/>
      <c r="D48" s="1898"/>
      <c r="E48" s="1898"/>
      <c r="F48" s="1898"/>
      <c r="G48" s="1900"/>
      <c r="H48" s="1900"/>
      <c r="I48" s="1898"/>
      <c r="J48" s="1898"/>
      <c r="K48" s="1898"/>
      <c r="L48" s="1898"/>
      <c r="M48" s="1901"/>
      <c r="N48" s="1901"/>
      <c r="O48" s="1901"/>
      <c r="P48" s="1898"/>
      <c r="Q48" s="1898"/>
      <c r="R48" s="1903"/>
      <c r="S48" s="1903"/>
      <c r="T48" s="1903"/>
      <c r="U48" s="1903"/>
      <c r="V48" s="1903"/>
      <c r="W48" s="1903"/>
      <c r="X48" s="1904"/>
      <c r="Y48" s="1904"/>
      <c r="Z48" s="1904"/>
      <c r="AA48" s="6"/>
      <c r="AB48" s="6"/>
      <c r="AC48" s="6"/>
      <c r="AD48" s="6"/>
      <c r="AE48" s="6"/>
    </row>
    <row r="49" spans="1:31" ht="15.75" customHeight="1">
      <c r="A49" s="6"/>
      <c r="B49" s="455" t="s">
        <v>1535</v>
      </c>
      <c r="C49" s="560">
        <f>102449045/1000000</f>
        <v>102.449045</v>
      </c>
      <c r="D49" s="1898">
        <v>0</v>
      </c>
      <c r="E49" s="1898">
        <v>0</v>
      </c>
      <c r="F49" s="560">
        <f>SUM(C49:E49)</f>
        <v>102.449045</v>
      </c>
      <c r="G49" s="1900">
        <v>0.36599999999999999</v>
      </c>
      <c r="H49" s="1900">
        <v>0.5</v>
      </c>
      <c r="I49" s="560">
        <f>C49*G49</f>
        <v>37.496350469999996</v>
      </c>
      <c r="J49" s="1904">
        <f>D49*G49</f>
        <v>0</v>
      </c>
      <c r="K49" s="1904">
        <f>E49*G49</f>
        <v>0</v>
      </c>
      <c r="L49" s="560">
        <f>SUM(I49:K49)</f>
        <v>37.496350469999996</v>
      </c>
      <c r="M49" s="1901">
        <f t="shared" ref="M49:O49" si="22">((I49*1000000)/35.31)*($D$5/($D$6*$G$7))*0.0000011023</f>
        <v>768.08430965400225</v>
      </c>
      <c r="N49" s="1901">
        <f t="shared" si="22"/>
        <v>0</v>
      </c>
      <c r="O49" s="1901">
        <f t="shared" si="22"/>
        <v>0</v>
      </c>
      <c r="P49" s="1898">
        <f>103000000/1000000</f>
        <v>103</v>
      </c>
      <c r="Q49" s="1900">
        <f>L49/P49</f>
        <v>0.36404223757281551</v>
      </c>
      <c r="R49" s="1903">
        <f>((F49*H49*((1-Q49)/Q49)*1000000))/35.31</f>
        <v>2534292.2688660775</v>
      </c>
      <c r="S49" s="1903">
        <f>((R49*$D$4)/($D$6*$G$7))*0.00000110231</f>
        <v>5028.2511906078971</v>
      </c>
      <c r="T49" s="1903">
        <f t="shared" ref="T49:V49" si="23">2.75*M49</f>
        <v>2112.2318515485063</v>
      </c>
      <c r="U49" s="1903">
        <f t="shared" si="23"/>
        <v>0</v>
      </c>
      <c r="V49" s="1903">
        <f t="shared" si="23"/>
        <v>0</v>
      </c>
      <c r="W49" s="1903">
        <f>(((F49*G49)*((1-Q49)/Q49))*1000000/35.31)*($D$5/($D$6*$G$7))*0.0000011023</f>
        <v>1341.7925957706618</v>
      </c>
      <c r="X49" s="1904">
        <f>(((C49*G49)*(1-$D$15))*1000000/35.31)*($D$5/($D$6*$G$7))*0.0000011023</f>
        <v>15.361686193080059</v>
      </c>
      <c r="Y49" s="1904">
        <f>(((D49*G49)*(1-$D$16))*1000000/35.31)*($D$5/($D$6*$G$7))*0.0000011023</f>
        <v>0</v>
      </c>
      <c r="Z49" s="1904">
        <f>(((E49*G49)*(1-$D$17))*1000000/35.31)*($D$5/($D$6*$G$7))*0.0000011023</f>
        <v>0</v>
      </c>
      <c r="AA49" s="6"/>
      <c r="AB49" s="6"/>
      <c r="AC49" s="6"/>
      <c r="AD49" s="6"/>
      <c r="AE49" s="6"/>
    </row>
    <row r="50" spans="1:31" ht="15.75" customHeight="1">
      <c r="A50" s="6"/>
      <c r="B50" s="455"/>
      <c r="C50" s="1898"/>
      <c r="D50" s="1898"/>
      <c r="E50" s="1898"/>
      <c r="F50" s="1899"/>
      <c r="G50" s="1900"/>
      <c r="H50" s="1900"/>
      <c r="I50" s="560"/>
      <c r="J50" s="1904"/>
      <c r="K50" s="1904"/>
      <c r="L50" s="560"/>
      <c r="M50" s="1901"/>
      <c r="N50" s="1901"/>
      <c r="O50" s="1901"/>
      <c r="P50" s="1902"/>
      <c r="Q50" s="1900"/>
      <c r="R50" s="1903"/>
      <c r="S50" s="1903"/>
      <c r="T50" s="1903"/>
      <c r="U50" s="1903"/>
      <c r="V50" s="1903"/>
      <c r="W50" s="1903"/>
      <c r="X50" s="1904"/>
      <c r="Y50" s="1904"/>
      <c r="Z50" s="1904"/>
      <c r="AA50" s="6"/>
      <c r="AB50" s="6"/>
      <c r="AC50" s="6"/>
      <c r="AD50" s="6"/>
      <c r="AE50" s="6"/>
    </row>
    <row r="51" spans="1:31" ht="15.75" customHeight="1">
      <c r="A51" s="6"/>
      <c r="B51" s="455" t="s">
        <v>1536</v>
      </c>
      <c r="C51" s="1898">
        <f>254.43</f>
        <v>254.43</v>
      </c>
      <c r="D51" s="1898">
        <v>0</v>
      </c>
      <c r="E51" s="1898">
        <v>0</v>
      </c>
      <c r="F51" s="1898">
        <f>SUM(C51:E51)</f>
        <v>254.43</v>
      </c>
      <c r="G51" s="1900">
        <v>0.50680000000000003</v>
      </c>
      <c r="H51" s="1900">
        <v>0.35630000000000001</v>
      </c>
      <c r="I51" s="560">
        <f>C51*G51</f>
        <v>128.94512400000002</v>
      </c>
      <c r="J51" s="1904">
        <f>D51*G51</f>
        <v>0</v>
      </c>
      <c r="K51" s="1904">
        <f>E51*G51</f>
        <v>0</v>
      </c>
      <c r="L51" s="560">
        <f>SUM(I51:K51)</f>
        <v>128.94512400000002</v>
      </c>
      <c r="M51" s="1901">
        <f t="shared" ref="M51:O51" si="24">((I51*1000000)/35.31)*($D$5/($D$6*$G$7))*0.0000011023</f>
        <v>2641.3430989778603</v>
      </c>
      <c r="N51" s="1901">
        <f t="shared" si="24"/>
        <v>0</v>
      </c>
      <c r="O51" s="1901">
        <f t="shared" si="24"/>
        <v>0</v>
      </c>
      <c r="P51" s="1898">
        <f>208200000/1000000</f>
        <v>208.2</v>
      </c>
      <c r="Q51" s="1900">
        <f>L51/P51</f>
        <v>0.61933296829971196</v>
      </c>
      <c r="R51" s="1903">
        <f>((F51*H51*((1-Q51)/Q51)*1000000))/35.31</f>
        <v>1578001.7823195022</v>
      </c>
      <c r="S51" s="1903">
        <f>((R51*$D$4)/($D$6*$G$7))*0.00000110231</f>
        <v>3130.8896129330847</v>
      </c>
      <c r="T51" s="1903">
        <f t="shared" ref="T51:V51" si="25">2.75*M51</f>
        <v>7263.6935221891163</v>
      </c>
      <c r="U51" s="1903">
        <f t="shared" si="25"/>
        <v>0</v>
      </c>
      <c r="V51" s="1903">
        <f t="shared" si="25"/>
        <v>0</v>
      </c>
      <c r="W51" s="1903">
        <f>(((F51*G51)*((1-Q51)/Q51))*1000000/35.31)*($D$5/($D$6*$G$7))*0.0000011023</f>
        <v>1623.4760438319943</v>
      </c>
      <c r="X51" s="1904">
        <f>(((C51*G51)*(1-$D$15))*1000000/35.31)*($D$5/($D$6*$G$7))*0.0000011023</f>
        <v>52.82686197955725</v>
      </c>
      <c r="Y51" s="1904">
        <f>(((D51*G51)*(1-$D$16))*1000000/35.31)*($D$5/($D$6*$G$7))*0.0000011023</f>
        <v>0</v>
      </c>
      <c r="Z51" s="1904">
        <f>(((E51*G51)*(1-$D$17))*1000000/35.31)*($D$5/($D$6*$G$7))*0.0000011023</f>
        <v>0</v>
      </c>
      <c r="AA51" s="6"/>
      <c r="AB51" s="6"/>
      <c r="AC51" s="6"/>
      <c r="AD51" s="6"/>
      <c r="AE51" s="6"/>
    </row>
    <row r="52" spans="1:31" ht="15.75" customHeight="1">
      <c r="A52" s="6"/>
      <c r="B52" s="455"/>
      <c r="C52" s="1898"/>
      <c r="D52" s="1898"/>
      <c r="E52" s="1898"/>
      <c r="F52" s="1899"/>
      <c r="G52" s="1900"/>
      <c r="H52" s="1900"/>
      <c r="I52" s="560"/>
      <c r="J52" s="1904"/>
      <c r="K52" s="1904"/>
      <c r="L52" s="560"/>
      <c r="M52" s="1901"/>
      <c r="N52" s="1901"/>
      <c r="O52" s="1901"/>
      <c r="P52" s="1902"/>
      <c r="Q52" s="1900"/>
      <c r="R52" s="1903"/>
      <c r="S52" s="1903"/>
      <c r="T52" s="1903"/>
      <c r="U52" s="1903"/>
      <c r="V52" s="1903"/>
      <c r="W52" s="1903"/>
      <c r="X52" s="1904"/>
      <c r="Y52" s="1904"/>
      <c r="Z52" s="1904"/>
      <c r="AA52" s="6"/>
      <c r="AB52" s="6"/>
      <c r="AC52" s="6"/>
      <c r="AD52" s="6"/>
      <c r="AE52" s="6"/>
    </row>
    <row r="53" spans="1:31" ht="15.75" customHeight="1">
      <c r="A53" s="6"/>
      <c r="B53" s="455" t="s">
        <v>1537</v>
      </c>
      <c r="C53" s="1898">
        <v>82</v>
      </c>
      <c r="D53" s="1898">
        <v>0</v>
      </c>
      <c r="E53" s="1898">
        <v>0</v>
      </c>
      <c r="F53" s="1898">
        <f>SUM(C53:E53)</f>
        <v>82</v>
      </c>
      <c r="G53" s="1900">
        <v>0.5</v>
      </c>
      <c r="H53" s="1900">
        <v>0.5</v>
      </c>
      <c r="I53" s="560">
        <f>C53*G53</f>
        <v>41</v>
      </c>
      <c r="J53" s="1904">
        <f>D53*G53</f>
        <v>0</v>
      </c>
      <c r="K53" s="1904">
        <f>E53*G53</f>
        <v>0</v>
      </c>
      <c r="L53" s="560">
        <f>SUM(I53:K53)</f>
        <v>41</v>
      </c>
      <c r="M53" s="1901">
        <f t="shared" ref="M53:O53" si="26">((I53*1000000)/35.31)*($D$5/($D$6*$G$7))*0.0000011023</f>
        <v>839.85391380981764</v>
      </c>
      <c r="N53" s="1901">
        <f t="shared" si="26"/>
        <v>0</v>
      </c>
      <c r="O53" s="1901">
        <f t="shared" si="26"/>
        <v>0</v>
      </c>
      <c r="P53" s="1898">
        <f>107300000/1000000</f>
        <v>107.3</v>
      </c>
      <c r="Q53" s="1900">
        <f>L53/P53</f>
        <v>0.38210624417520972</v>
      </c>
      <c r="R53" s="1903">
        <f>((F53*H53*((1-Q53)/Q53)*1000000))/35.31</f>
        <v>1877655.0552251486</v>
      </c>
      <c r="S53" s="1903">
        <f>((R53*$D$4)/($D$6*$G$7))*0.00000110231</f>
        <v>3725.4271667770727</v>
      </c>
      <c r="T53" s="1903">
        <f t="shared" ref="T53:V53" si="27">2.75*M53</f>
        <v>2309.5982629769987</v>
      </c>
      <c r="U53" s="1903">
        <f t="shared" si="27"/>
        <v>0</v>
      </c>
      <c r="V53" s="1903">
        <f t="shared" si="27"/>
        <v>0</v>
      </c>
      <c r="W53" s="1903">
        <f>(((F53*G53)*((1-Q53)/Q53))*1000000/35.31)*($D$5/($D$6*$G$7))*0.0000011023</f>
        <v>1358.105231355876</v>
      </c>
      <c r="X53" s="1904">
        <f>(((C53*G53)*(1-$D$15))*1000000/35.31)*($D$5/($D$6*$G$7))*0.0000011023</f>
        <v>16.79707827619637</v>
      </c>
      <c r="Y53" s="1904">
        <f>(((D53*G53)*(1-$D$16))*1000000/35.31)*($D$5/($D$6*$G$7))*0.0000011023</f>
        <v>0</v>
      </c>
      <c r="Z53" s="1904">
        <f>(((E53*G53)*(1-$D$17))*1000000/35.31)*($D$5/($D$6*$G$7))*0.0000011023</f>
        <v>0</v>
      </c>
      <c r="AA53" s="6"/>
      <c r="AB53" s="6"/>
      <c r="AC53" s="6"/>
      <c r="AD53" s="6"/>
      <c r="AE53" s="6"/>
    </row>
    <row r="54" spans="1:31" ht="15.75" customHeight="1">
      <c r="A54" s="6"/>
      <c r="B54" s="455"/>
      <c r="C54" s="1898"/>
      <c r="D54" s="1898"/>
      <c r="E54" s="1898"/>
      <c r="F54" s="1899"/>
      <c r="G54" s="1900"/>
      <c r="H54" s="1900"/>
      <c r="I54" s="560"/>
      <c r="J54" s="1904"/>
      <c r="K54" s="1904"/>
      <c r="L54" s="560"/>
      <c r="M54" s="1901"/>
      <c r="N54" s="1901"/>
      <c r="O54" s="1901"/>
      <c r="P54" s="1902"/>
      <c r="Q54" s="1900"/>
      <c r="R54" s="1903"/>
      <c r="S54" s="1903"/>
      <c r="T54" s="1903"/>
      <c r="U54" s="1903"/>
      <c r="V54" s="1903"/>
      <c r="W54" s="1903"/>
      <c r="X54" s="1904"/>
      <c r="Y54" s="1904"/>
      <c r="Z54" s="1904"/>
      <c r="AA54" s="6"/>
      <c r="AB54" s="6"/>
      <c r="AC54" s="6"/>
      <c r="AD54" s="6"/>
      <c r="AE54" s="6"/>
    </row>
    <row r="55" spans="1:31" ht="15.75" customHeight="1">
      <c r="A55" s="6"/>
      <c r="B55" s="455" t="s">
        <v>1538</v>
      </c>
      <c r="C55" s="1898">
        <f>(538*8760*60)/1000000</f>
        <v>282.77280000000002</v>
      </c>
      <c r="D55" s="1898">
        <v>0</v>
      </c>
      <c r="E55" s="1898">
        <v>0</v>
      </c>
      <c r="F55" s="1898">
        <f>SUM(C55:E55)</f>
        <v>282.77280000000002</v>
      </c>
      <c r="G55" s="1900">
        <v>0.49299999999999999</v>
      </c>
      <c r="H55" s="1900">
        <v>0.5</v>
      </c>
      <c r="I55" s="560">
        <f>C55*G55</f>
        <v>139.40699040000001</v>
      </c>
      <c r="J55" s="1904">
        <f>D55*G55</f>
        <v>0</v>
      </c>
      <c r="K55" s="1904">
        <f>E55*G55</f>
        <v>0</v>
      </c>
      <c r="L55" s="560">
        <f>SUM(I55:K55)</f>
        <v>139.40699040000001</v>
      </c>
      <c r="M55" s="1901">
        <f t="shared" ref="M55:O55" si="28">((I55*1000000)/35.31)*($D$5/($D$6*$G$7))*0.0000011023</f>
        <v>2855.6464999972609</v>
      </c>
      <c r="N55" s="1901">
        <f t="shared" si="28"/>
        <v>0</v>
      </c>
      <c r="O55" s="1901">
        <f t="shared" si="28"/>
        <v>0</v>
      </c>
      <c r="P55" s="1898">
        <f>219800000/1000000</f>
        <v>219.8</v>
      </c>
      <c r="Q55" s="1900">
        <v>0.64319999999999999</v>
      </c>
      <c r="R55" s="1903">
        <f>((F55*H55*((1-Q55)/Q55)*1000000))/35.31</f>
        <v>2221205.4426254458</v>
      </c>
      <c r="S55" s="1903">
        <f>((R55*$D$4)/($D$6*$G$7))*0.00000110231</f>
        <v>4407.0603255493506</v>
      </c>
      <c r="T55" s="1903">
        <f t="shared" ref="T55:V55" si="29">2.75*M55</f>
        <v>7853.0278749924673</v>
      </c>
      <c r="U55" s="1903">
        <f t="shared" si="29"/>
        <v>0</v>
      </c>
      <c r="V55" s="1903">
        <f t="shared" si="29"/>
        <v>0</v>
      </c>
      <c r="W55" s="1903">
        <f>(((F55*G55)*((1-Q55)/Q55))*1000000/35.31)*($D$5/($D$6*$G$7))*0.0000011023</f>
        <v>1584.102411690023</v>
      </c>
      <c r="X55" s="1904">
        <f>(((C55*G55)*(1-$D$15))*1000000/35.31)*($D$5/($D$6*$G$7))*0.0000011023</f>
        <v>57.112929999945266</v>
      </c>
      <c r="Y55" s="1904">
        <f>(((D55*G55)*(1-$D$16))*1000000/35.31)*($D$5/($D$6*$G$7))*0.0000011023</f>
        <v>0</v>
      </c>
      <c r="Z55" s="1904">
        <f>(((E55*G55)*(1-$D$17))*1000000/35.31)*($D$5/($D$6*$G$7))*0.0000011023</f>
        <v>0</v>
      </c>
      <c r="AA55" s="6"/>
      <c r="AB55" s="6"/>
      <c r="AC55" s="6"/>
      <c r="AD55" s="6"/>
      <c r="AE55" s="6"/>
    </row>
    <row r="56" spans="1:31" ht="15.75" customHeight="1">
      <c r="A56" s="6"/>
      <c r="B56" s="455"/>
      <c r="C56" s="1898"/>
      <c r="D56" s="1898"/>
      <c r="E56" s="1898"/>
      <c r="F56" s="1899"/>
      <c r="G56" s="1900"/>
      <c r="H56" s="1900"/>
      <c r="I56" s="560"/>
      <c r="J56" s="1904"/>
      <c r="K56" s="1904"/>
      <c r="L56" s="560"/>
      <c r="M56" s="1901"/>
      <c r="N56" s="1901"/>
      <c r="O56" s="1901"/>
      <c r="P56" s="1902"/>
      <c r="Q56" s="1900"/>
      <c r="R56" s="1903"/>
      <c r="S56" s="1903"/>
      <c r="T56" s="1903"/>
      <c r="U56" s="1903"/>
      <c r="V56" s="1903"/>
      <c r="W56" s="1903"/>
      <c r="X56" s="1904"/>
      <c r="Y56" s="1904"/>
      <c r="Z56" s="1904"/>
      <c r="AA56" s="6"/>
      <c r="AB56" s="6"/>
      <c r="AC56" s="6"/>
      <c r="AD56" s="6"/>
      <c r="AE56" s="6"/>
    </row>
    <row r="57" spans="1:31" ht="15.75" customHeight="1">
      <c r="A57" s="6"/>
      <c r="B57" s="455" t="s">
        <v>1539</v>
      </c>
      <c r="C57" s="1898">
        <f>7.49</f>
        <v>7.49</v>
      </c>
      <c r="D57" s="1898">
        <v>0</v>
      </c>
      <c r="E57" s="1898">
        <v>0</v>
      </c>
      <c r="F57" s="1898">
        <f>SUM(C57:E57)</f>
        <v>7.49</v>
      </c>
      <c r="G57" s="1900">
        <v>0.4017</v>
      </c>
      <c r="H57" s="1900">
        <v>0.2742</v>
      </c>
      <c r="I57" s="1898">
        <f>C57*G57</f>
        <v>3.0087329999999999</v>
      </c>
      <c r="J57" s="1904">
        <f>D57*G57</f>
        <v>0</v>
      </c>
      <c r="K57" s="1904">
        <f>E57*G57</f>
        <v>0</v>
      </c>
      <c r="L57" s="1898">
        <f>SUM(I57:K57)</f>
        <v>3.0087329999999999</v>
      </c>
      <c r="M57" s="1901">
        <f t="shared" ref="M57:O57" si="30">((I57*1000000)/35.31)*($D$5/($D$6*$G$7))*0.0000011023</f>
        <v>61.631614284359856</v>
      </c>
      <c r="N57" s="1901">
        <f t="shared" si="30"/>
        <v>0</v>
      </c>
      <c r="O57" s="1901">
        <f t="shared" si="30"/>
        <v>0</v>
      </c>
      <c r="P57" s="1898">
        <f>63285300/1000000</f>
        <v>63.285299999999999</v>
      </c>
      <c r="Q57" s="1900">
        <f>L57/P57</f>
        <v>4.75423676588402E-2</v>
      </c>
      <c r="R57" s="1903">
        <f>((F57*H57*((1-Q57)/Q57)*1000000))/35.31</f>
        <v>1165242.7530912063</v>
      </c>
      <c r="S57" s="1903">
        <f>((R57*$D$4)/($D$6*$G$7))*0.00000110231</f>
        <v>2311.9406283789217</v>
      </c>
      <c r="T57" s="1903">
        <f t="shared" ref="T57:V57" si="31">2.75*M57</f>
        <v>169.48693928198961</v>
      </c>
      <c r="U57" s="1903">
        <f t="shared" si="31"/>
        <v>0</v>
      </c>
      <c r="V57" s="1903">
        <f t="shared" si="31"/>
        <v>0</v>
      </c>
      <c r="W57" s="1903">
        <f>(((F57*G57)*((1-Q57)/Q57))*1000000/35.31)*($D$5/($D$6*$G$7))*0.0000011023</f>
        <v>1234.7197733163343</v>
      </c>
      <c r="X57" s="1904">
        <f>(((C57*G57)*(1-$D$15))*1000000/35.31)*($D$5/($D$6*$G$7))*0.0000011023</f>
        <v>1.2326322856871985</v>
      </c>
      <c r="Y57" s="1904">
        <f>(((D57*G57)*(1-$D$16))*1000000/35.31)*($D$5/($D$6*$G$7))*0.0000011023</f>
        <v>0</v>
      </c>
      <c r="Z57" s="1904">
        <f>(((E57*G57)*(1-$D$17))*1000000/35.31)*($D$5/($D$6*$G$7))*0.0000011023</f>
        <v>0</v>
      </c>
      <c r="AA57" s="6"/>
      <c r="AB57" s="6"/>
      <c r="AC57" s="6"/>
      <c r="AD57" s="6"/>
      <c r="AE57" s="6"/>
    </row>
    <row r="58" spans="1:31" ht="15.75" customHeight="1">
      <c r="A58" s="6"/>
      <c r="B58" s="455"/>
      <c r="C58" s="1898"/>
      <c r="D58" s="1898"/>
      <c r="E58" s="1898"/>
      <c r="F58" s="1899"/>
      <c r="G58" s="1900"/>
      <c r="H58" s="1900"/>
      <c r="I58" s="560"/>
      <c r="J58" s="1904"/>
      <c r="K58" s="1904"/>
      <c r="L58" s="560"/>
      <c r="M58" s="1901"/>
      <c r="N58" s="1901"/>
      <c r="O58" s="1901"/>
      <c r="P58" s="1902"/>
      <c r="Q58" s="1900"/>
      <c r="R58" s="1903"/>
      <c r="S58" s="1903"/>
      <c r="T58" s="1903"/>
      <c r="U58" s="1903"/>
      <c r="V58" s="1903"/>
      <c r="W58" s="1903"/>
      <c r="X58" s="1904"/>
      <c r="Y58" s="1904"/>
      <c r="Z58" s="1904"/>
      <c r="AA58" s="6"/>
      <c r="AB58" s="6"/>
      <c r="AC58" s="6"/>
      <c r="AD58" s="6"/>
      <c r="AE58" s="6"/>
    </row>
    <row r="59" spans="1:31" ht="15.75" customHeight="1">
      <c r="A59" s="6"/>
      <c r="B59" s="455" t="s">
        <v>1540</v>
      </c>
      <c r="C59" s="1898">
        <f>I59/G59</f>
        <v>0.99135000000000006</v>
      </c>
      <c r="D59" s="1898">
        <v>0</v>
      </c>
      <c r="E59" s="1898">
        <v>0</v>
      </c>
      <c r="F59" s="560">
        <f>SUM(C59:E59)</f>
        <v>0.99135000000000006</v>
      </c>
      <c r="G59" s="1900">
        <v>0.5</v>
      </c>
      <c r="H59" s="1900">
        <v>0.5</v>
      </c>
      <c r="I59" s="1898">
        <f>P59*Q59</f>
        <v>0.49567500000000003</v>
      </c>
      <c r="J59" s="1904">
        <f>D59*G59</f>
        <v>0</v>
      </c>
      <c r="K59" s="1904">
        <f>E59*G59</f>
        <v>0</v>
      </c>
      <c r="L59" s="560">
        <f>SUM(I59:K59)</f>
        <v>0.49567500000000003</v>
      </c>
      <c r="M59" s="1901">
        <f t="shared" ref="M59:O59" si="32">((I59*1000000)/35.31)*($D$5/($D$6*$G$7))*0.0000011023</f>
        <v>10.153526554333695</v>
      </c>
      <c r="N59" s="1901">
        <f t="shared" si="32"/>
        <v>0</v>
      </c>
      <c r="O59" s="1901">
        <f t="shared" si="32"/>
        <v>0</v>
      </c>
      <c r="P59" s="1898">
        <f>660900/1000000</f>
        <v>0.66090000000000004</v>
      </c>
      <c r="Q59" s="1900">
        <v>0.75</v>
      </c>
      <c r="R59" s="1903">
        <f>((F59*H59*((1-Q59)/Q59)*1000000))/35.31</f>
        <v>4679.2693288020391</v>
      </c>
      <c r="S59" s="1903">
        <f>((R59*$D$4)/($D$6*$G$7))*0.00000110231</f>
        <v>9.2840679280654879</v>
      </c>
      <c r="T59" s="1903">
        <f t="shared" ref="T59:V59" si="33">2.75*M59</f>
        <v>27.922198024417661</v>
      </c>
      <c r="U59" s="1903">
        <f t="shared" si="33"/>
        <v>0</v>
      </c>
      <c r="V59" s="1903">
        <f t="shared" si="33"/>
        <v>0</v>
      </c>
      <c r="W59" s="1903">
        <f>(((F59*G59)*((1-Q59)/Q59))*1000000/35.31)*($D$5/($D$6*$G$7))*0.0000011023</f>
        <v>3.384508851444564</v>
      </c>
      <c r="X59" s="1904">
        <f>(((C59*G59)*(1-$D$15))*1000000/35.31)*($D$5/($D$6*$G$7))*0.0000011023</f>
        <v>0.20307053108667406</v>
      </c>
      <c r="Y59" s="1904">
        <f>(((D59*G59)*(1-$D$16))*1000000/35.31)*($D$5/($D$6*$G$7))*0.0000011023</f>
        <v>0</v>
      </c>
      <c r="Z59" s="1904">
        <f>(((E59*G59)*(1-$D$17))*1000000/35.31)*($D$5/($D$6*$G$7))*0.0000011023</f>
        <v>0</v>
      </c>
      <c r="AA59" s="6"/>
      <c r="AB59" s="6"/>
      <c r="AC59" s="6"/>
      <c r="AD59" s="6"/>
      <c r="AE59" s="6"/>
    </row>
    <row r="60" spans="1:31" ht="15.75" customHeight="1">
      <c r="A60" s="6"/>
      <c r="B60" s="455"/>
      <c r="C60" s="1898"/>
      <c r="D60" s="1898"/>
      <c r="E60" s="1898"/>
      <c r="F60" s="1899"/>
      <c r="G60" s="1900"/>
      <c r="H60" s="1900"/>
      <c r="I60" s="560"/>
      <c r="J60" s="1904"/>
      <c r="K60" s="1904"/>
      <c r="L60" s="560"/>
      <c r="M60" s="1901"/>
      <c r="N60" s="1901"/>
      <c r="O60" s="1901"/>
      <c r="P60" s="1902"/>
      <c r="Q60" s="1900"/>
      <c r="R60" s="1903"/>
      <c r="S60" s="1903"/>
      <c r="T60" s="1903"/>
      <c r="U60" s="1903"/>
      <c r="V60" s="1903"/>
      <c r="W60" s="1903"/>
      <c r="X60" s="1904"/>
      <c r="Y60" s="1904"/>
      <c r="Z60" s="1904"/>
      <c r="AA60" s="6"/>
      <c r="AB60" s="6"/>
      <c r="AC60" s="6"/>
      <c r="AD60" s="6"/>
      <c r="AE60" s="6"/>
    </row>
    <row r="61" spans="1:31" ht="15.75" customHeight="1">
      <c r="A61" s="6"/>
      <c r="B61" s="455" t="s">
        <v>1541</v>
      </c>
      <c r="C61" s="1898">
        <f>I61/G61</f>
        <v>364</v>
      </c>
      <c r="D61" s="1898">
        <v>0</v>
      </c>
      <c r="E61" s="1898">
        <v>0</v>
      </c>
      <c r="F61" s="1898">
        <f>SUM(C61:E61)</f>
        <v>364</v>
      </c>
      <c r="G61" s="1900">
        <v>0.5</v>
      </c>
      <c r="H61" s="1900">
        <v>0.5</v>
      </c>
      <c r="I61" s="1898">
        <f>P61*Q61</f>
        <v>182</v>
      </c>
      <c r="J61" s="1904">
        <f>D61*G61</f>
        <v>0</v>
      </c>
      <c r="K61" s="1904">
        <f>E61*G61</f>
        <v>0</v>
      </c>
      <c r="L61" s="1898">
        <f>SUM(I61:K61)</f>
        <v>182</v>
      </c>
      <c r="M61" s="1901">
        <f t="shared" ref="M61:O61" si="34">((I61*1000000)/35.31)*($D$5/($D$6*$G$7))*0.0000011023</f>
        <v>3728.1320076435813</v>
      </c>
      <c r="N61" s="1901">
        <f t="shared" si="34"/>
        <v>0</v>
      </c>
      <c r="O61" s="1901">
        <f t="shared" si="34"/>
        <v>0</v>
      </c>
      <c r="P61" s="1898">
        <f>260000000/1000000</f>
        <v>260</v>
      </c>
      <c r="Q61" s="1900">
        <v>0.7</v>
      </c>
      <c r="R61" s="1903">
        <f>((F61*H61*((1-Q61)/Q61)*1000000))/35.31</f>
        <v>2209005.9473237046</v>
      </c>
      <c r="S61" s="1903">
        <f>((R61*$D$4)/($D$6*$G$7))*0.00000110231</f>
        <v>4382.8554903259692</v>
      </c>
      <c r="T61" s="1903">
        <f t="shared" ref="T61:V61" si="35">2.75*M61</f>
        <v>10252.363021019848</v>
      </c>
      <c r="U61" s="1903">
        <f t="shared" si="35"/>
        <v>0</v>
      </c>
      <c r="V61" s="1903">
        <f t="shared" si="35"/>
        <v>0</v>
      </c>
      <c r="W61" s="1903">
        <f>(((F61*G61)*((1-Q61)/Q61))*1000000/35.31)*($D$5/($D$6*$G$7))*0.0000011023</f>
        <v>1597.770860418678</v>
      </c>
      <c r="X61" s="1904">
        <f>(((C61*G61)*(1-$D$15))*1000000/35.31)*($D$5/($D$6*$G$7))*0.0000011023</f>
        <v>74.56264015287168</v>
      </c>
      <c r="Y61" s="1904">
        <f>(((D61*G61)*(1-$D$16))*1000000/35.31)*($D$5/($D$6*$G$7))*0.0000011023</f>
        <v>0</v>
      </c>
      <c r="Z61" s="1904">
        <f>(((E61*G61)*(1-$D$17))*1000000/35.31)*($D$5/($D$6*$G$7))*0.0000011023</f>
        <v>0</v>
      </c>
      <c r="AA61" s="6"/>
      <c r="AB61" s="6"/>
      <c r="AC61" s="6"/>
      <c r="AD61" s="6"/>
      <c r="AE61" s="6"/>
    </row>
    <row r="62" spans="1:31" ht="15.75" customHeight="1">
      <c r="A62" s="6"/>
      <c r="B62" s="455"/>
      <c r="C62" s="1898"/>
      <c r="D62" s="1898"/>
      <c r="E62" s="1898"/>
      <c r="F62" s="1898"/>
      <c r="G62" s="1900"/>
      <c r="H62" s="1900"/>
      <c r="I62" s="1898"/>
      <c r="J62" s="1898"/>
      <c r="K62" s="1898"/>
      <c r="L62" s="1898"/>
      <c r="M62" s="1901"/>
      <c r="N62" s="1901"/>
      <c r="O62" s="1901"/>
      <c r="P62" s="1898"/>
      <c r="Q62" s="1898"/>
      <c r="R62" s="1904"/>
      <c r="S62" s="1904"/>
      <c r="T62" s="1903"/>
      <c r="U62" s="1903"/>
      <c r="V62" s="1904"/>
      <c r="W62" s="1904"/>
      <c r="X62" s="1904"/>
      <c r="Y62" s="1904"/>
      <c r="Z62" s="1904"/>
      <c r="AA62" s="6"/>
      <c r="AB62" s="6"/>
      <c r="AC62" s="6"/>
      <c r="AD62" s="6"/>
      <c r="AE62" s="6"/>
    </row>
    <row r="63" spans="1:31" ht="15.75" customHeight="1">
      <c r="A63" s="6"/>
      <c r="B63" s="455" t="s">
        <v>1417</v>
      </c>
      <c r="C63" s="560">
        <f>30631649/1000000</f>
        <v>30.631648999999999</v>
      </c>
      <c r="D63" s="1898">
        <v>0</v>
      </c>
      <c r="E63" s="1898">
        <v>0</v>
      </c>
      <c r="F63" s="560">
        <f>SUM(C63:E63)</f>
        <v>30.631648999999999</v>
      </c>
      <c r="G63" s="1900">
        <v>0.30380000000000001</v>
      </c>
      <c r="H63" s="1900">
        <v>0.5</v>
      </c>
      <c r="I63" s="560">
        <f>C63*G63</f>
        <v>9.3058949662000003</v>
      </c>
      <c r="J63" s="1904">
        <f>D63*G63</f>
        <v>0</v>
      </c>
      <c r="K63" s="1904">
        <f>E63*G63</f>
        <v>0</v>
      </c>
      <c r="L63" s="560">
        <f>SUM(I63:K63)</f>
        <v>9.3058949662000003</v>
      </c>
      <c r="M63" s="1901">
        <f t="shared" ref="M63:O63" si="36">((I63*1000000)/35.31)*($D$5/($D$6*$G$7))*0.0000011023</f>
        <v>190.62420265527197</v>
      </c>
      <c r="N63" s="1901">
        <f t="shared" si="36"/>
        <v>0</v>
      </c>
      <c r="O63" s="1901">
        <f t="shared" si="36"/>
        <v>0</v>
      </c>
      <c r="P63" s="1898">
        <f>28070000/1000000</f>
        <v>28.07</v>
      </c>
      <c r="Q63" s="1900">
        <f>L63/P63</f>
        <v>0.33152458019950126</v>
      </c>
      <c r="R63" s="1903">
        <f>((F63*H63*((1-Q63)/Q63)*1000000))/35.31</f>
        <v>874605.83919647813</v>
      </c>
      <c r="S63" s="1903">
        <f>((R63*$D$4)/($D$6*$G$7))*0.00000110231</f>
        <v>1735.292296898336</v>
      </c>
      <c r="T63" s="1903">
        <f t="shared" ref="T63:V63" si="37">2.75*M63</f>
        <v>524.21655730199791</v>
      </c>
      <c r="U63" s="1903">
        <f t="shared" si="37"/>
        <v>0</v>
      </c>
      <c r="V63" s="1903">
        <f t="shared" si="37"/>
        <v>0</v>
      </c>
      <c r="W63" s="1903">
        <f>(((F63*G63)*((1-Q63)/Q63))*1000000/35.31)*($D$5/($D$6*$G$7))*0.0000011023</f>
        <v>384.36846467744954</v>
      </c>
      <c r="X63" s="1904">
        <f>(((C63*G63)*(1-$D$15))*1000000/35.31)*($D$5/($D$6*$G$7))*0.0000011023</f>
        <v>3.8124840531054431</v>
      </c>
      <c r="Y63" s="1904">
        <f>(((D63*G63)*(1-$D$16))*1000000/35.31)*($D$5/($D$6*$G$7))*0.0000011023</f>
        <v>0</v>
      </c>
      <c r="Z63" s="1904">
        <f>(((E63*G63)*(1-$D$17))*1000000/35.31)*($D$5/($D$6*$G$7))*0.0000011023</f>
        <v>0</v>
      </c>
      <c r="AA63" s="6"/>
      <c r="AB63" s="6"/>
      <c r="AC63" s="6"/>
      <c r="AD63" s="6"/>
      <c r="AE63" s="6"/>
    </row>
    <row r="64" spans="1:31" ht="15.75" customHeight="1">
      <c r="A64" s="6"/>
      <c r="B64" s="455"/>
      <c r="C64" s="1898"/>
      <c r="D64" s="1898"/>
      <c r="E64" s="1898"/>
      <c r="F64" s="1898"/>
      <c r="G64" s="1900"/>
      <c r="H64" s="1900"/>
      <c r="I64" s="1898"/>
      <c r="J64" s="1898"/>
      <c r="K64" s="1898"/>
      <c r="L64" s="1898"/>
      <c r="M64" s="1901"/>
      <c r="N64" s="1901"/>
      <c r="O64" s="1901"/>
      <c r="P64" s="1898"/>
      <c r="Q64" s="1898"/>
      <c r="R64" s="1904"/>
      <c r="S64" s="1904"/>
      <c r="T64" s="1903"/>
      <c r="U64" s="1903"/>
      <c r="V64" s="1904"/>
      <c r="W64" s="1904"/>
      <c r="X64" s="1904"/>
      <c r="Y64" s="1904"/>
      <c r="Z64" s="1904"/>
      <c r="AA64" s="6"/>
      <c r="AB64" s="6"/>
      <c r="AC64" s="6"/>
      <c r="AD64" s="6"/>
      <c r="AE64" s="6"/>
    </row>
    <row r="65" spans="1:31" ht="15.75" customHeight="1">
      <c r="A65" s="6"/>
      <c r="B65" s="455" t="s">
        <v>1422</v>
      </c>
      <c r="C65" s="560">
        <f>212727879/1000000</f>
        <v>212.727879</v>
      </c>
      <c r="D65" s="1898">
        <v>0</v>
      </c>
      <c r="E65" s="1898">
        <v>0</v>
      </c>
      <c r="F65" s="560">
        <f>SUM(C65:E65)</f>
        <v>212.727879</v>
      </c>
      <c r="G65" s="1900">
        <v>0.437</v>
      </c>
      <c r="H65" s="1900">
        <v>0.5</v>
      </c>
      <c r="I65" s="560">
        <f>C65*G65</f>
        <v>92.962083122999999</v>
      </c>
      <c r="J65" s="1904">
        <f>D65*G65</f>
        <v>0</v>
      </c>
      <c r="K65" s="1904">
        <f>E65*G65</f>
        <v>0</v>
      </c>
      <c r="L65" s="560">
        <f>SUM(I65:K65)</f>
        <v>92.962083122999999</v>
      </c>
      <c r="M65" s="1901">
        <f t="shared" ref="M65:O65" si="38">((I65*1000000)/35.31)*($D$5/($D$6*$G$7))*0.0000011023</f>
        <v>1904.2577889454913</v>
      </c>
      <c r="N65" s="1901">
        <f t="shared" si="38"/>
        <v>0</v>
      </c>
      <c r="O65" s="1901">
        <f t="shared" si="38"/>
        <v>0</v>
      </c>
      <c r="P65" s="1898">
        <f>217000000/1000000</f>
        <v>217</v>
      </c>
      <c r="Q65" s="1900">
        <f>L65/P65</f>
        <v>0.42839669641935485</v>
      </c>
      <c r="R65" s="1903">
        <f>((F65*H65*((1-Q65)/Q65)*1000000))/35.31</f>
        <v>4019252.7148233326</v>
      </c>
      <c r="S65" s="1903">
        <f>((R65*$D$4)/($D$6*$G$7))*0.00000110231</f>
        <v>7974.5388868297159</v>
      </c>
      <c r="T65" s="1903">
        <f t="shared" ref="T65:V65" si="39">2.75*M65</f>
        <v>5236.7089196001007</v>
      </c>
      <c r="U65" s="1903">
        <f t="shared" si="39"/>
        <v>0</v>
      </c>
      <c r="V65" s="1903">
        <f t="shared" si="39"/>
        <v>0</v>
      </c>
      <c r="W65" s="1903">
        <f>(((F65*G65)*((1-Q65)/Q65))*1000000/35.31)*($D$5/($D$6*$G$7))*0.0000011023</f>
        <v>2540.8226817064706</v>
      </c>
      <c r="X65" s="1904">
        <f>(((C65*G65)*(1-$D$15))*1000000/35.31)*($D$5/($D$6*$G$7))*0.0000011023</f>
        <v>38.085155778909872</v>
      </c>
      <c r="Y65" s="1904">
        <f>(((D65*G65)*(1-$D$16))*1000000/35.31)*($D$5/($D$6*$G$7))*0.0000011023</f>
        <v>0</v>
      </c>
      <c r="Z65" s="1904">
        <f>(((E65*G65)*(1-$D$17))*1000000/35.31)*($D$5/($D$6*$G$7))*0.0000011023</f>
        <v>0</v>
      </c>
      <c r="AA65" s="6"/>
      <c r="AB65" s="6"/>
      <c r="AC65" s="6"/>
      <c r="AD65" s="6"/>
      <c r="AE65" s="6"/>
    </row>
    <row r="66" spans="1:31" ht="15.75" customHeight="1">
      <c r="A66" s="6"/>
      <c r="B66" s="1910"/>
      <c r="C66" s="1910"/>
      <c r="D66" s="1910"/>
      <c r="E66" s="1910"/>
      <c r="F66" s="1910"/>
      <c r="G66" s="1911"/>
      <c r="H66" s="1911"/>
      <c r="I66" s="1910"/>
      <c r="J66" s="1910"/>
      <c r="K66" s="1910"/>
      <c r="L66" s="1910"/>
      <c r="M66" s="1912"/>
      <c r="N66" s="1912"/>
      <c r="O66" s="1912"/>
      <c r="P66" s="1910"/>
      <c r="Q66" s="1910"/>
      <c r="R66" s="1912"/>
      <c r="S66" s="1912"/>
      <c r="T66" s="1912"/>
      <c r="U66" s="1912"/>
      <c r="V66" s="1912"/>
      <c r="W66" s="1912"/>
      <c r="X66" s="1912"/>
      <c r="Y66" s="1912"/>
      <c r="Z66" s="1912"/>
      <c r="AA66" s="6"/>
      <c r="AB66" s="6"/>
      <c r="AC66" s="6"/>
      <c r="AD66" s="6"/>
      <c r="AE66" s="6"/>
    </row>
    <row r="67" spans="1:31" ht="15.75" customHeight="1">
      <c r="A67" s="6"/>
      <c r="B67" s="1913" t="s">
        <v>88</v>
      </c>
      <c r="C67" s="1914"/>
      <c r="D67" s="1914"/>
      <c r="E67" s="1914"/>
      <c r="F67" s="1914"/>
      <c r="G67" s="1914"/>
      <c r="H67" s="1914"/>
      <c r="I67" s="1914"/>
      <c r="J67" s="1914"/>
      <c r="K67" s="1914"/>
      <c r="L67" s="1914"/>
      <c r="M67" s="1915">
        <f t="shared" ref="M67:O67" si="40">SUM(M26:M61)</f>
        <v>18262.602687399354</v>
      </c>
      <c r="N67" s="1915">
        <f t="shared" si="40"/>
        <v>8801.7834621858274</v>
      </c>
      <c r="O67" s="1915">
        <f t="shared" si="40"/>
        <v>32921.944662148548</v>
      </c>
      <c r="P67" s="1915"/>
      <c r="Q67" s="1915"/>
      <c r="R67" s="1916"/>
      <c r="S67" s="1916"/>
      <c r="T67" s="1915">
        <f t="shared" ref="T67:Z67" si="41">SUM(T26:T61)</f>
        <v>50222.15739034822</v>
      </c>
      <c r="U67" s="1915">
        <f t="shared" si="41"/>
        <v>24204.904521011027</v>
      </c>
      <c r="V67" s="1915">
        <f t="shared" si="41"/>
        <v>90535.347820908515</v>
      </c>
      <c r="W67" s="1915">
        <f t="shared" si="41"/>
        <v>31789.282535574283</v>
      </c>
      <c r="X67" s="1915">
        <f t="shared" si="41"/>
        <v>365.25205374798736</v>
      </c>
      <c r="Y67" s="1915">
        <f t="shared" si="41"/>
        <v>17.603566924371677</v>
      </c>
      <c r="Z67" s="1915">
        <f t="shared" si="41"/>
        <v>738.14321955187722</v>
      </c>
      <c r="AA67" s="6"/>
      <c r="AB67" s="6"/>
      <c r="AC67" s="6"/>
      <c r="AD67" s="6"/>
      <c r="AE67" s="6"/>
    </row>
    <row r="68" spans="1:31"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row>
    <row r="69" spans="1:31"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row>
    <row r="70" spans="1:31" ht="15.75" customHeight="1">
      <c r="A70" s="6"/>
      <c r="B70" s="6"/>
      <c r="C70" s="6"/>
      <c r="D70" s="6"/>
      <c r="E70" s="6"/>
      <c r="F70" s="6"/>
      <c r="G70" s="6"/>
      <c r="H70" s="6"/>
      <c r="I70" s="6"/>
      <c r="J70" s="6"/>
      <c r="K70" s="6"/>
      <c r="L70" s="6"/>
      <c r="M70" s="6"/>
      <c r="N70" s="6"/>
      <c r="O70" s="6"/>
      <c r="P70" s="6"/>
      <c r="Q70" s="6"/>
      <c r="R70" s="6"/>
      <c r="S70" s="6"/>
      <c r="T70" s="1917"/>
      <c r="U70" s="6"/>
      <c r="V70" s="6"/>
      <c r="W70" s="6"/>
      <c r="X70" s="6"/>
      <c r="Y70" s="6"/>
      <c r="Z70" s="6"/>
      <c r="AA70" s="6"/>
      <c r="AB70" s="6"/>
      <c r="AC70" s="6"/>
      <c r="AD70" s="6"/>
      <c r="AE70" s="6"/>
    </row>
    <row r="71" spans="1:31"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row>
    <row r="72" spans="1:31"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row>
    <row r="73" spans="1:31"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row>
    <row r="74" spans="1:31"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row>
    <row r="75" spans="1:31"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row>
    <row r="76" spans="1:31"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row>
    <row r="77" spans="1:31"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row>
    <row r="78" spans="1:31"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row>
    <row r="79" spans="1:31"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row>
    <row r="80" spans="1:31"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row>
    <row r="81" spans="1:31"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row>
    <row r="82" spans="1:31"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row>
    <row r="83" spans="1:31"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row>
    <row r="84" spans="1:31"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row>
    <row r="85" spans="1:31"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row>
    <row r="86" spans="1:31"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row>
    <row r="87" spans="1:31"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row>
    <row r="88" spans="1:31"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row>
    <row r="89" spans="1:31"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row>
    <row r="90" spans="1:31"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row>
    <row r="91" spans="1:31"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row>
    <row r="92" spans="1:31"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row>
    <row r="93" spans="1:31"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row>
    <row r="94" spans="1:31"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row>
    <row r="95" spans="1:31"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row>
    <row r="96" spans="1:31"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row>
    <row r="97" spans="1:31"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row>
    <row r="98" spans="1:31"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row>
    <row r="99" spans="1:31"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row>
    <row r="100" spans="1:31"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row>
    <row r="101" spans="1:31"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row>
    <row r="102" spans="1:31"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row>
    <row r="103" spans="1:31"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row>
    <row r="104" spans="1:31"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row>
    <row r="105" spans="1:31"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row>
    <row r="106" spans="1:31"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row>
    <row r="107" spans="1:31"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row>
    <row r="108" spans="1:31"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row>
    <row r="109" spans="1:31"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row>
    <row r="110" spans="1:31"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row>
    <row r="111" spans="1:31"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row>
    <row r="112" spans="1:31"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row>
    <row r="113" spans="1:31"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row>
    <row r="114" spans="1:31"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row>
    <row r="115" spans="1:31"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row>
    <row r="116" spans="1:31"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row>
    <row r="117" spans="1:31"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row>
    <row r="118" spans="1:31"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row>
    <row r="119" spans="1:31"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row>
    <row r="120" spans="1:31"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row>
    <row r="121" spans="1:31"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row>
    <row r="122" spans="1:31"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row>
    <row r="123" spans="1:31"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row>
    <row r="124" spans="1:31"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row>
    <row r="125" spans="1:31"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row>
    <row r="126" spans="1:31"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row>
    <row r="127" spans="1:31"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row>
    <row r="128" spans="1:31"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row>
    <row r="129" spans="1:31"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row>
    <row r="130" spans="1:31"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row>
    <row r="131" spans="1:31"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row>
    <row r="132" spans="1:31"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row>
    <row r="133" spans="1:31"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row>
    <row r="134" spans="1:31"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row>
    <row r="135" spans="1:31"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row>
    <row r="136" spans="1:31"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row>
    <row r="137" spans="1:31"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row>
    <row r="138" spans="1:31"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row>
    <row r="139" spans="1:31"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row>
    <row r="140" spans="1:31"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row>
    <row r="141" spans="1:31"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row>
    <row r="142" spans="1:31"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row>
    <row r="143" spans="1:31"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row>
    <row r="144" spans="1:31"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row>
    <row r="145" spans="1:31"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row>
    <row r="146" spans="1:31"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row>
    <row r="147" spans="1:31"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row>
    <row r="148" spans="1:31"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row>
    <row r="149" spans="1:31"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row>
    <row r="150" spans="1:31"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row>
    <row r="151" spans="1:31"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row>
    <row r="152" spans="1:31"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row>
    <row r="153" spans="1:31"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row>
    <row r="154" spans="1:31"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row>
    <row r="155" spans="1:31"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row>
    <row r="156" spans="1:31"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row>
    <row r="157" spans="1:31"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row>
    <row r="158" spans="1:31"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row>
    <row r="159" spans="1:31"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row>
    <row r="160" spans="1:31"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row>
    <row r="161" spans="1:31"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row>
    <row r="162" spans="1:31"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row>
    <row r="163" spans="1:31"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row>
    <row r="164" spans="1:31"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row>
    <row r="165" spans="1:31"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row>
    <row r="166" spans="1:31"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row>
    <row r="167" spans="1:31"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row>
    <row r="168" spans="1:31"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row>
    <row r="169" spans="1:31"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row>
    <row r="170" spans="1:31"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row>
    <row r="171" spans="1:31"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row>
    <row r="172" spans="1:31"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row>
    <row r="173" spans="1:31"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row>
    <row r="174" spans="1:31"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row>
    <row r="175" spans="1:31"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row>
    <row r="176" spans="1:31"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row>
    <row r="177" spans="1:31"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row>
    <row r="178" spans="1:31"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row>
    <row r="179" spans="1:31"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row>
    <row r="180" spans="1:31"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row>
    <row r="181" spans="1:31"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row>
    <row r="182" spans="1:31"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row>
    <row r="183" spans="1:31"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row>
    <row r="184" spans="1:31"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row>
    <row r="185" spans="1:31"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row>
    <row r="186" spans="1:31"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row>
    <row r="187" spans="1:31"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row>
    <row r="188" spans="1:31"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row>
    <row r="189" spans="1:31"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row>
    <row r="190" spans="1:31"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row>
    <row r="191" spans="1:31"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row>
    <row r="192" spans="1:31"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row>
    <row r="193" spans="1:31"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row>
    <row r="194" spans="1:31"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row>
    <row r="195" spans="1:31"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row>
    <row r="196" spans="1:31"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row>
    <row r="197" spans="1:31"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row>
    <row r="198" spans="1:31"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row>
    <row r="199" spans="1:31"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row>
    <row r="200" spans="1:31"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row>
    <row r="201" spans="1:31"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row>
    <row r="202" spans="1:31"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row>
    <row r="203" spans="1:31"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row>
    <row r="204" spans="1:31"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row>
    <row r="205" spans="1:31"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row>
    <row r="206" spans="1:31"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row>
    <row r="207" spans="1:31"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row>
    <row r="208" spans="1:31"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row>
    <row r="209" spans="1:31"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row>
    <row r="210" spans="1:31"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row>
    <row r="211" spans="1:31"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row>
    <row r="212" spans="1:31"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row>
    <row r="213" spans="1:31"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row>
    <row r="214" spans="1:31"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row>
    <row r="215" spans="1:31"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row>
    <row r="216" spans="1:31"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row>
    <row r="217" spans="1:31"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row>
    <row r="218" spans="1:31"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row>
    <row r="219" spans="1:31"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row>
    <row r="220" spans="1:31"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row>
    <row r="221" spans="1:31"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row>
    <row r="222" spans="1:31"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row>
    <row r="223" spans="1:31"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row>
    <row r="224" spans="1:31"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row>
    <row r="225" spans="1:31"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row>
    <row r="226" spans="1:31"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row>
    <row r="227" spans="1:31"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row>
    <row r="228" spans="1:31"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row>
    <row r="229" spans="1:31"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row>
    <row r="230" spans="1:31"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row>
    <row r="231" spans="1:31"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row>
    <row r="232" spans="1:31"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row>
    <row r="233" spans="1:31"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row>
    <row r="234" spans="1:31"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row>
    <row r="235" spans="1:31"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row>
    <row r="236" spans="1:31"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row>
    <row r="237" spans="1:31"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row>
    <row r="238" spans="1:31"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row>
    <row r="239" spans="1:31"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row>
    <row r="240" spans="1:31"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row>
    <row r="241" spans="1:31"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row>
    <row r="242" spans="1:31"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row>
    <row r="243" spans="1:31"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row>
    <row r="244" spans="1:31"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row>
    <row r="245" spans="1:31"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row>
    <row r="246" spans="1:31"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row>
    <row r="247" spans="1:31"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row>
    <row r="248" spans="1:31"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row>
    <row r="249" spans="1:31"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row>
    <row r="250" spans="1:31"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row>
    <row r="251" spans="1:31"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row>
    <row r="252" spans="1:31"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row>
    <row r="253" spans="1:31"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row>
    <row r="254" spans="1:31"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row>
    <row r="255" spans="1:31"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row>
    <row r="256" spans="1:31"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row>
    <row r="257" spans="1:31"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row>
    <row r="258" spans="1:31"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row>
    <row r="259" spans="1:31"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row>
    <row r="260" spans="1:31"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row>
    <row r="261" spans="1:31"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row>
    <row r="262" spans="1:31"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row>
    <row r="263" spans="1:31"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row>
    <row r="264" spans="1:31"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row>
    <row r="265" spans="1:31"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row>
    <row r="266" spans="1:31"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row>
    <row r="267" spans="1:31"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row>
    <row r="268" spans="1:31" ht="15.75" customHeight="1">
      <c r="A268" s="1918"/>
      <c r="B268" s="1918"/>
      <c r="C268" s="1918"/>
      <c r="D268" s="1918"/>
      <c r="E268" s="1918"/>
      <c r="F268" s="1918"/>
      <c r="G268" s="1918"/>
      <c r="H268" s="1918"/>
      <c r="I268" s="1918"/>
      <c r="J268" s="1918"/>
      <c r="K268" s="1918"/>
      <c r="L268" s="1918"/>
      <c r="M268" s="1918"/>
      <c r="N268" s="1918"/>
      <c r="O268" s="1918"/>
      <c r="P268" s="1918"/>
      <c r="Q268" s="1918"/>
      <c r="R268" s="1918"/>
      <c r="S268" s="1918"/>
      <c r="T268" s="1918"/>
      <c r="U268" s="1918"/>
      <c r="V268" s="1918"/>
      <c r="W268" s="1918"/>
      <c r="X268" s="1918"/>
      <c r="Y268" s="1918"/>
      <c r="Z268" s="1918"/>
      <c r="AA268" s="1918"/>
      <c r="AB268" s="1918"/>
      <c r="AC268" s="1918"/>
      <c r="AD268" s="1918"/>
      <c r="AE268" s="1918"/>
    </row>
    <row r="269" spans="1:31" ht="15.75" customHeight="1">
      <c r="A269" s="1918"/>
      <c r="B269" s="1918"/>
      <c r="C269" s="1918"/>
      <c r="D269" s="1918"/>
      <c r="E269" s="1918"/>
      <c r="F269" s="1918"/>
      <c r="G269" s="1918"/>
      <c r="H269" s="1918"/>
      <c r="I269" s="1918"/>
      <c r="J269" s="1918"/>
      <c r="K269" s="1918"/>
      <c r="L269" s="1918"/>
      <c r="M269" s="1918"/>
      <c r="N269" s="1918"/>
      <c r="O269" s="1918"/>
      <c r="P269" s="1918"/>
      <c r="Q269" s="1918"/>
      <c r="R269" s="1918"/>
      <c r="S269" s="1918"/>
      <c r="T269" s="1918"/>
      <c r="U269" s="1918"/>
      <c r="V269" s="1918"/>
      <c r="W269" s="1918"/>
      <c r="X269" s="1918"/>
      <c r="Y269" s="1918"/>
      <c r="Z269" s="1918"/>
      <c r="AA269" s="1918"/>
      <c r="AB269" s="1918"/>
      <c r="AC269" s="1918"/>
      <c r="AD269" s="1918"/>
      <c r="AE269" s="1918"/>
    </row>
    <row r="270" spans="1:31" ht="15.75" customHeight="1">
      <c r="A270" s="1918"/>
      <c r="B270" s="1918"/>
      <c r="C270" s="1918"/>
      <c r="D270" s="1918"/>
      <c r="E270" s="1918"/>
      <c r="F270" s="1918"/>
      <c r="G270" s="1918"/>
      <c r="H270" s="1918"/>
      <c r="I270" s="1918"/>
      <c r="J270" s="1918"/>
      <c r="K270" s="1918"/>
      <c r="L270" s="1918"/>
      <c r="M270" s="1918"/>
      <c r="N270" s="1918"/>
      <c r="O270" s="1918"/>
      <c r="P270" s="1918"/>
      <c r="Q270" s="1918"/>
      <c r="R270" s="1918"/>
      <c r="S270" s="1918"/>
      <c r="T270" s="1918"/>
      <c r="U270" s="1918"/>
      <c r="V270" s="1918"/>
      <c r="W270" s="1918"/>
      <c r="X270" s="1918"/>
      <c r="Y270" s="1918"/>
      <c r="Z270" s="1918"/>
      <c r="AA270" s="1918"/>
      <c r="AB270" s="1918"/>
      <c r="AC270" s="1918"/>
      <c r="AD270" s="1918"/>
      <c r="AE270" s="1918"/>
    </row>
    <row r="271" spans="1:31" ht="15.75" customHeight="1">
      <c r="A271" s="1918"/>
      <c r="B271" s="1918"/>
      <c r="C271" s="1918"/>
      <c r="D271" s="1918"/>
      <c r="E271" s="1918"/>
      <c r="F271" s="1918"/>
      <c r="G271" s="1918"/>
      <c r="H271" s="1918"/>
      <c r="I271" s="1918"/>
      <c r="J271" s="1918"/>
      <c r="K271" s="1918"/>
      <c r="L271" s="1918"/>
      <c r="M271" s="1918"/>
      <c r="N271" s="1918"/>
      <c r="O271" s="1918"/>
      <c r="P271" s="1918"/>
      <c r="Q271" s="1918"/>
      <c r="R271" s="1918"/>
      <c r="S271" s="1918"/>
      <c r="T271" s="1918"/>
      <c r="U271" s="1918"/>
      <c r="V271" s="1918"/>
      <c r="W271" s="1918"/>
      <c r="X271" s="1918"/>
      <c r="Y271" s="1918"/>
      <c r="Z271" s="1918"/>
      <c r="AA271" s="1918"/>
      <c r="AB271" s="1918"/>
      <c r="AC271" s="1918"/>
      <c r="AD271" s="1918"/>
      <c r="AE271" s="1918"/>
    </row>
    <row r="272" spans="1:31" ht="15.75" customHeight="1">
      <c r="A272" s="1918"/>
      <c r="B272" s="1918"/>
      <c r="C272" s="1918"/>
      <c r="D272" s="1918"/>
      <c r="E272" s="1918"/>
      <c r="F272" s="1918"/>
      <c r="G272" s="1918"/>
      <c r="H272" s="1918"/>
      <c r="I272" s="1918"/>
      <c r="J272" s="1918"/>
      <c r="K272" s="1918"/>
      <c r="L272" s="1918"/>
      <c r="M272" s="1918"/>
      <c r="N272" s="1918"/>
      <c r="O272" s="1918"/>
      <c r="P272" s="1918"/>
      <c r="Q272" s="1918"/>
      <c r="R272" s="1918"/>
      <c r="S272" s="1918"/>
      <c r="T272" s="1918"/>
      <c r="U272" s="1918"/>
      <c r="V272" s="1918"/>
      <c r="W272" s="1918"/>
      <c r="X272" s="1918"/>
      <c r="Y272" s="1918"/>
      <c r="Z272" s="1918"/>
      <c r="AA272" s="1918"/>
      <c r="AB272" s="1918"/>
      <c r="AC272" s="1918"/>
      <c r="AD272" s="1918"/>
      <c r="AE272" s="1918"/>
    </row>
    <row r="273" spans="1:31" ht="15.75" customHeight="1">
      <c r="A273" s="1918"/>
      <c r="B273" s="1918"/>
      <c r="C273" s="1918"/>
      <c r="D273" s="1918"/>
      <c r="E273" s="1918"/>
      <c r="F273" s="1918"/>
      <c r="G273" s="1918"/>
      <c r="H273" s="1918"/>
      <c r="I273" s="1918"/>
      <c r="J273" s="1918"/>
      <c r="K273" s="1918"/>
      <c r="L273" s="1918"/>
      <c r="M273" s="1918"/>
      <c r="N273" s="1918"/>
      <c r="O273" s="1918"/>
      <c r="P273" s="1918"/>
      <c r="Q273" s="1918"/>
      <c r="R273" s="1918"/>
      <c r="S273" s="1918"/>
      <c r="T273" s="1918"/>
      <c r="U273" s="1918"/>
      <c r="V273" s="1918"/>
      <c r="W273" s="1918"/>
      <c r="X273" s="1918"/>
      <c r="Y273" s="1918"/>
      <c r="Z273" s="1918"/>
      <c r="AA273" s="1918"/>
      <c r="AB273" s="1918"/>
      <c r="AC273" s="1918"/>
      <c r="AD273" s="1918"/>
      <c r="AE273" s="1918"/>
    </row>
    <row r="274" spans="1:31" ht="15.75" customHeight="1">
      <c r="A274" s="1918"/>
      <c r="B274" s="1918"/>
      <c r="C274" s="1918"/>
      <c r="D274" s="1918"/>
      <c r="E274" s="1918"/>
      <c r="F274" s="1918"/>
      <c r="G274" s="1918"/>
      <c r="H274" s="1918"/>
      <c r="I274" s="1918"/>
      <c r="J274" s="1918"/>
      <c r="K274" s="1918"/>
      <c r="L274" s="1918"/>
      <c r="M274" s="1918"/>
      <c r="N274" s="1918"/>
      <c r="O274" s="1918"/>
      <c r="P274" s="1918"/>
      <c r="Q274" s="1918"/>
      <c r="R274" s="1918"/>
      <c r="S274" s="1918"/>
      <c r="T274" s="1918"/>
      <c r="U274" s="1918"/>
      <c r="V274" s="1918"/>
      <c r="W274" s="1918"/>
      <c r="X274" s="1918"/>
      <c r="Y274" s="1918"/>
      <c r="Z274" s="1918"/>
      <c r="AA274" s="1918"/>
      <c r="AB274" s="1918"/>
      <c r="AC274" s="1918"/>
      <c r="AD274" s="1918"/>
      <c r="AE274" s="1918"/>
    </row>
    <row r="275" spans="1:31" ht="15.75" customHeight="1">
      <c r="A275" s="1918"/>
      <c r="B275" s="1918"/>
      <c r="C275" s="1918"/>
      <c r="D275" s="1918"/>
      <c r="E275" s="1918"/>
      <c r="F275" s="1918"/>
      <c r="G275" s="1918"/>
      <c r="H275" s="1918"/>
      <c r="I275" s="1918"/>
      <c r="J275" s="1918"/>
      <c r="K275" s="1918"/>
      <c r="L275" s="1918"/>
      <c r="M275" s="1918"/>
      <c r="N275" s="1918"/>
      <c r="O275" s="1918"/>
      <c r="P275" s="1918"/>
      <c r="Q275" s="1918"/>
      <c r="R275" s="1918"/>
      <c r="S275" s="1918"/>
      <c r="T275" s="1918"/>
      <c r="U275" s="1918"/>
      <c r="V275" s="1918"/>
      <c r="W275" s="1918"/>
      <c r="X275" s="1918"/>
      <c r="Y275" s="1918"/>
      <c r="Z275" s="1918"/>
      <c r="AA275" s="1918"/>
      <c r="AB275" s="1918"/>
      <c r="AC275" s="1918"/>
      <c r="AD275" s="1918"/>
      <c r="AE275" s="1918"/>
    </row>
    <row r="276" spans="1:31" ht="15.75" customHeight="1">
      <c r="A276" s="1918"/>
      <c r="B276" s="1918"/>
      <c r="C276" s="1918"/>
      <c r="D276" s="1918"/>
      <c r="E276" s="1918"/>
      <c r="F276" s="1918"/>
      <c r="G276" s="1918"/>
      <c r="H276" s="1918"/>
      <c r="I276" s="1918"/>
      <c r="J276" s="1918"/>
      <c r="K276" s="1918"/>
      <c r="L276" s="1918"/>
      <c r="M276" s="1918"/>
      <c r="N276" s="1918"/>
      <c r="O276" s="1918"/>
      <c r="P276" s="1918"/>
      <c r="Q276" s="1918"/>
      <c r="R276" s="1918"/>
      <c r="S276" s="1918"/>
      <c r="T276" s="1918"/>
      <c r="U276" s="1918"/>
      <c r="V276" s="1918"/>
      <c r="W276" s="1918"/>
      <c r="X276" s="1918"/>
      <c r="Y276" s="1918"/>
      <c r="Z276" s="1918"/>
      <c r="AA276" s="1918"/>
      <c r="AB276" s="1918"/>
      <c r="AC276" s="1918"/>
      <c r="AD276" s="1918"/>
      <c r="AE276" s="1918"/>
    </row>
    <row r="277" spans="1:31" ht="15.75" customHeight="1">
      <c r="A277" s="1918"/>
      <c r="B277" s="1918"/>
      <c r="C277" s="1918"/>
      <c r="D277" s="1918"/>
      <c r="E277" s="1918"/>
      <c r="F277" s="1918"/>
      <c r="G277" s="1918"/>
      <c r="H277" s="1918"/>
      <c r="I277" s="1918"/>
      <c r="J277" s="1918"/>
      <c r="K277" s="1918"/>
      <c r="L277" s="1918"/>
      <c r="M277" s="1918"/>
      <c r="N277" s="1918"/>
      <c r="O277" s="1918"/>
      <c r="P277" s="1918"/>
      <c r="Q277" s="1918"/>
      <c r="R277" s="1918"/>
      <c r="S277" s="1918"/>
      <c r="T277" s="1918"/>
      <c r="U277" s="1918"/>
      <c r="V277" s="1918"/>
      <c r="W277" s="1918"/>
      <c r="X277" s="1918"/>
      <c r="Y277" s="1918"/>
      <c r="Z277" s="1918"/>
      <c r="AA277" s="1918"/>
      <c r="AB277" s="1918"/>
      <c r="AC277" s="1918"/>
      <c r="AD277" s="1918"/>
      <c r="AE277" s="1918"/>
    </row>
    <row r="278" spans="1:31" ht="15.75" customHeight="1">
      <c r="A278" s="1918"/>
      <c r="B278" s="1918"/>
      <c r="C278" s="1918"/>
      <c r="D278" s="1918"/>
      <c r="E278" s="1918"/>
      <c r="F278" s="1918"/>
      <c r="G278" s="1918"/>
      <c r="H278" s="1918"/>
      <c r="I278" s="1918"/>
      <c r="J278" s="1918"/>
      <c r="K278" s="1918"/>
      <c r="L278" s="1918"/>
      <c r="M278" s="1918"/>
      <c r="N278" s="1918"/>
      <c r="O278" s="1918"/>
      <c r="P278" s="1918"/>
      <c r="Q278" s="1918"/>
      <c r="R278" s="1918"/>
      <c r="S278" s="1918"/>
      <c r="T278" s="1918"/>
      <c r="U278" s="1918"/>
      <c r="V278" s="1918"/>
      <c r="W278" s="1918"/>
      <c r="X278" s="1918"/>
      <c r="Y278" s="1918"/>
      <c r="Z278" s="1918"/>
      <c r="AA278" s="1918"/>
      <c r="AB278" s="1918"/>
      <c r="AC278" s="1918"/>
      <c r="AD278" s="1918"/>
      <c r="AE278" s="1918"/>
    </row>
    <row r="279" spans="1:31" ht="15.75" customHeight="1">
      <c r="A279" s="1918"/>
      <c r="B279" s="1918"/>
      <c r="C279" s="1918"/>
      <c r="D279" s="1918"/>
      <c r="E279" s="1918"/>
      <c r="F279" s="1918"/>
      <c r="G279" s="1918"/>
      <c r="H279" s="1918"/>
      <c r="I279" s="1918"/>
      <c r="J279" s="1918"/>
      <c r="K279" s="1918"/>
      <c r="L279" s="1918"/>
      <c r="M279" s="1918"/>
      <c r="N279" s="1918"/>
      <c r="O279" s="1918"/>
      <c r="P279" s="1918"/>
      <c r="Q279" s="1918"/>
      <c r="R279" s="1918"/>
      <c r="S279" s="1918"/>
      <c r="T279" s="1918"/>
      <c r="U279" s="1918"/>
      <c r="V279" s="1918"/>
      <c r="W279" s="1918"/>
      <c r="X279" s="1918"/>
      <c r="Y279" s="1918"/>
      <c r="Z279" s="1918"/>
      <c r="AA279" s="1918"/>
      <c r="AB279" s="1918"/>
      <c r="AC279" s="1918"/>
      <c r="AD279" s="1918"/>
      <c r="AE279" s="1918"/>
    </row>
    <row r="280" spans="1:31" ht="15.75" customHeight="1">
      <c r="A280" s="1918"/>
      <c r="B280" s="1918"/>
      <c r="C280" s="1918"/>
      <c r="D280" s="1918"/>
      <c r="E280" s="1918"/>
      <c r="F280" s="1918"/>
      <c r="G280" s="1918"/>
      <c r="H280" s="1918"/>
      <c r="I280" s="1918"/>
      <c r="J280" s="1918"/>
      <c r="K280" s="1918"/>
      <c r="L280" s="1918"/>
      <c r="M280" s="1918"/>
      <c r="N280" s="1918"/>
      <c r="O280" s="1918"/>
      <c r="P280" s="1918"/>
      <c r="Q280" s="1918"/>
      <c r="R280" s="1918"/>
      <c r="S280" s="1918"/>
      <c r="T280" s="1918"/>
      <c r="U280" s="1918"/>
      <c r="V280" s="1918"/>
      <c r="W280" s="1918"/>
      <c r="X280" s="1918"/>
      <c r="Y280" s="1918"/>
      <c r="Z280" s="1918"/>
      <c r="AA280" s="1918"/>
      <c r="AB280" s="1918"/>
      <c r="AC280" s="1918"/>
      <c r="AD280" s="1918"/>
      <c r="AE280" s="1918"/>
    </row>
    <row r="281" spans="1:31" ht="15.75" customHeight="1">
      <c r="A281" s="1918"/>
      <c r="B281" s="1918"/>
      <c r="C281" s="1918"/>
      <c r="D281" s="1918"/>
      <c r="E281" s="1918"/>
      <c r="F281" s="1918"/>
      <c r="G281" s="1918"/>
      <c r="H281" s="1918"/>
      <c r="I281" s="1918"/>
      <c r="J281" s="1918"/>
      <c r="K281" s="1918"/>
      <c r="L281" s="1918"/>
      <c r="M281" s="1918"/>
      <c r="N281" s="1918"/>
      <c r="O281" s="1918"/>
      <c r="P281" s="1918"/>
      <c r="Q281" s="1918"/>
      <c r="R281" s="1918"/>
      <c r="S281" s="1918"/>
      <c r="T281" s="1918"/>
      <c r="U281" s="1918"/>
      <c r="V281" s="1918"/>
      <c r="W281" s="1918"/>
      <c r="X281" s="1918"/>
      <c r="Y281" s="1918"/>
      <c r="Z281" s="1918"/>
      <c r="AA281" s="1918"/>
      <c r="AB281" s="1918"/>
      <c r="AC281" s="1918"/>
      <c r="AD281" s="1918"/>
      <c r="AE281" s="1918"/>
    </row>
    <row r="282" spans="1:31" ht="15.75" customHeight="1">
      <c r="A282" s="1918"/>
      <c r="B282" s="1918"/>
      <c r="C282" s="1918"/>
      <c r="D282" s="1918"/>
      <c r="E282" s="1918"/>
      <c r="F282" s="1918"/>
      <c r="G282" s="1918"/>
      <c r="H282" s="1918"/>
      <c r="I282" s="1918"/>
      <c r="J282" s="1918"/>
      <c r="K282" s="1918"/>
      <c r="L282" s="1918"/>
      <c r="M282" s="1918"/>
      <c r="N282" s="1918"/>
      <c r="O282" s="1918"/>
      <c r="P282" s="1918"/>
      <c r="Q282" s="1918"/>
      <c r="R282" s="1918"/>
      <c r="S282" s="1918"/>
      <c r="T282" s="1918"/>
      <c r="U282" s="1918"/>
      <c r="V282" s="1918"/>
      <c r="W282" s="1918"/>
      <c r="X282" s="1918"/>
      <c r="Y282" s="1918"/>
      <c r="Z282" s="1918"/>
      <c r="AA282" s="1918"/>
      <c r="AB282" s="1918"/>
      <c r="AC282" s="1918"/>
      <c r="AD282" s="1918"/>
      <c r="AE282" s="1918"/>
    </row>
    <row r="283" spans="1:31" ht="15.75" customHeight="1">
      <c r="A283" s="1918"/>
      <c r="B283" s="1918"/>
      <c r="C283" s="1918"/>
      <c r="D283" s="1918"/>
      <c r="E283" s="1918"/>
      <c r="F283" s="1918"/>
      <c r="G283" s="1918"/>
      <c r="H283" s="1918"/>
      <c r="I283" s="1918"/>
      <c r="J283" s="1918"/>
      <c r="K283" s="1918"/>
      <c r="L283" s="1918"/>
      <c r="M283" s="1918"/>
      <c r="N283" s="1918"/>
      <c r="O283" s="1918"/>
      <c r="P283" s="1918"/>
      <c r="Q283" s="1918"/>
      <c r="R283" s="1918"/>
      <c r="S283" s="1918"/>
      <c r="T283" s="1918"/>
      <c r="U283" s="1918"/>
      <c r="V283" s="1918"/>
      <c r="W283" s="1918"/>
      <c r="X283" s="1918"/>
      <c r="Y283" s="1918"/>
      <c r="Z283" s="1918"/>
      <c r="AA283" s="1918"/>
      <c r="AB283" s="1918"/>
      <c r="AC283" s="1918"/>
      <c r="AD283" s="1918"/>
      <c r="AE283" s="1918"/>
    </row>
    <row r="284" spans="1:31" ht="15.75" customHeight="1">
      <c r="A284" s="1918"/>
      <c r="B284" s="1918"/>
      <c r="C284" s="1918"/>
      <c r="D284" s="1918"/>
      <c r="E284" s="1918"/>
      <c r="F284" s="1918"/>
      <c r="G284" s="1918"/>
      <c r="H284" s="1918"/>
      <c r="I284" s="1918"/>
      <c r="J284" s="1918"/>
      <c r="K284" s="1918"/>
      <c r="L284" s="1918"/>
      <c r="M284" s="1918"/>
      <c r="N284" s="1918"/>
      <c r="O284" s="1918"/>
      <c r="P284" s="1918"/>
      <c r="Q284" s="1918"/>
      <c r="R284" s="1918"/>
      <c r="S284" s="1918"/>
      <c r="T284" s="1918"/>
      <c r="U284" s="1918"/>
      <c r="V284" s="1918"/>
      <c r="W284" s="1918"/>
      <c r="X284" s="1918"/>
      <c r="Y284" s="1918"/>
      <c r="Z284" s="1918"/>
      <c r="AA284" s="1918"/>
      <c r="AB284" s="1918"/>
      <c r="AC284" s="1918"/>
      <c r="AD284" s="1918"/>
      <c r="AE284" s="1918"/>
    </row>
    <row r="285" spans="1:31" ht="15.75" customHeight="1">
      <c r="A285" s="1918"/>
      <c r="B285" s="1918"/>
      <c r="C285" s="1918"/>
      <c r="D285" s="1918"/>
      <c r="E285" s="1918"/>
      <c r="F285" s="1918"/>
      <c r="G285" s="1918"/>
      <c r="H285" s="1918"/>
      <c r="I285" s="1918"/>
      <c r="J285" s="1918"/>
      <c r="K285" s="1918"/>
      <c r="L285" s="1918"/>
      <c r="M285" s="1918"/>
      <c r="N285" s="1918"/>
      <c r="O285" s="1918"/>
      <c r="P285" s="1918"/>
      <c r="Q285" s="1918"/>
      <c r="R285" s="1918"/>
      <c r="S285" s="1918"/>
      <c r="T285" s="1918"/>
      <c r="U285" s="1918"/>
      <c r="V285" s="1918"/>
      <c r="W285" s="1918"/>
      <c r="X285" s="1918"/>
      <c r="Y285" s="1918"/>
      <c r="Z285" s="1918"/>
      <c r="AA285" s="1918"/>
      <c r="AB285" s="1918"/>
      <c r="AC285" s="1918"/>
      <c r="AD285" s="1918"/>
      <c r="AE285" s="1918"/>
    </row>
    <row r="286" spans="1:31" ht="15.75" customHeight="1">
      <c r="A286" s="1918"/>
      <c r="B286" s="1918"/>
      <c r="C286" s="1918"/>
      <c r="D286" s="1918"/>
      <c r="E286" s="1918"/>
      <c r="F286" s="1918"/>
      <c r="G286" s="1918"/>
      <c r="H286" s="1918"/>
      <c r="I286" s="1918"/>
      <c r="J286" s="1918"/>
      <c r="K286" s="1918"/>
      <c r="L286" s="1918"/>
      <c r="M286" s="1918"/>
      <c r="N286" s="1918"/>
      <c r="O286" s="1918"/>
      <c r="P286" s="1918"/>
      <c r="Q286" s="1918"/>
      <c r="R286" s="1918"/>
      <c r="S286" s="1918"/>
      <c r="T286" s="1918"/>
      <c r="U286" s="1918"/>
      <c r="V286" s="1918"/>
      <c r="W286" s="1918"/>
      <c r="X286" s="1918"/>
      <c r="Y286" s="1918"/>
      <c r="Z286" s="1918"/>
      <c r="AA286" s="1918"/>
      <c r="AB286" s="1918"/>
      <c r="AC286" s="1918"/>
      <c r="AD286" s="1918"/>
      <c r="AE286" s="1918"/>
    </row>
    <row r="287" spans="1:31" ht="15.75" customHeight="1">
      <c r="A287" s="1918"/>
      <c r="B287" s="1918"/>
      <c r="C287" s="1918"/>
      <c r="D287" s="1918"/>
      <c r="E287" s="1918"/>
      <c r="F287" s="1918"/>
      <c r="G287" s="1918"/>
      <c r="H287" s="1918"/>
      <c r="I287" s="1918"/>
      <c r="J287" s="1918"/>
      <c r="K287" s="1918"/>
      <c r="L287" s="1918"/>
      <c r="M287" s="1918"/>
      <c r="N287" s="1918"/>
      <c r="O287" s="1918"/>
      <c r="P287" s="1918"/>
      <c r="Q287" s="1918"/>
      <c r="R287" s="1918"/>
      <c r="S287" s="1918"/>
      <c r="T287" s="1918"/>
      <c r="U287" s="1918"/>
      <c r="V287" s="1918"/>
      <c r="W287" s="1918"/>
      <c r="X287" s="1918"/>
      <c r="Y287" s="1918"/>
      <c r="Z287" s="1918"/>
      <c r="AA287" s="1918"/>
      <c r="AB287" s="1918"/>
      <c r="AC287" s="1918"/>
      <c r="AD287" s="1918"/>
      <c r="AE287" s="1918"/>
    </row>
    <row r="288" spans="1:31" ht="15.75" customHeight="1">
      <c r="A288" s="1918"/>
      <c r="B288" s="1918"/>
      <c r="C288" s="1918"/>
      <c r="D288" s="1918"/>
      <c r="E288" s="1918"/>
      <c r="F288" s="1918"/>
      <c r="G288" s="1918"/>
      <c r="H288" s="1918"/>
      <c r="I288" s="1918"/>
      <c r="J288" s="1918"/>
      <c r="K288" s="1918"/>
      <c r="L288" s="1918"/>
      <c r="M288" s="1918"/>
      <c r="N288" s="1918"/>
      <c r="O288" s="1918"/>
      <c r="P288" s="1918"/>
      <c r="Q288" s="1918"/>
      <c r="R288" s="1918"/>
      <c r="S288" s="1918"/>
      <c r="T288" s="1918"/>
      <c r="U288" s="1918"/>
      <c r="V288" s="1918"/>
      <c r="W288" s="1918"/>
      <c r="X288" s="1918"/>
      <c r="Y288" s="1918"/>
      <c r="Z288" s="1918"/>
      <c r="AA288" s="1918"/>
      <c r="AB288" s="1918"/>
      <c r="AC288" s="1918"/>
      <c r="AD288" s="1918"/>
      <c r="AE288" s="1918"/>
    </row>
    <row r="289" spans="1:31" ht="15.75" customHeight="1">
      <c r="A289" s="1918"/>
      <c r="B289" s="1918"/>
      <c r="C289" s="1918"/>
      <c r="D289" s="1918"/>
      <c r="E289" s="1918"/>
      <c r="F289" s="1918"/>
      <c r="G289" s="1918"/>
      <c r="H289" s="1918"/>
      <c r="I289" s="1918"/>
      <c r="J289" s="1918"/>
      <c r="K289" s="1918"/>
      <c r="L289" s="1918"/>
      <c r="M289" s="1918"/>
      <c r="N289" s="1918"/>
      <c r="O289" s="1918"/>
      <c r="P289" s="1918"/>
      <c r="Q289" s="1918"/>
      <c r="R289" s="1918"/>
      <c r="S289" s="1918"/>
      <c r="T289" s="1918"/>
      <c r="U289" s="1918"/>
      <c r="V289" s="1918"/>
      <c r="W289" s="1918"/>
      <c r="X289" s="1918"/>
      <c r="Y289" s="1918"/>
      <c r="Z289" s="1918"/>
      <c r="AA289" s="1918"/>
      <c r="AB289" s="1918"/>
      <c r="AC289" s="1918"/>
      <c r="AD289" s="1918"/>
      <c r="AE289" s="1918"/>
    </row>
    <row r="290" spans="1:31" ht="15.75" customHeight="1">
      <c r="A290" s="1918"/>
      <c r="B290" s="1918"/>
      <c r="C290" s="1918"/>
      <c r="D290" s="1918"/>
      <c r="E290" s="1918"/>
      <c r="F290" s="1918"/>
      <c r="G290" s="1918"/>
      <c r="H290" s="1918"/>
      <c r="I290" s="1918"/>
      <c r="J290" s="1918"/>
      <c r="K290" s="1918"/>
      <c r="L290" s="1918"/>
      <c r="M290" s="1918"/>
      <c r="N290" s="1918"/>
      <c r="O290" s="1918"/>
      <c r="P290" s="1918"/>
      <c r="Q290" s="1918"/>
      <c r="R290" s="1918"/>
      <c r="S290" s="1918"/>
      <c r="T290" s="1918"/>
      <c r="U290" s="1918"/>
      <c r="V290" s="1918"/>
      <c r="W290" s="1918"/>
      <c r="X290" s="1918"/>
      <c r="Y290" s="1918"/>
      <c r="Z290" s="1918"/>
      <c r="AA290" s="1918"/>
      <c r="AB290" s="1918"/>
      <c r="AC290" s="1918"/>
      <c r="AD290" s="1918"/>
      <c r="AE290" s="1918"/>
    </row>
    <row r="291" spans="1:31" ht="15.75" customHeight="1">
      <c r="A291" s="1918"/>
      <c r="B291" s="1918"/>
      <c r="C291" s="1918"/>
      <c r="D291" s="1918"/>
      <c r="E291" s="1918"/>
      <c r="F291" s="1918"/>
      <c r="G291" s="1918"/>
      <c r="H291" s="1918"/>
      <c r="I291" s="1918"/>
      <c r="J291" s="1918"/>
      <c r="K291" s="1918"/>
      <c r="L291" s="1918"/>
      <c r="M291" s="1918"/>
      <c r="N291" s="1918"/>
      <c r="O291" s="1918"/>
      <c r="P291" s="1918"/>
      <c r="Q291" s="1918"/>
      <c r="R291" s="1918"/>
      <c r="S291" s="1918"/>
      <c r="T291" s="1918"/>
      <c r="U291" s="1918"/>
      <c r="V291" s="1918"/>
      <c r="W291" s="1918"/>
      <c r="X291" s="1918"/>
      <c r="Y291" s="1918"/>
      <c r="Z291" s="1918"/>
      <c r="AA291" s="1918"/>
      <c r="AB291" s="1918"/>
      <c r="AC291" s="1918"/>
      <c r="AD291" s="1918"/>
      <c r="AE291" s="1918"/>
    </row>
    <row r="292" spans="1:31" ht="15.75" customHeight="1">
      <c r="A292" s="1918"/>
      <c r="B292" s="1918"/>
      <c r="C292" s="1918"/>
      <c r="D292" s="1918"/>
      <c r="E292" s="1918"/>
      <c r="F292" s="1918"/>
      <c r="G292" s="1918"/>
      <c r="H292" s="1918"/>
      <c r="I292" s="1918"/>
      <c r="J292" s="1918"/>
      <c r="K292" s="1918"/>
      <c r="L292" s="1918"/>
      <c r="M292" s="1918"/>
      <c r="N292" s="1918"/>
      <c r="O292" s="1918"/>
      <c r="P292" s="1918"/>
      <c r="Q292" s="1918"/>
      <c r="R292" s="1918"/>
      <c r="S292" s="1918"/>
      <c r="T292" s="1918"/>
      <c r="U292" s="1918"/>
      <c r="V292" s="1918"/>
      <c r="W292" s="1918"/>
      <c r="X292" s="1918"/>
      <c r="Y292" s="1918"/>
      <c r="Z292" s="1918"/>
      <c r="AA292" s="1918"/>
      <c r="AB292" s="1918"/>
      <c r="AC292" s="1918"/>
      <c r="AD292" s="1918"/>
      <c r="AE292" s="1918"/>
    </row>
    <row r="293" spans="1:31" ht="15.75" customHeight="1">
      <c r="A293" s="1918"/>
      <c r="B293" s="1918"/>
      <c r="C293" s="1918"/>
      <c r="D293" s="1918"/>
      <c r="E293" s="1918"/>
      <c r="F293" s="1918"/>
      <c r="G293" s="1918"/>
      <c r="H293" s="1918"/>
      <c r="I293" s="1918"/>
      <c r="J293" s="1918"/>
      <c r="K293" s="1918"/>
      <c r="L293" s="1918"/>
      <c r="M293" s="1918"/>
      <c r="N293" s="1918"/>
      <c r="O293" s="1918"/>
      <c r="P293" s="1918"/>
      <c r="Q293" s="1918"/>
      <c r="R293" s="1918"/>
      <c r="S293" s="1918"/>
      <c r="T293" s="1918"/>
      <c r="U293" s="1918"/>
      <c r="V293" s="1918"/>
      <c r="W293" s="1918"/>
      <c r="X293" s="1918"/>
      <c r="Y293" s="1918"/>
      <c r="Z293" s="1918"/>
      <c r="AA293" s="1918"/>
      <c r="AB293" s="1918"/>
      <c r="AC293" s="1918"/>
      <c r="AD293" s="1918"/>
      <c r="AE293" s="1918"/>
    </row>
    <row r="294" spans="1:31" ht="15.75" customHeight="1">
      <c r="A294" s="1918"/>
      <c r="B294" s="1918"/>
      <c r="C294" s="1918"/>
      <c r="D294" s="1918"/>
      <c r="E294" s="1918"/>
      <c r="F294" s="1918"/>
      <c r="G294" s="1918"/>
      <c r="H294" s="1918"/>
      <c r="I294" s="1918"/>
      <c r="J294" s="1918"/>
      <c r="K294" s="1918"/>
      <c r="L294" s="1918"/>
      <c r="M294" s="1918"/>
      <c r="N294" s="1918"/>
      <c r="O294" s="1918"/>
      <c r="P294" s="1918"/>
      <c r="Q294" s="1918"/>
      <c r="R294" s="1918"/>
      <c r="S294" s="1918"/>
      <c r="T294" s="1918"/>
      <c r="U294" s="1918"/>
      <c r="V294" s="1918"/>
      <c r="W294" s="1918"/>
      <c r="X294" s="1918"/>
      <c r="Y294" s="1918"/>
      <c r="Z294" s="1918"/>
      <c r="AA294" s="1918"/>
      <c r="AB294" s="1918"/>
      <c r="AC294" s="1918"/>
      <c r="AD294" s="1918"/>
      <c r="AE294" s="1918"/>
    </row>
    <row r="295" spans="1:31" ht="15.75" customHeight="1">
      <c r="A295" s="1918"/>
      <c r="B295" s="1918"/>
      <c r="C295" s="1918"/>
      <c r="D295" s="1918"/>
      <c r="E295" s="1918"/>
      <c r="F295" s="1918"/>
      <c r="G295" s="1918"/>
      <c r="H295" s="1918"/>
      <c r="I295" s="1918"/>
      <c r="J295" s="1918"/>
      <c r="K295" s="1918"/>
      <c r="L295" s="1918"/>
      <c r="M295" s="1918"/>
      <c r="N295" s="1918"/>
      <c r="O295" s="1918"/>
      <c r="P295" s="1918"/>
      <c r="Q295" s="1918"/>
      <c r="R295" s="1918"/>
      <c r="S295" s="1918"/>
      <c r="T295" s="1918"/>
      <c r="U295" s="1918"/>
      <c r="V295" s="1918"/>
      <c r="W295" s="1918"/>
      <c r="X295" s="1918"/>
      <c r="Y295" s="1918"/>
      <c r="Z295" s="1918"/>
      <c r="AA295" s="1918"/>
      <c r="AB295" s="1918"/>
      <c r="AC295" s="1918"/>
      <c r="AD295" s="1918"/>
      <c r="AE295" s="1918"/>
    </row>
    <row r="296" spans="1:31" ht="15.75" customHeight="1">
      <c r="A296" s="1918"/>
      <c r="B296" s="1918"/>
      <c r="C296" s="1918"/>
      <c r="D296" s="1918"/>
      <c r="E296" s="1918"/>
      <c r="F296" s="1918"/>
      <c r="G296" s="1918"/>
      <c r="H296" s="1918"/>
      <c r="I296" s="1918"/>
      <c r="J296" s="1918"/>
      <c r="K296" s="1918"/>
      <c r="L296" s="1918"/>
      <c r="M296" s="1918"/>
      <c r="N296" s="1918"/>
      <c r="O296" s="1918"/>
      <c r="P296" s="1918"/>
      <c r="Q296" s="1918"/>
      <c r="R296" s="1918"/>
      <c r="S296" s="1918"/>
      <c r="T296" s="1918"/>
      <c r="U296" s="1918"/>
      <c r="V296" s="1918"/>
      <c r="W296" s="1918"/>
      <c r="X296" s="1918"/>
      <c r="Y296" s="1918"/>
      <c r="Z296" s="1918"/>
      <c r="AA296" s="1918"/>
      <c r="AB296" s="1918"/>
      <c r="AC296" s="1918"/>
      <c r="AD296" s="1918"/>
      <c r="AE296" s="1918"/>
    </row>
    <row r="297" spans="1:31" ht="15.75" customHeight="1">
      <c r="A297" s="1918"/>
      <c r="B297" s="1918"/>
      <c r="C297" s="1918"/>
      <c r="D297" s="1918"/>
      <c r="E297" s="1918"/>
      <c r="F297" s="1918"/>
      <c r="G297" s="1918"/>
      <c r="H297" s="1918"/>
      <c r="I297" s="1918"/>
      <c r="J297" s="1918"/>
      <c r="K297" s="1918"/>
      <c r="L297" s="1918"/>
      <c r="M297" s="1918"/>
      <c r="N297" s="1918"/>
      <c r="O297" s="1918"/>
      <c r="P297" s="1918"/>
      <c r="Q297" s="1918"/>
      <c r="R297" s="1918"/>
      <c r="S297" s="1918"/>
      <c r="T297" s="1918"/>
      <c r="U297" s="1918"/>
      <c r="V297" s="1918"/>
      <c r="W297" s="1918"/>
      <c r="X297" s="1918"/>
      <c r="Y297" s="1918"/>
      <c r="Z297" s="1918"/>
      <c r="AA297" s="1918"/>
      <c r="AB297" s="1918"/>
      <c r="AC297" s="1918"/>
      <c r="AD297" s="1918"/>
      <c r="AE297" s="1918"/>
    </row>
    <row r="298" spans="1:31" ht="15.75" customHeight="1">
      <c r="A298" s="1918"/>
      <c r="B298" s="1918"/>
      <c r="C298" s="1918"/>
      <c r="D298" s="1918"/>
      <c r="E298" s="1918"/>
      <c r="F298" s="1918"/>
      <c r="G298" s="1918"/>
      <c r="H298" s="1918"/>
      <c r="I298" s="1918"/>
      <c r="J298" s="1918"/>
      <c r="K298" s="1918"/>
      <c r="L298" s="1918"/>
      <c r="M298" s="1918"/>
      <c r="N298" s="1918"/>
      <c r="O298" s="1918"/>
      <c r="P298" s="1918"/>
      <c r="Q298" s="1918"/>
      <c r="R298" s="1918"/>
      <c r="S298" s="1918"/>
      <c r="T298" s="1918"/>
      <c r="U298" s="1918"/>
      <c r="V298" s="1918"/>
      <c r="W298" s="1918"/>
      <c r="X298" s="1918"/>
      <c r="Y298" s="1918"/>
      <c r="Z298" s="1918"/>
      <c r="AA298" s="1918"/>
      <c r="AB298" s="1918"/>
      <c r="AC298" s="1918"/>
      <c r="AD298" s="1918"/>
      <c r="AE298" s="1918"/>
    </row>
    <row r="299" spans="1:31" ht="15.75" customHeight="1">
      <c r="A299" s="1918"/>
      <c r="B299" s="1918"/>
      <c r="C299" s="1918"/>
      <c r="D299" s="1918"/>
      <c r="E299" s="1918"/>
      <c r="F299" s="1918"/>
      <c r="G299" s="1918"/>
      <c r="H299" s="1918"/>
      <c r="I299" s="1918"/>
      <c r="J299" s="1918"/>
      <c r="K299" s="1918"/>
      <c r="L299" s="1918"/>
      <c r="M299" s="1918"/>
      <c r="N299" s="1918"/>
      <c r="O299" s="1918"/>
      <c r="P299" s="1918"/>
      <c r="Q299" s="1918"/>
      <c r="R299" s="1918"/>
      <c r="S299" s="1918"/>
      <c r="T299" s="1918"/>
      <c r="U299" s="1918"/>
      <c r="V299" s="1918"/>
      <c r="W299" s="1918"/>
      <c r="X299" s="1918"/>
      <c r="Y299" s="1918"/>
      <c r="Z299" s="1918"/>
      <c r="AA299" s="1918"/>
      <c r="AB299" s="1918"/>
      <c r="AC299" s="1918"/>
      <c r="AD299" s="1918"/>
      <c r="AE299" s="1918"/>
    </row>
    <row r="300" spans="1:31" ht="15.75" customHeight="1">
      <c r="A300" s="1918"/>
      <c r="B300" s="1918"/>
      <c r="C300" s="1918"/>
      <c r="D300" s="1918"/>
      <c r="E300" s="1918"/>
      <c r="F300" s="1918"/>
      <c r="G300" s="1918"/>
      <c r="H300" s="1918"/>
      <c r="I300" s="1918"/>
      <c r="J300" s="1918"/>
      <c r="K300" s="1918"/>
      <c r="L300" s="1918"/>
      <c r="M300" s="1918"/>
      <c r="N300" s="1918"/>
      <c r="O300" s="1918"/>
      <c r="P300" s="1918"/>
      <c r="Q300" s="1918"/>
      <c r="R300" s="1918"/>
      <c r="S300" s="1918"/>
      <c r="T300" s="1918"/>
      <c r="U300" s="1918"/>
      <c r="V300" s="1918"/>
      <c r="W300" s="1918"/>
      <c r="X300" s="1918"/>
      <c r="Y300" s="1918"/>
      <c r="Z300" s="1918"/>
      <c r="AA300" s="1918"/>
      <c r="AB300" s="1918"/>
      <c r="AC300" s="1918"/>
      <c r="AD300" s="1918"/>
      <c r="AE300" s="1918"/>
    </row>
    <row r="301" spans="1:31" ht="15.75" customHeight="1">
      <c r="A301" s="1918"/>
      <c r="B301" s="1918"/>
      <c r="C301" s="1918"/>
      <c r="D301" s="1918"/>
      <c r="E301" s="1918"/>
      <c r="F301" s="1918"/>
      <c r="G301" s="1918"/>
      <c r="H301" s="1918"/>
      <c r="I301" s="1918"/>
      <c r="J301" s="1918"/>
      <c r="K301" s="1918"/>
      <c r="L301" s="1918"/>
      <c r="M301" s="1918"/>
      <c r="N301" s="1918"/>
      <c r="O301" s="1918"/>
      <c r="P301" s="1918"/>
      <c r="Q301" s="1918"/>
      <c r="R301" s="1918"/>
      <c r="S301" s="1918"/>
      <c r="T301" s="1918"/>
      <c r="U301" s="1918"/>
      <c r="V301" s="1918"/>
      <c r="W301" s="1918"/>
      <c r="X301" s="1918"/>
      <c r="Y301" s="1918"/>
      <c r="Z301" s="1918"/>
      <c r="AA301" s="1918"/>
      <c r="AB301" s="1918"/>
      <c r="AC301" s="1918"/>
      <c r="AD301" s="1918"/>
      <c r="AE301" s="1918"/>
    </row>
    <row r="302" spans="1:31" ht="15.75" customHeight="1">
      <c r="A302" s="1918"/>
      <c r="B302" s="1918"/>
      <c r="C302" s="1918"/>
      <c r="D302" s="1918"/>
      <c r="E302" s="1918"/>
      <c r="F302" s="1918"/>
      <c r="G302" s="1918"/>
      <c r="H302" s="1918"/>
      <c r="I302" s="1918"/>
      <c r="J302" s="1918"/>
      <c r="K302" s="1918"/>
      <c r="L302" s="1918"/>
      <c r="M302" s="1918"/>
      <c r="N302" s="1918"/>
      <c r="O302" s="1918"/>
      <c r="P302" s="1918"/>
      <c r="Q302" s="1918"/>
      <c r="R302" s="1918"/>
      <c r="S302" s="1918"/>
      <c r="T302" s="1918"/>
      <c r="U302" s="1918"/>
      <c r="V302" s="1918"/>
      <c r="W302" s="1918"/>
      <c r="X302" s="1918"/>
      <c r="Y302" s="1918"/>
      <c r="Z302" s="1918"/>
      <c r="AA302" s="1918"/>
      <c r="AB302" s="1918"/>
      <c r="AC302" s="1918"/>
      <c r="AD302" s="1918"/>
      <c r="AE302" s="1918"/>
    </row>
    <row r="303" spans="1:31" ht="15.75" customHeight="1">
      <c r="A303" s="1918"/>
      <c r="B303" s="1918"/>
      <c r="C303" s="1918"/>
      <c r="D303" s="1918"/>
      <c r="E303" s="1918"/>
      <c r="F303" s="1918"/>
      <c r="G303" s="1918"/>
      <c r="H303" s="1918"/>
      <c r="I303" s="1918"/>
      <c r="J303" s="1918"/>
      <c r="K303" s="1918"/>
      <c r="L303" s="1918"/>
      <c r="M303" s="1918"/>
      <c r="N303" s="1918"/>
      <c r="O303" s="1918"/>
      <c r="P303" s="1918"/>
      <c r="Q303" s="1918"/>
      <c r="R303" s="1918"/>
      <c r="S303" s="1918"/>
      <c r="T303" s="1918"/>
      <c r="U303" s="1918"/>
      <c r="V303" s="1918"/>
      <c r="W303" s="1918"/>
      <c r="X303" s="1918"/>
      <c r="Y303" s="1918"/>
      <c r="Z303" s="1918"/>
      <c r="AA303" s="1918"/>
      <c r="AB303" s="1918"/>
      <c r="AC303" s="1918"/>
      <c r="AD303" s="1918"/>
      <c r="AE303" s="1918"/>
    </row>
    <row r="304" spans="1:31" ht="15.75" customHeight="1">
      <c r="A304" s="1918"/>
      <c r="B304" s="1918"/>
      <c r="C304" s="1918"/>
      <c r="D304" s="1918"/>
      <c r="E304" s="1918"/>
      <c r="F304" s="1918"/>
      <c r="G304" s="1918"/>
      <c r="H304" s="1918"/>
      <c r="I304" s="1918"/>
      <c r="J304" s="1918"/>
      <c r="K304" s="1918"/>
      <c r="L304" s="1918"/>
      <c r="M304" s="1918"/>
      <c r="N304" s="1918"/>
      <c r="O304" s="1918"/>
      <c r="P304" s="1918"/>
      <c r="Q304" s="1918"/>
      <c r="R304" s="1918"/>
      <c r="S304" s="1918"/>
      <c r="T304" s="1918"/>
      <c r="U304" s="1918"/>
      <c r="V304" s="1918"/>
      <c r="W304" s="1918"/>
      <c r="X304" s="1918"/>
      <c r="Y304" s="1918"/>
      <c r="Z304" s="1918"/>
      <c r="AA304" s="1918"/>
      <c r="AB304" s="1918"/>
      <c r="AC304" s="1918"/>
      <c r="AD304" s="1918"/>
      <c r="AE304" s="1918"/>
    </row>
    <row r="305" spans="1:31" ht="15.75" customHeight="1">
      <c r="A305" s="1918"/>
      <c r="B305" s="1918"/>
      <c r="C305" s="1918"/>
      <c r="D305" s="1918"/>
      <c r="E305" s="1918"/>
      <c r="F305" s="1918"/>
      <c r="G305" s="1918"/>
      <c r="H305" s="1918"/>
      <c r="I305" s="1918"/>
      <c r="J305" s="1918"/>
      <c r="K305" s="1918"/>
      <c r="L305" s="1918"/>
      <c r="M305" s="1918"/>
      <c r="N305" s="1918"/>
      <c r="O305" s="1918"/>
      <c r="P305" s="1918"/>
      <c r="Q305" s="1918"/>
      <c r="R305" s="1918"/>
      <c r="S305" s="1918"/>
      <c r="T305" s="1918"/>
      <c r="U305" s="1918"/>
      <c r="V305" s="1918"/>
      <c r="W305" s="1918"/>
      <c r="X305" s="1918"/>
      <c r="Y305" s="1918"/>
      <c r="Z305" s="1918"/>
      <c r="AA305" s="1918"/>
      <c r="AB305" s="1918"/>
      <c r="AC305" s="1918"/>
      <c r="AD305" s="1918"/>
      <c r="AE305" s="1918"/>
    </row>
    <row r="306" spans="1:31" ht="15.75" customHeight="1">
      <c r="A306" s="1918"/>
      <c r="B306" s="1918"/>
      <c r="C306" s="1918"/>
      <c r="D306" s="1918"/>
      <c r="E306" s="1918"/>
      <c r="F306" s="1918"/>
      <c r="G306" s="1918"/>
      <c r="H306" s="1918"/>
      <c r="I306" s="1918"/>
      <c r="J306" s="1918"/>
      <c r="K306" s="1918"/>
      <c r="L306" s="1918"/>
      <c r="M306" s="1918"/>
      <c r="N306" s="1918"/>
      <c r="O306" s="1918"/>
      <c r="P306" s="1918"/>
      <c r="Q306" s="1918"/>
      <c r="R306" s="1918"/>
      <c r="S306" s="1918"/>
      <c r="T306" s="1918"/>
      <c r="U306" s="1918"/>
      <c r="V306" s="1918"/>
      <c r="W306" s="1918"/>
      <c r="X306" s="1918"/>
      <c r="Y306" s="1918"/>
      <c r="Z306" s="1918"/>
      <c r="AA306" s="1918"/>
      <c r="AB306" s="1918"/>
      <c r="AC306" s="1918"/>
      <c r="AD306" s="1918"/>
      <c r="AE306" s="1918"/>
    </row>
    <row r="307" spans="1:31" ht="15.75" customHeight="1">
      <c r="A307" s="1918"/>
      <c r="B307" s="1918"/>
      <c r="C307" s="1918"/>
      <c r="D307" s="1918"/>
      <c r="E307" s="1918"/>
      <c r="F307" s="1918"/>
      <c r="G307" s="1918"/>
      <c r="H307" s="1918"/>
      <c r="I307" s="1918"/>
      <c r="J307" s="1918"/>
      <c r="K307" s="1918"/>
      <c r="L307" s="1918"/>
      <c r="M307" s="1918"/>
      <c r="N307" s="1918"/>
      <c r="O307" s="1918"/>
      <c r="P307" s="1918"/>
      <c r="Q307" s="1918"/>
      <c r="R307" s="1918"/>
      <c r="S307" s="1918"/>
      <c r="T307" s="1918"/>
      <c r="U307" s="1918"/>
      <c r="V307" s="1918"/>
      <c r="W307" s="1918"/>
      <c r="X307" s="1918"/>
      <c r="Y307" s="1918"/>
      <c r="Z307" s="1918"/>
      <c r="AA307" s="1918"/>
      <c r="AB307" s="1918"/>
      <c r="AC307" s="1918"/>
      <c r="AD307" s="1918"/>
      <c r="AE307" s="1918"/>
    </row>
    <row r="308" spans="1:31" ht="15.75" customHeight="1">
      <c r="A308" s="1918"/>
      <c r="B308" s="1918"/>
      <c r="C308" s="1918"/>
      <c r="D308" s="1918"/>
      <c r="E308" s="1918"/>
      <c r="F308" s="1918"/>
      <c r="G308" s="1918"/>
      <c r="H308" s="1918"/>
      <c r="I308" s="1918"/>
      <c r="J308" s="1918"/>
      <c r="K308" s="1918"/>
      <c r="L308" s="1918"/>
      <c r="M308" s="1918"/>
      <c r="N308" s="1918"/>
      <c r="O308" s="1918"/>
      <c r="P308" s="1918"/>
      <c r="Q308" s="1918"/>
      <c r="R308" s="1918"/>
      <c r="S308" s="1918"/>
      <c r="T308" s="1918"/>
      <c r="U308" s="1918"/>
      <c r="V308" s="1918"/>
      <c r="W308" s="1918"/>
      <c r="X308" s="1918"/>
      <c r="Y308" s="1918"/>
      <c r="Z308" s="1918"/>
      <c r="AA308" s="1918"/>
      <c r="AB308" s="1918"/>
      <c r="AC308" s="1918"/>
      <c r="AD308" s="1918"/>
      <c r="AE308" s="1918"/>
    </row>
    <row r="309" spans="1:31" ht="15.75" customHeight="1">
      <c r="A309" s="1918"/>
      <c r="B309" s="1918"/>
      <c r="C309" s="1918"/>
      <c r="D309" s="1918"/>
      <c r="E309" s="1918"/>
      <c r="F309" s="1918"/>
      <c r="G309" s="1918"/>
      <c r="H309" s="1918"/>
      <c r="I309" s="1918"/>
      <c r="J309" s="1918"/>
      <c r="K309" s="1918"/>
      <c r="L309" s="1918"/>
      <c r="M309" s="1918"/>
      <c r="N309" s="1918"/>
      <c r="O309" s="1918"/>
      <c r="P309" s="1918"/>
      <c r="Q309" s="1918"/>
      <c r="R309" s="1918"/>
      <c r="S309" s="1918"/>
      <c r="T309" s="1918"/>
      <c r="U309" s="1918"/>
      <c r="V309" s="1918"/>
      <c r="W309" s="1918"/>
      <c r="X309" s="1918"/>
      <c r="Y309" s="1918"/>
      <c r="Z309" s="1918"/>
      <c r="AA309" s="1918"/>
      <c r="AB309" s="1918"/>
      <c r="AC309" s="1918"/>
      <c r="AD309" s="1918"/>
      <c r="AE309" s="1918"/>
    </row>
    <row r="310" spans="1:31" ht="15.75" customHeight="1">
      <c r="A310" s="1918"/>
      <c r="B310" s="1918"/>
      <c r="C310" s="1918"/>
      <c r="D310" s="1918"/>
      <c r="E310" s="1918"/>
      <c r="F310" s="1918"/>
      <c r="G310" s="1918"/>
      <c r="H310" s="1918"/>
      <c r="I310" s="1918"/>
      <c r="J310" s="1918"/>
      <c r="K310" s="1918"/>
      <c r="L310" s="1918"/>
      <c r="M310" s="1918"/>
      <c r="N310" s="1918"/>
      <c r="O310" s="1918"/>
      <c r="P310" s="1918"/>
      <c r="Q310" s="1918"/>
      <c r="R310" s="1918"/>
      <c r="S310" s="1918"/>
      <c r="T310" s="1918"/>
      <c r="U310" s="1918"/>
      <c r="V310" s="1918"/>
      <c r="W310" s="1918"/>
      <c r="X310" s="1918"/>
      <c r="Y310" s="1918"/>
      <c r="Z310" s="1918"/>
      <c r="AA310" s="1918"/>
      <c r="AB310" s="1918"/>
      <c r="AC310" s="1918"/>
      <c r="AD310" s="1918"/>
      <c r="AE310" s="1918"/>
    </row>
    <row r="311" spans="1:31" ht="15.75" customHeight="1">
      <c r="A311" s="1918"/>
      <c r="B311" s="1918"/>
      <c r="C311" s="1918"/>
      <c r="D311" s="1918"/>
      <c r="E311" s="1918"/>
      <c r="F311" s="1918"/>
      <c r="G311" s="1918"/>
      <c r="H311" s="1918"/>
      <c r="I311" s="1918"/>
      <c r="J311" s="1918"/>
      <c r="K311" s="1918"/>
      <c r="L311" s="1918"/>
      <c r="M311" s="1918"/>
      <c r="N311" s="1918"/>
      <c r="O311" s="1918"/>
      <c r="P311" s="1918"/>
      <c r="Q311" s="1918"/>
      <c r="R311" s="1918"/>
      <c r="S311" s="1918"/>
      <c r="T311" s="1918"/>
      <c r="U311" s="1918"/>
      <c r="V311" s="1918"/>
      <c r="W311" s="1918"/>
      <c r="X311" s="1918"/>
      <c r="Y311" s="1918"/>
      <c r="Z311" s="1918"/>
      <c r="AA311" s="1918"/>
      <c r="AB311" s="1918"/>
      <c r="AC311" s="1918"/>
      <c r="AD311" s="1918"/>
      <c r="AE311" s="1918"/>
    </row>
    <row r="312" spans="1:31" ht="15.75" customHeight="1">
      <c r="A312" s="1918"/>
      <c r="B312" s="1918"/>
      <c r="C312" s="1918"/>
      <c r="D312" s="1918"/>
      <c r="E312" s="1918"/>
      <c r="F312" s="1918"/>
      <c r="G312" s="1918"/>
      <c r="H312" s="1918"/>
      <c r="I312" s="1918"/>
      <c r="J312" s="1918"/>
      <c r="K312" s="1918"/>
      <c r="L312" s="1918"/>
      <c r="M312" s="1918"/>
      <c r="N312" s="1918"/>
      <c r="O312" s="1918"/>
      <c r="P312" s="1918"/>
      <c r="Q312" s="1918"/>
      <c r="R312" s="1918"/>
      <c r="S312" s="1918"/>
      <c r="T312" s="1918"/>
      <c r="U312" s="1918"/>
      <c r="V312" s="1918"/>
      <c r="W312" s="1918"/>
      <c r="X312" s="1918"/>
      <c r="Y312" s="1918"/>
      <c r="Z312" s="1918"/>
      <c r="AA312" s="1918"/>
      <c r="AB312" s="1918"/>
      <c r="AC312" s="1918"/>
      <c r="AD312" s="1918"/>
      <c r="AE312" s="1918"/>
    </row>
    <row r="313" spans="1:31" ht="15.75" customHeight="1">
      <c r="A313" s="1918"/>
      <c r="B313" s="1918"/>
      <c r="C313" s="1918"/>
      <c r="D313" s="1918"/>
      <c r="E313" s="1918"/>
      <c r="F313" s="1918"/>
      <c r="G313" s="1918"/>
      <c r="H313" s="1918"/>
      <c r="I313" s="1918"/>
      <c r="J313" s="1918"/>
      <c r="K313" s="1918"/>
      <c r="L313" s="1918"/>
      <c r="M313" s="1918"/>
      <c r="N313" s="1918"/>
      <c r="O313" s="1918"/>
      <c r="P313" s="1918"/>
      <c r="Q313" s="1918"/>
      <c r="R313" s="1918"/>
      <c r="S313" s="1918"/>
      <c r="T313" s="1918"/>
      <c r="U313" s="1918"/>
      <c r="V313" s="1918"/>
      <c r="W313" s="1918"/>
      <c r="X313" s="1918"/>
      <c r="Y313" s="1918"/>
      <c r="Z313" s="1918"/>
      <c r="AA313" s="1918"/>
      <c r="AB313" s="1918"/>
      <c r="AC313" s="1918"/>
      <c r="AD313" s="1918"/>
      <c r="AE313" s="1918"/>
    </row>
    <row r="314" spans="1:31" ht="15.75" customHeight="1">
      <c r="A314" s="1918"/>
      <c r="B314" s="1918"/>
      <c r="C314" s="1918"/>
      <c r="D314" s="1918"/>
      <c r="E314" s="1918"/>
      <c r="F314" s="1918"/>
      <c r="G314" s="1918"/>
      <c r="H314" s="1918"/>
      <c r="I314" s="1918"/>
      <c r="J314" s="1918"/>
      <c r="K314" s="1918"/>
      <c r="L314" s="1918"/>
      <c r="M314" s="1918"/>
      <c r="N314" s="1918"/>
      <c r="O314" s="1918"/>
      <c r="P314" s="1918"/>
      <c r="Q314" s="1918"/>
      <c r="R314" s="1918"/>
      <c r="S314" s="1918"/>
      <c r="T314" s="1918"/>
      <c r="U314" s="1918"/>
      <c r="V314" s="1918"/>
      <c r="W314" s="1918"/>
      <c r="X314" s="1918"/>
      <c r="Y314" s="1918"/>
      <c r="Z314" s="1918"/>
      <c r="AA314" s="1918"/>
      <c r="AB314" s="1918"/>
      <c r="AC314" s="1918"/>
      <c r="AD314" s="1918"/>
      <c r="AE314" s="1918"/>
    </row>
    <row r="315" spans="1:31" ht="15.75" customHeight="1">
      <c r="A315" s="1918"/>
      <c r="B315" s="1918"/>
      <c r="C315" s="1918"/>
      <c r="D315" s="1918"/>
      <c r="E315" s="1918"/>
      <c r="F315" s="1918"/>
      <c r="G315" s="1918"/>
      <c r="H315" s="1918"/>
      <c r="I315" s="1918"/>
      <c r="J315" s="1918"/>
      <c r="K315" s="1918"/>
      <c r="L315" s="1918"/>
      <c r="M315" s="1918"/>
      <c r="N315" s="1918"/>
      <c r="O315" s="1918"/>
      <c r="P315" s="1918"/>
      <c r="Q315" s="1918"/>
      <c r="R315" s="1918"/>
      <c r="S315" s="1918"/>
      <c r="T315" s="1918"/>
      <c r="U315" s="1918"/>
      <c r="V315" s="1918"/>
      <c r="W315" s="1918"/>
      <c r="X315" s="1918"/>
      <c r="Y315" s="1918"/>
      <c r="Z315" s="1918"/>
      <c r="AA315" s="1918"/>
      <c r="AB315" s="1918"/>
      <c r="AC315" s="1918"/>
      <c r="AD315" s="1918"/>
      <c r="AE315" s="1918"/>
    </row>
    <row r="316" spans="1:31" ht="15.75" customHeight="1">
      <c r="A316" s="1918"/>
      <c r="B316" s="1918"/>
      <c r="C316" s="1918"/>
      <c r="D316" s="1918"/>
      <c r="E316" s="1918"/>
      <c r="F316" s="1918"/>
      <c r="G316" s="1918"/>
      <c r="H316" s="1918"/>
      <c r="I316" s="1918"/>
      <c r="J316" s="1918"/>
      <c r="K316" s="1918"/>
      <c r="L316" s="1918"/>
      <c r="M316" s="1918"/>
      <c r="N316" s="1918"/>
      <c r="O316" s="1918"/>
      <c r="P316" s="1918"/>
      <c r="Q316" s="1918"/>
      <c r="R316" s="1918"/>
      <c r="S316" s="1918"/>
      <c r="T316" s="1918"/>
      <c r="U316" s="1918"/>
      <c r="V316" s="1918"/>
      <c r="W316" s="1918"/>
      <c r="X316" s="1918"/>
      <c r="Y316" s="1918"/>
      <c r="Z316" s="1918"/>
      <c r="AA316" s="1918"/>
      <c r="AB316" s="1918"/>
      <c r="AC316" s="1918"/>
      <c r="AD316" s="1918"/>
      <c r="AE316" s="1918"/>
    </row>
    <row r="317" spans="1:31" ht="15.75" customHeight="1">
      <c r="A317" s="1918"/>
      <c r="B317" s="1918"/>
      <c r="C317" s="1918"/>
      <c r="D317" s="1918"/>
      <c r="E317" s="1918"/>
      <c r="F317" s="1918"/>
      <c r="G317" s="1918"/>
      <c r="H317" s="1918"/>
      <c r="I317" s="1918"/>
      <c r="J317" s="1918"/>
      <c r="K317" s="1918"/>
      <c r="L317" s="1918"/>
      <c r="M317" s="1918"/>
      <c r="N317" s="1918"/>
      <c r="O317" s="1918"/>
      <c r="P317" s="1918"/>
      <c r="Q317" s="1918"/>
      <c r="R317" s="1918"/>
      <c r="S317" s="1918"/>
      <c r="T317" s="1918"/>
      <c r="U317" s="1918"/>
      <c r="V317" s="1918"/>
      <c r="W317" s="1918"/>
      <c r="X317" s="1918"/>
      <c r="Y317" s="1918"/>
      <c r="Z317" s="1918"/>
      <c r="AA317" s="1918"/>
      <c r="AB317" s="1918"/>
      <c r="AC317" s="1918"/>
      <c r="AD317" s="1918"/>
      <c r="AE317" s="1918"/>
    </row>
    <row r="318" spans="1:31" ht="15.75" customHeight="1">
      <c r="A318" s="1918"/>
      <c r="B318" s="1918"/>
      <c r="C318" s="1918"/>
      <c r="D318" s="1918"/>
      <c r="E318" s="1918"/>
      <c r="F318" s="1918"/>
      <c r="G318" s="1918"/>
      <c r="H318" s="1918"/>
      <c r="I318" s="1918"/>
      <c r="J318" s="1918"/>
      <c r="K318" s="1918"/>
      <c r="L318" s="1918"/>
      <c r="M318" s="1918"/>
      <c r="N318" s="1918"/>
      <c r="O318" s="1918"/>
      <c r="P318" s="1918"/>
      <c r="Q318" s="1918"/>
      <c r="R318" s="1918"/>
      <c r="S318" s="1918"/>
      <c r="T318" s="1918"/>
      <c r="U318" s="1918"/>
      <c r="V318" s="1918"/>
      <c r="W318" s="1918"/>
      <c r="X318" s="1918"/>
      <c r="Y318" s="1918"/>
      <c r="Z318" s="1918"/>
      <c r="AA318" s="1918"/>
      <c r="AB318" s="1918"/>
      <c r="AC318" s="1918"/>
      <c r="AD318" s="1918"/>
      <c r="AE318" s="1918"/>
    </row>
    <row r="319" spans="1:31" ht="15.75" customHeight="1">
      <c r="A319" s="1918"/>
      <c r="B319" s="1918"/>
      <c r="C319" s="1918"/>
      <c r="D319" s="1918"/>
      <c r="E319" s="1918"/>
      <c r="F319" s="1918"/>
      <c r="G319" s="1918"/>
      <c r="H319" s="1918"/>
      <c r="I319" s="1918"/>
      <c r="J319" s="1918"/>
      <c r="K319" s="1918"/>
      <c r="L319" s="1918"/>
      <c r="M319" s="1918"/>
      <c r="N319" s="1918"/>
      <c r="O319" s="1918"/>
      <c r="P319" s="1918"/>
      <c r="Q319" s="1918"/>
      <c r="R319" s="1918"/>
      <c r="S319" s="1918"/>
      <c r="T319" s="1918"/>
      <c r="U319" s="1918"/>
      <c r="V319" s="1918"/>
      <c r="W319" s="1918"/>
      <c r="X319" s="1918"/>
      <c r="Y319" s="1918"/>
      <c r="Z319" s="1918"/>
      <c r="AA319" s="1918"/>
      <c r="AB319" s="1918"/>
      <c r="AC319" s="1918"/>
      <c r="AD319" s="1918"/>
      <c r="AE319" s="1918"/>
    </row>
    <row r="320" spans="1:31" ht="15.75" customHeight="1">
      <c r="A320" s="1918"/>
      <c r="B320" s="1918"/>
      <c r="C320" s="1918"/>
      <c r="D320" s="1918"/>
      <c r="E320" s="1918"/>
      <c r="F320" s="1918"/>
      <c r="G320" s="1918"/>
      <c r="H320" s="1918"/>
      <c r="I320" s="1918"/>
      <c r="J320" s="1918"/>
      <c r="K320" s="1918"/>
      <c r="L320" s="1918"/>
      <c r="M320" s="1918"/>
      <c r="N320" s="1918"/>
      <c r="O320" s="1918"/>
      <c r="P320" s="1918"/>
      <c r="Q320" s="1918"/>
      <c r="R320" s="1918"/>
      <c r="S320" s="1918"/>
      <c r="T320" s="1918"/>
      <c r="U320" s="1918"/>
      <c r="V320" s="1918"/>
      <c r="W320" s="1918"/>
      <c r="X320" s="1918"/>
      <c r="Y320" s="1918"/>
      <c r="Z320" s="1918"/>
      <c r="AA320" s="1918"/>
      <c r="AB320" s="1918"/>
      <c r="AC320" s="1918"/>
      <c r="AD320" s="1918"/>
      <c r="AE320" s="1918"/>
    </row>
    <row r="321" spans="1:31" ht="15.75" customHeight="1">
      <c r="A321" s="1918"/>
      <c r="B321" s="1918"/>
      <c r="C321" s="1918"/>
      <c r="D321" s="1918"/>
      <c r="E321" s="1918"/>
      <c r="F321" s="1918"/>
      <c r="G321" s="1918"/>
      <c r="H321" s="1918"/>
      <c r="I321" s="1918"/>
      <c r="J321" s="1918"/>
      <c r="K321" s="1918"/>
      <c r="L321" s="1918"/>
      <c r="M321" s="1918"/>
      <c r="N321" s="1918"/>
      <c r="O321" s="1918"/>
      <c r="P321" s="1918"/>
      <c r="Q321" s="1918"/>
      <c r="R321" s="1918"/>
      <c r="S321" s="1918"/>
      <c r="T321" s="1918"/>
      <c r="U321" s="1918"/>
      <c r="V321" s="1918"/>
      <c r="W321" s="1918"/>
      <c r="X321" s="1918"/>
      <c r="Y321" s="1918"/>
      <c r="Z321" s="1918"/>
      <c r="AA321" s="1918"/>
      <c r="AB321" s="1918"/>
      <c r="AC321" s="1918"/>
      <c r="AD321" s="1918"/>
      <c r="AE321" s="1918"/>
    </row>
    <row r="322" spans="1:31" ht="15.75" customHeight="1">
      <c r="A322" s="1918"/>
      <c r="B322" s="1918"/>
      <c r="C322" s="1918"/>
      <c r="D322" s="1918"/>
      <c r="E322" s="1918"/>
      <c r="F322" s="1918"/>
      <c r="G322" s="1918"/>
      <c r="H322" s="1918"/>
      <c r="I322" s="1918"/>
      <c r="J322" s="1918"/>
      <c r="K322" s="1918"/>
      <c r="L322" s="1918"/>
      <c r="M322" s="1918"/>
      <c r="N322" s="1918"/>
      <c r="O322" s="1918"/>
      <c r="P322" s="1918"/>
      <c r="Q322" s="1918"/>
      <c r="R322" s="1918"/>
      <c r="S322" s="1918"/>
      <c r="T322" s="1918"/>
      <c r="U322" s="1918"/>
      <c r="V322" s="1918"/>
      <c r="W322" s="1918"/>
      <c r="X322" s="1918"/>
      <c r="Y322" s="1918"/>
      <c r="Z322" s="1918"/>
      <c r="AA322" s="1918"/>
      <c r="AB322" s="1918"/>
      <c r="AC322" s="1918"/>
      <c r="AD322" s="1918"/>
      <c r="AE322" s="1918"/>
    </row>
    <row r="323" spans="1:31" ht="15.75" customHeight="1">
      <c r="A323" s="1918"/>
      <c r="B323" s="1918"/>
      <c r="C323" s="1918"/>
      <c r="D323" s="1918"/>
      <c r="E323" s="1918"/>
      <c r="F323" s="1918"/>
      <c r="G323" s="1918"/>
      <c r="H323" s="1918"/>
      <c r="I323" s="1918"/>
      <c r="J323" s="1918"/>
      <c r="K323" s="1918"/>
      <c r="L323" s="1918"/>
      <c r="M323" s="1918"/>
      <c r="N323" s="1918"/>
      <c r="O323" s="1918"/>
      <c r="P323" s="1918"/>
      <c r="Q323" s="1918"/>
      <c r="R323" s="1918"/>
      <c r="S323" s="1918"/>
      <c r="T323" s="1918"/>
      <c r="U323" s="1918"/>
      <c r="V323" s="1918"/>
      <c r="W323" s="1918"/>
      <c r="X323" s="1918"/>
      <c r="Y323" s="1918"/>
      <c r="Z323" s="1918"/>
      <c r="AA323" s="1918"/>
      <c r="AB323" s="1918"/>
      <c r="AC323" s="1918"/>
      <c r="AD323" s="1918"/>
      <c r="AE323" s="1918"/>
    </row>
    <row r="324" spans="1:31" ht="15.75" customHeight="1">
      <c r="A324" s="1918"/>
      <c r="B324" s="1918"/>
      <c r="C324" s="1918"/>
      <c r="D324" s="1918"/>
      <c r="E324" s="1918"/>
      <c r="F324" s="1918"/>
      <c r="G324" s="1918"/>
      <c r="H324" s="1918"/>
      <c r="I324" s="1918"/>
      <c r="J324" s="1918"/>
      <c r="K324" s="1918"/>
      <c r="L324" s="1918"/>
      <c r="M324" s="1918"/>
      <c r="N324" s="1918"/>
      <c r="O324" s="1918"/>
      <c r="P324" s="1918"/>
      <c r="Q324" s="1918"/>
      <c r="R324" s="1918"/>
      <c r="S324" s="1918"/>
      <c r="T324" s="1918"/>
      <c r="U324" s="1918"/>
      <c r="V324" s="1918"/>
      <c r="W324" s="1918"/>
      <c r="X324" s="1918"/>
      <c r="Y324" s="1918"/>
      <c r="Z324" s="1918"/>
      <c r="AA324" s="1918"/>
      <c r="AB324" s="1918"/>
      <c r="AC324" s="1918"/>
      <c r="AD324" s="1918"/>
      <c r="AE324" s="1918"/>
    </row>
    <row r="325" spans="1:31" ht="15.75" customHeight="1">
      <c r="A325" s="1918"/>
      <c r="B325" s="1918"/>
      <c r="C325" s="1918"/>
      <c r="D325" s="1918"/>
      <c r="E325" s="1918"/>
      <c r="F325" s="1918"/>
      <c r="G325" s="1918"/>
      <c r="H325" s="1918"/>
      <c r="I325" s="1918"/>
      <c r="J325" s="1918"/>
      <c r="K325" s="1918"/>
      <c r="L325" s="1918"/>
      <c r="M325" s="1918"/>
      <c r="N325" s="1918"/>
      <c r="O325" s="1918"/>
      <c r="P325" s="1918"/>
      <c r="Q325" s="1918"/>
      <c r="R325" s="1918"/>
      <c r="S325" s="1918"/>
      <c r="T325" s="1918"/>
      <c r="U325" s="1918"/>
      <c r="V325" s="1918"/>
      <c r="W325" s="1918"/>
      <c r="X325" s="1918"/>
      <c r="Y325" s="1918"/>
      <c r="Z325" s="1918"/>
      <c r="AA325" s="1918"/>
      <c r="AB325" s="1918"/>
      <c r="AC325" s="1918"/>
      <c r="AD325" s="1918"/>
      <c r="AE325" s="1918"/>
    </row>
    <row r="326" spans="1:31" ht="15.75" customHeight="1">
      <c r="A326" s="1918"/>
      <c r="B326" s="1918"/>
      <c r="C326" s="1918"/>
      <c r="D326" s="1918"/>
      <c r="E326" s="1918"/>
      <c r="F326" s="1918"/>
      <c r="G326" s="1918"/>
      <c r="H326" s="1918"/>
      <c r="I326" s="1918"/>
      <c r="J326" s="1918"/>
      <c r="K326" s="1918"/>
      <c r="L326" s="1918"/>
      <c r="M326" s="1918"/>
      <c r="N326" s="1918"/>
      <c r="O326" s="1918"/>
      <c r="P326" s="1918"/>
      <c r="Q326" s="1918"/>
      <c r="R326" s="1918"/>
      <c r="S326" s="1918"/>
      <c r="T326" s="1918"/>
      <c r="U326" s="1918"/>
      <c r="V326" s="1918"/>
      <c r="W326" s="1918"/>
      <c r="X326" s="1918"/>
      <c r="Y326" s="1918"/>
      <c r="Z326" s="1918"/>
      <c r="AA326" s="1918"/>
      <c r="AB326" s="1918"/>
      <c r="AC326" s="1918"/>
      <c r="AD326" s="1918"/>
      <c r="AE326" s="1918"/>
    </row>
    <row r="327" spans="1:31" ht="15.75" customHeight="1">
      <c r="A327" s="1918"/>
      <c r="B327" s="1918"/>
      <c r="C327" s="1918"/>
      <c r="D327" s="1918"/>
      <c r="E327" s="1918"/>
      <c r="F327" s="1918"/>
      <c r="G327" s="1918"/>
      <c r="H327" s="1918"/>
      <c r="I327" s="1918"/>
      <c r="J327" s="1918"/>
      <c r="K327" s="1918"/>
      <c r="L327" s="1918"/>
      <c r="M327" s="1918"/>
      <c r="N327" s="1918"/>
      <c r="O327" s="1918"/>
      <c r="P327" s="1918"/>
      <c r="Q327" s="1918"/>
      <c r="R327" s="1918"/>
      <c r="S327" s="1918"/>
      <c r="T327" s="1918"/>
      <c r="U327" s="1918"/>
      <c r="V327" s="1918"/>
      <c r="W327" s="1918"/>
      <c r="X327" s="1918"/>
      <c r="Y327" s="1918"/>
      <c r="Z327" s="1918"/>
      <c r="AA327" s="1918"/>
      <c r="AB327" s="1918"/>
      <c r="AC327" s="1918"/>
      <c r="AD327" s="1918"/>
      <c r="AE327" s="1918"/>
    </row>
    <row r="328" spans="1:31" ht="15.75" customHeight="1">
      <c r="A328" s="1918"/>
      <c r="B328" s="1918"/>
      <c r="C328" s="1918"/>
      <c r="D328" s="1918"/>
      <c r="E328" s="1918"/>
      <c r="F328" s="1918"/>
      <c r="G328" s="1918"/>
      <c r="H328" s="1918"/>
      <c r="I328" s="1918"/>
      <c r="J328" s="1918"/>
      <c r="K328" s="1918"/>
      <c r="L328" s="1918"/>
      <c r="M328" s="1918"/>
      <c r="N328" s="1918"/>
      <c r="O328" s="1918"/>
      <c r="P328" s="1918"/>
      <c r="Q328" s="1918"/>
      <c r="R328" s="1918"/>
      <c r="S328" s="1918"/>
      <c r="T328" s="1918"/>
      <c r="U328" s="1918"/>
      <c r="V328" s="1918"/>
      <c r="W328" s="1918"/>
      <c r="X328" s="1918"/>
      <c r="Y328" s="1918"/>
      <c r="Z328" s="1918"/>
      <c r="AA328" s="1918"/>
      <c r="AB328" s="1918"/>
      <c r="AC328" s="1918"/>
      <c r="AD328" s="1918"/>
      <c r="AE328" s="1918"/>
    </row>
    <row r="329" spans="1:31" ht="15.75" customHeight="1">
      <c r="A329" s="1918"/>
      <c r="B329" s="1918"/>
      <c r="C329" s="1918"/>
      <c r="D329" s="1918"/>
      <c r="E329" s="1918"/>
      <c r="F329" s="1918"/>
      <c r="G329" s="1918"/>
      <c r="H329" s="1918"/>
      <c r="I329" s="1918"/>
      <c r="J329" s="1918"/>
      <c r="K329" s="1918"/>
      <c r="L329" s="1918"/>
      <c r="M329" s="1918"/>
      <c r="N329" s="1918"/>
      <c r="O329" s="1918"/>
      <c r="P329" s="1918"/>
      <c r="Q329" s="1918"/>
      <c r="R329" s="1918"/>
      <c r="S329" s="1918"/>
      <c r="T329" s="1918"/>
      <c r="U329" s="1918"/>
      <c r="V329" s="1918"/>
      <c r="W329" s="1918"/>
      <c r="X329" s="1918"/>
      <c r="Y329" s="1918"/>
      <c r="Z329" s="1918"/>
      <c r="AA329" s="1918"/>
      <c r="AB329" s="1918"/>
      <c r="AC329" s="1918"/>
      <c r="AD329" s="1918"/>
      <c r="AE329" s="1918"/>
    </row>
    <row r="330" spans="1:31" ht="15.75" customHeight="1">
      <c r="A330" s="1918"/>
      <c r="B330" s="1918"/>
      <c r="C330" s="1918"/>
      <c r="D330" s="1918"/>
      <c r="E330" s="1918"/>
      <c r="F330" s="1918"/>
      <c r="G330" s="1918"/>
      <c r="H330" s="1918"/>
      <c r="I330" s="1918"/>
      <c r="J330" s="1918"/>
      <c r="K330" s="1918"/>
      <c r="L330" s="1918"/>
      <c r="M330" s="1918"/>
      <c r="N330" s="1918"/>
      <c r="O330" s="1918"/>
      <c r="P330" s="1918"/>
      <c r="Q330" s="1918"/>
      <c r="R330" s="1918"/>
      <c r="S330" s="1918"/>
      <c r="T330" s="1918"/>
      <c r="U330" s="1918"/>
      <c r="V330" s="1918"/>
      <c r="W330" s="1918"/>
      <c r="X330" s="1918"/>
      <c r="Y330" s="1918"/>
      <c r="Z330" s="1918"/>
      <c r="AA330" s="1918"/>
      <c r="AB330" s="1918"/>
      <c r="AC330" s="1918"/>
      <c r="AD330" s="1918"/>
      <c r="AE330" s="1918"/>
    </row>
    <row r="331" spans="1:31" ht="15.75" customHeight="1">
      <c r="A331" s="1918"/>
      <c r="B331" s="1918"/>
      <c r="C331" s="1918"/>
      <c r="D331" s="1918"/>
      <c r="E331" s="1918"/>
      <c r="F331" s="1918"/>
      <c r="G331" s="1918"/>
      <c r="H331" s="1918"/>
      <c r="I331" s="1918"/>
      <c r="J331" s="1918"/>
      <c r="K331" s="1918"/>
      <c r="L331" s="1918"/>
      <c r="M331" s="1918"/>
      <c r="N331" s="1918"/>
      <c r="O331" s="1918"/>
      <c r="P331" s="1918"/>
      <c r="Q331" s="1918"/>
      <c r="R331" s="1918"/>
      <c r="S331" s="1918"/>
      <c r="T331" s="1918"/>
      <c r="U331" s="1918"/>
      <c r="V331" s="1918"/>
      <c r="W331" s="1918"/>
      <c r="X331" s="1918"/>
      <c r="Y331" s="1918"/>
      <c r="Z331" s="1918"/>
      <c r="AA331" s="1918"/>
      <c r="AB331" s="1918"/>
      <c r="AC331" s="1918"/>
      <c r="AD331" s="1918"/>
      <c r="AE331" s="1918"/>
    </row>
    <row r="332" spans="1:31" ht="15.75" customHeight="1">
      <c r="A332" s="1918"/>
      <c r="B332" s="1918"/>
      <c r="C332" s="1918"/>
      <c r="D332" s="1918"/>
      <c r="E332" s="1918"/>
      <c r="F332" s="1918"/>
      <c r="G332" s="1918"/>
      <c r="H332" s="1918"/>
      <c r="I332" s="1918"/>
      <c r="J332" s="1918"/>
      <c r="K332" s="1918"/>
      <c r="L332" s="1918"/>
      <c r="M332" s="1918"/>
      <c r="N332" s="1918"/>
      <c r="O332" s="1918"/>
      <c r="P332" s="1918"/>
      <c r="Q332" s="1918"/>
      <c r="R332" s="1918"/>
      <c r="S332" s="1918"/>
      <c r="T332" s="1918"/>
      <c r="U332" s="1918"/>
      <c r="V332" s="1918"/>
      <c r="W332" s="1918"/>
      <c r="X332" s="1918"/>
      <c r="Y332" s="1918"/>
      <c r="Z332" s="1918"/>
      <c r="AA332" s="1918"/>
      <c r="AB332" s="1918"/>
      <c r="AC332" s="1918"/>
      <c r="AD332" s="1918"/>
      <c r="AE332" s="1918"/>
    </row>
    <row r="333" spans="1:31" ht="15.75" customHeight="1">
      <c r="A333" s="1918"/>
      <c r="B333" s="1918"/>
      <c r="C333" s="1918"/>
      <c r="D333" s="1918"/>
      <c r="E333" s="1918"/>
      <c r="F333" s="1918"/>
      <c r="G333" s="1918"/>
      <c r="H333" s="1918"/>
      <c r="I333" s="1918"/>
      <c r="J333" s="1918"/>
      <c r="K333" s="1918"/>
      <c r="L333" s="1918"/>
      <c r="M333" s="1918"/>
      <c r="N333" s="1918"/>
      <c r="O333" s="1918"/>
      <c r="P333" s="1918"/>
      <c r="Q333" s="1918"/>
      <c r="R333" s="1918"/>
      <c r="S333" s="1918"/>
      <c r="T333" s="1918"/>
      <c r="U333" s="1918"/>
      <c r="V333" s="1918"/>
      <c r="W333" s="1918"/>
      <c r="X333" s="1918"/>
      <c r="Y333" s="1918"/>
      <c r="Z333" s="1918"/>
      <c r="AA333" s="1918"/>
      <c r="AB333" s="1918"/>
      <c r="AC333" s="1918"/>
      <c r="AD333" s="1918"/>
      <c r="AE333" s="1918"/>
    </row>
    <row r="334" spans="1:31" ht="15.75" customHeight="1">
      <c r="A334" s="1918"/>
      <c r="B334" s="1918"/>
      <c r="C334" s="1918"/>
      <c r="D334" s="1918"/>
      <c r="E334" s="1918"/>
      <c r="F334" s="1918"/>
      <c r="G334" s="1918"/>
      <c r="H334" s="1918"/>
      <c r="I334" s="1918"/>
      <c r="J334" s="1918"/>
      <c r="K334" s="1918"/>
      <c r="L334" s="1918"/>
      <c r="M334" s="1918"/>
      <c r="N334" s="1918"/>
      <c r="O334" s="1918"/>
      <c r="P334" s="1918"/>
      <c r="Q334" s="1918"/>
      <c r="R334" s="1918"/>
      <c r="S334" s="1918"/>
      <c r="T334" s="1918"/>
      <c r="U334" s="1918"/>
      <c r="V334" s="1918"/>
      <c r="W334" s="1918"/>
      <c r="X334" s="1918"/>
      <c r="Y334" s="1918"/>
      <c r="Z334" s="1918"/>
      <c r="AA334" s="1918"/>
      <c r="AB334" s="1918"/>
      <c r="AC334" s="1918"/>
      <c r="AD334" s="1918"/>
      <c r="AE334" s="1918"/>
    </row>
    <row r="335" spans="1:31" ht="15.75" customHeight="1">
      <c r="A335" s="1918"/>
      <c r="B335" s="1918"/>
      <c r="C335" s="1918"/>
      <c r="D335" s="1918"/>
      <c r="E335" s="1918"/>
      <c r="F335" s="1918"/>
      <c r="G335" s="1918"/>
      <c r="H335" s="1918"/>
      <c r="I335" s="1918"/>
      <c r="J335" s="1918"/>
      <c r="K335" s="1918"/>
      <c r="L335" s="1918"/>
      <c r="M335" s="1918"/>
      <c r="N335" s="1918"/>
      <c r="O335" s="1918"/>
      <c r="P335" s="1918"/>
      <c r="Q335" s="1918"/>
      <c r="R335" s="1918"/>
      <c r="S335" s="1918"/>
      <c r="T335" s="1918"/>
      <c r="U335" s="1918"/>
      <c r="V335" s="1918"/>
      <c r="W335" s="1918"/>
      <c r="X335" s="1918"/>
      <c r="Y335" s="1918"/>
      <c r="Z335" s="1918"/>
      <c r="AA335" s="1918"/>
      <c r="AB335" s="1918"/>
      <c r="AC335" s="1918"/>
      <c r="AD335" s="1918"/>
      <c r="AE335" s="1918"/>
    </row>
    <row r="336" spans="1:31" ht="15.75" customHeight="1">
      <c r="A336" s="1918"/>
      <c r="B336" s="1918"/>
      <c r="C336" s="1918"/>
      <c r="D336" s="1918"/>
      <c r="E336" s="1918"/>
      <c r="F336" s="1918"/>
      <c r="G336" s="1918"/>
      <c r="H336" s="1918"/>
      <c r="I336" s="1918"/>
      <c r="J336" s="1918"/>
      <c r="K336" s="1918"/>
      <c r="L336" s="1918"/>
      <c r="M336" s="1918"/>
      <c r="N336" s="1918"/>
      <c r="O336" s="1918"/>
      <c r="P336" s="1918"/>
      <c r="Q336" s="1918"/>
      <c r="R336" s="1918"/>
      <c r="S336" s="1918"/>
      <c r="T336" s="1918"/>
      <c r="U336" s="1918"/>
      <c r="V336" s="1918"/>
      <c r="W336" s="1918"/>
      <c r="X336" s="1918"/>
      <c r="Y336" s="1918"/>
      <c r="Z336" s="1918"/>
      <c r="AA336" s="1918"/>
      <c r="AB336" s="1918"/>
      <c r="AC336" s="1918"/>
      <c r="AD336" s="1918"/>
      <c r="AE336" s="1918"/>
    </row>
    <row r="337" spans="1:31" ht="15.75" customHeight="1">
      <c r="A337" s="1918"/>
      <c r="B337" s="1918"/>
      <c r="C337" s="1918"/>
      <c r="D337" s="1918"/>
      <c r="E337" s="1918"/>
      <c r="F337" s="1918"/>
      <c r="G337" s="1918"/>
      <c r="H337" s="1918"/>
      <c r="I337" s="1918"/>
      <c r="J337" s="1918"/>
      <c r="K337" s="1918"/>
      <c r="L337" s="1918"/>
      <c r="M337" s="1918"/>
      <c r="N337" s="1918"/>
      <c r="O337" s="1918"/>
      <c r="P337" s="1918"/>
      <c r="Q337" s="1918"/>
      <c r="R337" s="1918"/>
      <c r="S337" s="1918"/>
      <c r="T337" s="1918"/>
      <c r="U337" s="1918"/>
      <c r="V337" s="1918"/>
      <c r="W337" s="1918"/>
      <c r="X337" s="1918"/>
      <c r="Y337" s="1918"/>
      <c r="Z337" s="1918"/>
      <c r="AA337" s="1918"/>
      <c r="AB337" s="1918"/>
      <c r="AC337" s="1918"/>
      <c r="AD337" s="1918"/>
      <c r="AE337" s="1918"/>
    </row>
    <row r="338" spans="1:31" ht="15.75" customHeight="1">
      <c r="A338" s="1918"/>
      <c r="B338" s="1918"/>
      <c r="C338" s="1918"/>
      <c r="D338" s="1918"/>
      <c r="E338" s="1918"/>
      <c r="F338" s="1918"/>
      <c r="G338" s="1918"/>
      <c r="H338" s="1918"/>
      <c r="I338" s="1918"/>
      <c r="J338" s="1918"/>
      <c r="K338" s="1918"/>
      <c r="L338" s="1918"/>
      <c r="M338" s="1918"/>
      <c r="N338" s="1918"/>
      <c r="O338" s="1918"/>
      <c r="P338" s="1918"/>
      <c r="Q338" s="1918"/>
      <c r="R338" s="1918"/>
      <c r="S338" s="1918"/>
      <c r="T338" s="1918"/>
      <c r="U338" s="1918"/>
      <c r="V338" s="1918"/>
      <c r="W338" s="1918"/>
      <c r="X338" s="1918"/>
      <c r="Y338" s="1918"/>
      <c r="Z338" s="1918"/>
      <c r="AA338" s="1918"/>
      <c r="AB338" s="1918"/>
      <c r="AC338" s="1918"/>
      <c r="AD338" s="1918"/>
      <c r="AE338" s="1918"/>
    </row>
    <row r="339" spans="1:31" ht="15.75" customHeight="1">
      <c r="A339" s="1918"/>
      <c r="B339" s="1918"/>
      <c r="C339" s="1918"/>
      <c r="D339" s="1918"/>
      <c r="E339" s="1918"/>
      <c r="F339" s="1918"/>
      <c r="G339" s="1918"/>
      <c r="H339" s="1918"/>
      <c r="I339" s="1918"/>
      <c r="J339" s="1918"/>
      <c r="K339" s="1918"/>
      <c r="L339" s="1918"/>
      <c r="M339" s="1918"/>
      <c r="N339" s="1918"/>
      <c r="O339" s="1918"/>
      <c r="P339" s="1918"/>
      <c r="Q339" s="1918"/>
      <c r="R339" s="1918"/>
      <c r="S339" s="1918"/>
      <c r="T339" s="1918"/>
      <c r="U339" s="1918"/>
      <c r="V339" s="1918"/>
      <c r="W339" s="1918"/>
      <c r="X339" s="1918"/>
      <c r="Y339" s="1918"/>
      <c r="Z339" s="1918"/>
      <c r="AA339" s="1918"/>
      <c r="AB339" s="1918"/>
      <c r="AC339" s="1918"/>
      <c r="AD339" s="1918"/>
      <c r="AE339" s="1918"/>
    </row>
    <row r="340" spans="1:31" ht="15.75" customHeight="1">
      <c r="A340" s="1918"/>
      <c r="B340" s="1918"/>
      <c r="C340" s="1918"/>
      <c r="D340" s="1918"/>
      <c r="E340" s="1918"/>
      <c r="F340" s="1918"/>
      <c r="G340" s="1918"/>
      <c r="H340" s="1918"/>
      <c r="I340" s="1918"/>
      <c r="J340" s="1918"/>
      <c r="K340" s="1918"/>
      <c r="L340" s="1918"/>
      <c r="M340" s="1918"/>
      <c r="N340" s="1918"/>
      <c r="O340" s="1918"/>
      <c r="P340" s="1918"/>
      <c r="Q340" s="1918"/>
      <c r="R340" s="1918"/>
      <c r="S340" s="1918"/>
      <c r="T340" s="1918"/>
      <c r="U340" s="1918"/>
      <c r="V340" s="1918"/>
      <c r="W340" s="1918"/>
      <c r="X340" s="1918"/>
      <c r="Y340" s="1918"/>
      <c r="Z340" s="1918"/>
      <c r="AA340" s="1918"/>
      <c r="AB340" s="1918"/>
      <c r="AC340" s="1918"/>
      <c r="AD340" s="1918"/>
      <c r="AE340" s="1918"/>
    </row>
    <row r="341" spans="1:31" ht="15.75" customHeight="1">
      <c r="A341" s="1918"/>
      <c r="B341" s="1918"/>
      <c r="C341" s="1918"/>
      <c r="D341" s="1918"/>
      <c r="E341" s="1918"/>
      <c r="F341" s="1918"/>
      <c r="G341" s="1918"/>
      <c r="H341" s="1918"/>
      <c r="I341" s="1918"/>
      <c r="J341" s="1918"/>
      <c r="K341" s="1918"/>
      <c r="L341" s="1918"/>
      <c r="M341" s="1918"/>
      <c r="N341" s="1918"/>
      <c r="O341" s="1918"/>
      <c r="P341" s="1918"/>
      <c r="Q341" s="1918"/>
      <c r="R341" s="1918"/>
      <c r="S341" s="1918"/>
      <c r="T341" s="1918"/>
      <c r="U341" s="1918"/>
      <c r="V341" s="1918"/>
      <c r="W341" s="1918"/>
      <c r="X341" s="1918"/>
      <c r="Y341" s="1918"/>
      <c r="Z341" s="1918"/>
      <c r="AA341" s="1918"/>
      <c r="AB341" s="1918"/>
      <c r="AC341" s="1918"/>
      <c r="AD341" s="1918"/>
      <c r="AE341" s="1918"/>
    </row>
    <row r="342" spans="1:31" ht="15.75" customHeight="1">
      <c r="A342" s="1918"/>
      <c r="B342" s="1918"/>
      <c r="C342" s="1918"/>
      <c r="D342" s="1918"/>
      <c r="E342" s="1918"/>
      <c r="F342" s="1918"/>
      <c r="G342" s="1918"/>
      <c r="H342" s="1918"/>
      <c r="I342" s="1918"/>
      <c r="J342" s="1918"/>
      <c r="K342" s="1918"/>
      <c r="L342" s="1918"/>
      <c r="M342" s="1918"/>
      <c r="N342" s="1918"/>
      <c r="O342" s="1918"/>
      <c r="P342" s="1918"/>
      <c r="Q342" s="1918"/>
      <c r="R342" s="1918"/>
      <c r="S342" s="1918"/>
      <c r="T342" s="1918"/>
      <c r="U342" s="1918"/>
      <c r="V342" s="1918"/>
      <c r="W342" s="1918"/>
      <c r="X342" s="1918"/>
      <c r="Y342" s="1918"/>
      <c r="Z342" s="1918"/>
      <c r="AA342" s="1918"/>
      <c r="AB342" s="1918"/>
      <c r="AC342" s="1918"/>
      <c r="AD342" s="1918"/>
      <c r="AE342" s="1918"/>
    </row>
    <row r="343" spans="1:31" ht="15.75" customHeight="1">
      <c r="A343" s="1918"/>
      <c r="B343" s="1918"/>
      <c r="C343" s="1918"/>
      <c r="D343" s="1918"/>
      <c r="E343" s="1918"/>
      <c r="F343" s="1918"/>
      <c r="G343" s="1918"/>
      <c r="H343" s="1918"/>
      <c r="I343" s="1918"/>
      <c r="J343" s="1918"/>
      <c r="K343" s="1918"/>
      <c r="L343" s="1918"/>
      <c r="M343" s="1918"/>
      <c r="N343" s="1918"/>
      <c r="O343" s="1918"/>
      <c r="P343" s="1918"/>
      <c r="Q343" s="1918"/>
      <c r="R343" s="1918"/>
      <c r="S343" s="1918"/>
      <c r="T343" s="1918"/>
      <c r="U343" s="1918"/>
      <c r="V343" s="1918"/>
      <c r="W343" s="1918"/>
      <c r="X343" s="1918"/>
      <c r="Y343" s="1918"/>
      <c r="Z343" s="1918"/>
      <c r="AA343" s="1918"/>
      <c r="AB343" s="1918"/>
      <c r="AC343" s="1918"/>
      <c r="AD343" s="1918"/>
      <c r="AE343" s="1918"/>
    </row>
    <row r="344" spans="1:31" ht="15.75" customHeight="1">
      <c r="A344" s="1918"/>
      <c r="B344" s="1918"/>
      <c r="C344" s="1918"/>
      <c r="D344" s="1918"/>
      <c r="E344" s="1918"/>
      <c r="F344" s="1918"/>
      <c r="G344" s="1918"/>
      <c r="H344" s="1918"/>
      <c r="I344" s="1918"/>
      <c r="J344" s="1918"/>
      <c r="K344" s="1918"/>
      <c r="L344" s="1918"/>
      <c r="M344" s="1918"/>
      <c r="N344" s="1918"/>
      <c r="O344" s="1918"/>
      <c r="P344" s="1918"/>
      <c r="Q344" s="1918"/>
      <c r="R344" s="1918"/>
      <c r="S344" s="1918"/>
      <c r="T344" s="1918"/>
      <c r="U344" s="1918"/>
      <c r="V344" s="1918"/>
      <c r="W344" s="1918"/>
      <c r="X344" s="1918"/>
      <c r="Y344" s="1918"/>
      <c r="Z344" s="1918"/>
      <c r="AA344" s="1918"/>
      <c r="AB344" s="1918"/>
      <c r="AC344" s="1918"/>
      <c r="AD344" s="1918"/>
      <c r="AE344" s="1918"/>
    </row>
    <row r="345" spans="1:31" ht="15.75" customHeight="1">
      <c r="A345" s="1918"/>
      <c r="B345" s="1918"/>
      <c r="C345" s="1918"/>
      <c r="D345" s="1918"/>
      <c r="E345" s="1918"/>
      <c r="F345" s="1918"/>
      <c r="G345" s="1918"/>
      <c r="H345" s="1918"/>
      <c r="I345" s="1918"/>
      <c r="J345" s="1918"/>
      <c r="K345" s="1918"/>
      <c r="L345" s="1918"/>
      <c r="M345" s="1918"/>
      <c r="N345" s="1918"/>
      <c r="O345" s="1918"/>
      <c r="P345" s="1918"/>
      <c r="Q345" s="1918"/>
      <c r="R345" s="1918"/>
      <c r="S345" s="1918"/>
      <c r="T345" s="1918"/>
      <c r="U345" s="1918"/>
      <c r="V345" s="1918"/>
      <c r="W345" s="1918"/>
      <c r="X345" s="1918"/>
      <c r="Y345" s="1918"/>
      <c r="Z345" s="1918"/>
      <c r="AA345" s="1918"/>
      <c r="AB345" s="1918"/>
      <c r="AC345" s="1918"/>
      <c r="AD345" s="1918"/>
      <c r="AE345" s="1918"/>
    </row>
    <row r="346" spans="1:31" ht="15.75" customHeight="1">
      <c r="A346" s="1918"/>
      <c r="B346" s="1918"/>
      <c r="C346" s="1918"/>
      <c r="D346" s="1918"/>
      <c r="E346" s="1918"/>
      <c r="F346" s="1918"/>
      <c r="G346" s="1918"/>
      <c r="H346" s="1918"/>
      <c r="I346" s="1918"/>
      <c r="J346" s="1918"/>
      <c r="K346" s="1918"/>
      <c r="L346" s="1918"/>
      <c r="M346" s="1918"/>
      <c r="N346" s="1918"/>
      <c r="O346" s="1918"/>
      <c r="P346" s="1918"/>
      <c r="Q346" s="1918"/>
      <c r="R346" s="1918"/>
      <c r="S346" s="1918"/>
      <c r="T346" s="1918"/>
      <c r="U346" s="1918"/>
      <c r="V346" s="1918"/>
      <c r="W346" s="1918"/>
      <c r="X346" s="1918"/>
      <c r="Y346" s="1918"/>
      <c r="Z346" s="1918"/>
      <c r="AA346" s="1918"/>
      <c r="AB346" s="1918"/>
      <c r="AC346" s="1918"/>
      <c r="AD346" s="1918"/>
      <c r="AE346" s="1918"/>
    </row>
    <row r="347" spans="1:31" ht="15.75" customHeight="1">
      <c r="A347" s="1918"/>
      <c r="B347" s="1918"/>
      <c r="C347" s="1918"/>
      <c r="D347" s="1918"/>
      <c r="E347" s="1918"/>
      <c r="F347" s="1918"/>
      <c r="G347" s="1918"/>
      <c r="H347" s="1918"/>
      <c r="I347" s="1918"/>
      <c r="J347" s="1918"/>
      <c r="K347" s="1918"/>
      <c r="L347" s="1918"/>
      <c r="M347" s="1918"/>
      <c r="N347" s="1918"/>
      <c r="O347" s="1918"/>
      <c r="P347" s="1918"/>
      <c r="Q347" s="1918"/>
      <c r="R347" s="1918"/>
      <c r="S347" s="1918"/>
      <c r="T347" s="1918"/>
      <c r="U347" s="1918"/>
      <c r="V347" s="1918"/>
      <c r="W347" s="1918"/>
      <c r="X347" s="1918"/>
      <c r="Y347" s="1918"/>
      <c r="Z347" s="1918"/>
      <c r="AA347" s="1918"/>
      <c r="AB347" s="1918"/>
      <c r="AC347" s="1918"/>
      <c r="AD347" s="1918"/>
      <c r="AE347" s="1918"/>
    </row>
    <row r="348" spans="1:31" ht="15.75" customHeight="1">
      <c r="A348" s="1918"/>
      <c r="B348" s="1918"/>
      <c r="C348" s="1918"/>
      <c r="D348" s="1918"/>
      <c r="E348" s="1918"/>
      <c r="F348" s="1918"/>
      <c r="G348" s="1918"/>
      <c r="H348" s="1918"/>
      <c r="I348" s="1918"/>
      <c r="J348" s="1918"/>
      <c r="K348" s="1918"/>
      <c r="L348" s="1918"/>
      <c r="M348" s="1918"/>
      <c r="N348" s="1918"/>
      <c r="O348" s="1918"/>
      <c r="P348" s="1918"/>
      <c r="Q348" s="1918"/>
      <c r="R348" s="1918"/>
      <c r="S348" s="1918"/>
      <c r="T348" s="1918"/>
      <c r="U348" s="1918"/>
      <c r="V348" s="1918"/>
      <c r="W348" s="1918"/>
      <c r="X348" s="1918"/>
      <c r="Y348" s="1918"/>
      <c r="Z348" s="1918"/>
      <c r="AA348" s="1918"/>
      <c r="AB348" s="1918"/>
      <c r="AC348" s="1918"/>
      <c r="AD348" s="1918"/>
      <c r="AE348" s="1918"/>
    </row>
    <row r="349" spans="1:31" ht="15.75" customHeight="1">
      <c r="A349" s="1918"/>
      <c r="B349" s="1918"/>
      <c r="C349" s="1918"/>
      <c r="D349" s="1918"/>
      <c r="E349" s="1918"/>
      <c r="F349" s="1918"/>
      <c r="G349" s="1918"/>
      <c r="H349" s="1918"/>
      <c r="I349" s="1918"/>
      <c r="J349" s="1918"/>
      <c r="K349" s="1918"/>
      <c r="L349" s="1918"/>
      <c r="M349" s="1918"/>
      <c r="N349" s="1918"/>
      <c r="O349" s="1918"/>
      <c r="P349" s="1918"/>
      <c r="Q349" s="1918"/>
      <c r="R349" s="1918"/>
      <c r="S349" s="1918"/>
      <c r="T349" s="1918"/>
      <c r="U349" s="1918"/>
      <c r="V349" s="1918"/>
      <c r="W349" s="1918"/>
      <c r="X349" s="1918"/>
      <c r="Y349" s="1918"/>
      <c r="Z349" s="1918"/>
      <c r="AA349" s="1918"/>
      <c r="AB349" s="1918"/>
      <c r="AC349" s="1918"/>
      <c r="AD349" s="1918"/>
      <c r="AE349" s="1918"/>
    </row>
    <row r="350" spans="1:31" ht="15.75" customHeight="1">
      <c r="A350" s="1918"/>
      <c r="B350" s="1918"/>
      <c r="C350" s="1918"/>
      <c r="D350" s="1918"/>
      <c r="E350" s="1918"/>
      <c r="F350" s="1918"/>
      <c r="G350" s="1918"/>
      <c r="H350" s="1918"/>
      <c r="I350" s="1918"/>
      <c r="J350" s="1918"/>
      <c r="K350" s="1918"/>
      <c r="L350" s="1918"/>
      <c r="M350" s="1918"/>
      <c r="N350" s="1918"/>
      <c r="O350" s="1918"/>
      <c r="P350" s="1918"/>
      <c r="Q350" s="1918"/>
      <c r="R350" s="1918"/>
      <c r="S350" s="1918"/>
      <c r="T350" s="1918"/>
      <c r="U350" s="1918"/>
      <c r="V350" s="1918"/>
      <c r="W350" s="1918"/>
      <c r="X350" s="1918"/>
      <c r="Y350" s="1918"/>
      <c r="Z350" s="1918"/>
      <c r="AA350" s="1918"/>
      <c r="AB350" s="1918"/>
      <c r="AC350" s="1918"/>
      <c r="AD350" s="1918"/>
      <c r="AE350" s="1918"/>
    </row>
    <row r="351" spans="1:31" ht="15.75" customHeight="1">
      <c r="A351" s="1918"/>
      <c r="B351" s="1918"/>
      <c r="C351" s="1918"/>
      <c r="D351" s="1918"/>
      <c r="E351" s="1918"/>
      <c r="F351" s="1918"/>
      <c r="G351" s="1918"/>
      <c r="H351" s="1918"/>
      <c r="I351" s="1918"/>
      <c r="J351" s="1918"/>
      <c r="K351" s="1918"/>
      <c r="L351" s="1918"/>
      <c r="M351" s="1918"/>
      <c r="N351" s="1918"/>
      <c r="O351" s="1918"/>
      <c r="P351" s="1918"/>
      <c r="Q351" s="1918"/>
      <c r="R351" s="1918"/>
      <c r="S351" s="1918"/>
      <c r="T351" s="1918"/>
      <c r="U351" s="1918"/>
      <c r="V351" s="1918"/>
      <c r="W351" s="1918"/>
      <c r="X351" s="1918"/>
      <c r="Y351" s="1918"/>
      <c r="Z351" s="1918"/>
      <c r="AA351" s="1918"/>
      <c r="AB351" s="1918"/>
      <c r="AC351" s="1918"/>
      <c r="AD351" s="1918"/>
      <c r="AE351" s="1918"/>
    </row>
    <row r="352" spans="1:31" ht="15.75" customHeight="1">
      <c r="A352" s="1918"/>
      <c r="B352" s="1918"/>
      <c r="C352" s="1918"/>
      <c r="D352" s="1918"/>
      <c r="E352" s="1918"/>
      <c r="F352" s="1918"/>
      <c r="G352" s="1918"/>
      <c r="H352" s="1918"/>
      <c r="I352" s="1918"/>
      <c r="J352" s="1918"/>
      <c r="K352" s="1918"/>
      <c r="L352" s="1918"/>
      <c r="M352" s="1918"/>
      <c r="N352" s="1918"/>
      <c r="O352" s="1918"/>
      <c r="P352" s="1918"/>
      <c r="Q352" s="1918"/>
      <c r="R352" s="1918"/>
      <c r="S352" s="1918"/>
      <c r="T352" s="1918"/>
      <c r="U352" s="1918"/>
      <c r="V352" s="1918"/>
      <c r="W352" s="1918"/>
      <c r="X352" s="1918"/>
      <c r="Y352" s="1918"/>
      <c r="Z352" s="1918"/>
      <c r="AA352" s="1918"/>
      <c r="AB352" s="1918"/>
      <c r="AC352" s="1918"/>
      <c r="AD352" s="1918"/>
      <c r="AE352" s="1918"/>
    </row>
    <row r="353" spans="1:31" ht="15.75" customHeight="1">
      <c r="A353" s="1918"/>
      <c r="B353" s="1918"/>
      <c r="C353" s="1918"/>
      <c r="D353" s="1918"/>
      <c r="E353" s="1918"/>
      <c r="F353" s="1918"/>
      <c r="G353" s="1918"/>
      <c r="H353" s="1918"/>
      <c r="I353" s="1918"/>
      <c r="J353" s="1918"/>
      <c r="K353" s="1918"/>
      <c r="L353" s="1918"/>
      <c r="M353" s="1918"/>
      <c r="N353" s="1918"/>
      <c r="O353" s="1918"/>
      <c r="P353" s="1918"/>
      <c r="Q353" s="1918"/>
      <c r="R353" s="1918"/>
      <c r="S353" s="1918"/>
      <c r="T353" s="1918"/>
      <c r="U353" s="1918"/>
      <c r="V353" s="1918"/>
      <c r="W353" s="1918"/>
      <c r="X353" s="1918"/>
      <c r="Y353" s="1918"/>
      <c r="Z353" s="1918"/>
      <c r="AA353" s="1918"/>
      <c r="AB353" s="1918"/>
      <c r="AC353" s="1918"/>
      <c r="AD353" s="1918"/>
      <c r="AE353" s="1918"/>
    </row>
    <row r="354" spans="1:31" ht="15.75" customHeight="1">
      <c r="A354" s="1918"/>
      <c r="B354" s="1918"/>
      <c r="C354" s="1918"/>
      <c r="D354" s="1918"/>
      <c r="E354" s="1918"/>
      <c r="F354" s="1918"/>
      <c r="G354" s="1918"/>
      <c r="H354" s="1918"/>
      <c r="I354" s="1918"/>
      <c r="J354" s="1918"/>
      <c r="K354" s="1918"/>
      <c r="L354" s="1918"/>
      <c r="M354" s="1918"/>
      <c r="N354" s="1918"/>
      <c r="O354" s="1918"/>
      <c r="P354" s="1918"/>
      <c r="Q354" s="1918"/>
      <c r="R354" s="1918"/>
      <c r="S354" s="1918"/>
      <c r="T354" s="1918"/>
      <c r="U354" s="1918"/>
      <c r="V354" s="1918"/>
      <c r="W354" s="1918"/>
      <c r="X354" s="1918"/>
      <c r="Y354" s="1918"/>
      <c r="Z354" s="1918"/>
      <c r="AA354" s="1918"/>
      <c r="AB354" s="1918"/>
      <c r="AC354" s="1918"/>
      <c r="AD354" s="1918"/>
      <c r="AE354" s="1918"/>
    </row>
    <row r="355" spans="1:31" ht="15.75" customHeight="1">
      <c r="A355" s="1918"/>
      <c r="B355" s="1918"/>
      <c r="C355" s="1918"/>
      <c r="D355" s="1918"/>
      <c r="E355" s="1918"/>
      <c r="F355" s="1918"/>
      <c r="G355" s="1918"/>
      <c r="H355" s="1918"/>
      <c r="I355" s="1918"/>
      <c r="J355" s="1918"/>
      <c r="K355" s="1918"/>
      <c r="L355" s="1918"/>
      <c r="M355" s="1918"/>
      <c r="N355" s="1918"/>
      <c r="O355" s="1918"/>
      <c r="P355" s="1918"/>
      <c r="Q355" s="1918"/>
      <c r="R355" s="1918"/>
      <c r="S355" s="1918"/>
      <c r="T355" s="1918"/>
      <c r="U355" s="1918"/>
      <c r="V355" s="1918"/>
      <c r="W355" s="1918"/>
      <c r="X355" s="1918"/>
      <c r="Y355" s="1918"/>
      <c r="Z355" s="1918"/>
      <c r="AA355" s="1918"/>
      <c r="AB355" s="1918"/>
      <c r="AC355" s="1918"/>
      <c r="AD355" s="1918"/>
      <c r="AE355" s="1918"/>
    </row>
    <row r="356" spans="1:31" ht="15.75" customHeight="1">
      <c r="A356" s="1918"/>
      <c r="B356" s="1918"/>
      <c r="C356" s="1918"/>
      <c r="D356" s="1918"/>
      <c r="E356" s="1918"/>
      <c r="F356" s="1918"/>
      <c r="G356" s="1918"/>
      <c r="H356" s="1918"/>
      <c r="I356" s="1918"/>
      <c r="J356" s="1918"/>
      <c r="K356" s="1918"/>
      <c r="L356" s="1918"/>
      <c r="M356" s="1918"/>
      <c r="N356" s="1918"/>
      <c r="O356" s="1918"/>
      <c r="P356" s="1918"/>
      <c r="Q356" s="1918"/>
      <c r="R356" s="1918"/>
      <c r="S356" s="1918"/>
      <c r="T356" s="1918"/>
      <c r="U356" s="1918"/>
      <c r="V356" s="1918"/>
      <c r="W356" s="1918"/>
      <c r="X356" s="1918"/>
      <c r="Y356" s="1918"/>
      <c r="Z356" s="1918"/>
      <c r="AA356" s="1918"/>
      <c r="AB356" s="1918"/>
      <c r="AC356" s="1918"/>
      <c r="AD356" s="1918"/>
      <c r="AE356" s="1918"/>
    </row>
    <row r="357" spans="1:31" ht="15.75" customHeight="1">
      <c r="A357" s="1918"/>
      <c r="B357" s="1918"/>
      <c r="C357" s="1918"/>
      <c r="D357" s="1918"/>
      <c r="E357" s="1918"/>
      <c r="F357" s="1918"/>
      <c r="G357" s="1918"/>
      <c r="H357" s="1918"/>
      <c r="I357" s="1918"/>
      <c r="J357" s="1918"/>
      <c r="K357" s="1918"/>
      <c r="L357" s="1918"/>
      <c r="M357" s="1918"/>
      <c r="N357" s="1918"/>
      <c r="O357" s="1918"/>
      <c r="P357" s="1918"/>
      <c r="Q357" s="1918"/>
      <c r="R357" s="1918"/>
      <c r="S357" s="1918"/>
      <c r="T357" s="1918"/>
      <c r="U357" s="1918"/>
      <c r="V357" s="1918"/>
      <c r="W357" s="1918"/>
      <c r="X357" s="1918"/>
      <c r="Y357" s="1918"/>
      <c r="Z357" s="1918"/>
      <c r="AA357" s="1918"/>
      <c r="AB357" s="1918"/>
      <c r="AC357" s="1918"/>
      <c r="AD357" s="1918"/>
      <c r="AE357" s="1918"/>
    </row>
    <row r="358" spans="1:31" ht="15.75" customHeight="1">
      <c r="A358" s="1918"/>
      <c r="B358" s="1918"/>
      <c r="C358" s="1918"/>
      <c r="D358" s="1918"/>
      <c r="E358" s="1918"/>
      <c r="F358" s="1918"/>
      <c r="G358" s="1918"/>
      <c r="H358" s="1918"/>
      <c r="I358" s="1918"/>
      <c r="J358" s="1918"/>
      <c r="K358" s="1918"/>
      <c r="L358" s="1918"/>
      <c r="M358" s="1918"/>
      <c r="N358" s="1918"/>
      <c r="O358" s="1918"/>
      <c r="P358" s="1918"/>
      <c r="Q358" s="1918"/>
      <c r="R358" s="1918"/>
      <c r="S358" s="1918"/>
      <c r="T358" s="1918"/>
      <c r="U358" s="1918"/>
      <c r="V358" s="1918"/>
      <c r="W358" s="1918"/>
      <c r="X358" s="1918"/>
      <c r="Y358" s="1918"/>
      <c r="Z358" s="1918"/>
      <c r="AA358" s="1918"/>
      <c r="AB358" s="1918"/>
      <c r="AC358" s="1918"/>
      <c r="AD358" s="1918"/>
      <c r="AE358" s="1918"/>
    </row>
    <row r="359" spans="1:31" ht="15.75" customHeight="1">
      <c r="A359" s="1918"/>
      <c r="B359" s="1918"/>
      <c r="C359" s="1918"/>
      <c r="D359" s="1918"/>
      <c r="E359" s="1918"/>
      <c r="F359" s="1918"/>
      <c r="G359" s="1918"/>
      <c r="H359" s="1918"/>
      <c r="I359" s="1918"/>
      <c r="J359" s="1918"/>
      <c r="K359" s="1918"/>
      <c r="L359" s="1918"/>
      <c r="M359" s="1918"/>
      <c r="N359" s="1918"/>
      <c r="O359" s="1918"/>
      <c r="P359" s="1918"/>
      <c r="Q359" s="1918"/>
      <c r="R359" s="1918"/>
      <c r="S359" s="1918"/>
      <c r="T359" s="1918"/>
      <c r="U359" s="1918"/>
      <c r="V359" s="1918"/>
      <c r="W359" s="1918"/>
      <c r="X359" s="1918"/>
      <c r="Y359" s="1918"/>
      <c r="Z359" s="1918"/>
      <c r="AA359" s="1918"/>
      <c r="AB359" s="1918"/>
      <c r="AC359" s="1918"/>
      <c r="AD359" s="1918"/>
      <c r="AE359" s="1918"/>
    </row>
    <row r="360" spans="1:31" ht="15.75" customHeight="1">
      <c r="A360" s="1918"/>
      <c r="B360" s="1918"/>
      <c r="C360" s="1918"/>
      <c r="D360" s="1918"/>
      <c r="E360" s="1918"/>
      <c r="F360" s="1918"/>
      <c r="G360" s="1918"/>
      <c r="H360" s="1918"/>
      <c r="I360" s="1918"/>
      <c r="J360" s="1918"/>
      <c r="K360" s="1918"/>
      <c r="L360" s="1918"/>
      <c r="M360" s="1918"/>
      <c r="N360" s="1918"/>
      <c r="O360" s="1918"/>
      <c r="P360" s="1918"/>
      <c r="Q360" s="1918"/>
      <c r="R360" s="1918"/>
      <c r="S360" s="1918"/>
      <c r="T360" s="1918"/>
      <c r="U360" s="1918"/>
      <c r="V360" s="1918"/>
      <c r="W360" s="1918"/>
      <c r="X360" s="1918"/>
      <c r="Y360" s="1918"/>
      <c r="Z360" s="1918"/>
      <c r="AA360" s="1918"/>
      <c r="AB360" s="1918"/>
      <c r="AC360" s="1918"/>
      <c r="AD360" s="1918"/>
      <c r="AE360" s="1918"/>
    </row>
    <row r="361" spans="1:31" ht="15.75" customHeight="1">
      <c r="A361" s="1918"/>
      <c r="B361" s="1918"/>
      <c r="C361" s="1918"/>
      <c r="D361" s="1918"/>
      <c r="E361" s="1918"/>
      <c r="F361" s="1918"/>
      <c r="G361" s="1918"/>
      <c r="H361" s="1918"/>
      <c r="I361" s="1918"/>
      <c r="J361" s="1918"/>
      <c r="K361" s="1918"/>
      <c r="L361" s="1918"/>
      <c r="M361" s="1918"/>
      <c r="N361" s="1918"/>
      <c r="O361" s="1918"/>
      <c r="P361" s="1918"/>
      <c r="Q361" s="1918"/>
      <c r="R361" s="1918"/>
      <c r="S361" s="1918"/>
      <c r="T361" s="1918"/>
      <c r="U361" s="1918"/>
      <c r="V361" s="1918"/>
      <c r="W361" s="1918"/>
      <c r="X361" s="1918"/>
      <c r="Y361" s="1918"/>
      <c r="Z361" s="1918"/>
      <c r="AA361" s="1918"/>
      <c r="AB361" s="1918"/>
      <c r="AC361" s="1918"/>
      <c r="AD361" s="1918"/>
      <c r="AE361" s="1918"/>
    </row>
    <row r="362" spans="1:31" ht="15.75" customHeight="1">
      <c r="A362" s="1918"/>
      <c r="B362" s="1918"/>
      <c r="C362" s="1918"/>
      <c r="D362" s="1918"/>
      <c r="E362" s="1918"/>
      <c r="F362" s="1918"/>
      <c r="G362" s="1918"/>
      <c r="H362" s="1918"/>
      <c r="I362" s="1918"/>
      <c r="J362" s="1918"/>
      <c r="K362" s="1918"/>
      <c r="L362" s="1918"/>
      <c r="M362" s="1918"/>
      <c r="N362" s="1918"/>
      <c r="O362" s="1918"/>
      <c r="P362" s="1918"/>
      <c r="Q362" s="1918"/>
      <c r="R362" s="1918"/>
      <c r="S362" s="1918"/>
      <c r="T362" s="1918"/>
      <c r="U362" s="1918"/>
      <c r="V362" s="1918"/>
      <c r="W362" s="1918"/>
      <c r="X362" s="1918"/>
      <c r="Y362" s="1918"/>
      <c r="Z362" s="1918"/>
      <c r="AA362" s="1918"/>
      <c r="AB362" s="1918"/>
      <c r="AC362" s="1918"/>
      <c r="AD362" s="1918"/>
      <c r="AE362" s="1918"/>
    </row>
    <row r="363" spans="1:31" ht="15.75" customHeight="1">
      <c r="A363" s="1918"/>
      <c r="B363" s="1918"/>
      <c r="C363" s="1918"/>
      <c r="D363" s="1918"/>
      <c r="E363" s="1918"/>
      <c r="F363" s="1918"/>
      <c r="G363" s="1918"/>
      <c r="H363" s="1918"/>
      <c r="I363" s="1918"/>
      <c r="J363" s="1918"/>
      <c r="K363" s="1918"/>
      <c r="L363" s="1918"/>
      <c r="M363" s="1918"/>
      <c r="N363" s="1918"/>
      <c r="O363" s="1918"/>
      <c r="P363" s="1918"/>
      <c r="Q363" s="1918"/>
      <c r="R363" s="1918"/>
      <c r="S363" s="1918"/>
      <c r="T363" s="1918"/>
      <c r="U363" s="1918"/>
      <c r="V363" s="1918"/>
      <c r="W363" s="1918"/>
      <c r="X363" s="1918"/>
      <c r="Y363" s="1918"/>
      <c r="Z363" s="1918"/>
      <c r="AA363" s="1918"/>
      <c r="AB363" s="1918"/>
      <c r="AC363" s="1918"/>
      <c r="AD363" s="1918"/>
      <c r="AE363" s="1918"/>
    </row>
    <row r="364" spans="1:31" ht="15.75" customHeight="1">
      <c r="A364" s="1918"/>
      <c r="B364" s="1918"/>
      <c r="C364" s="1918"/>
      <c r="D364" s="1918"/>
      <c r="E364" s="1918"/>
      <c r="F364" s="1918"/>
      <c r="G364" s="1918"/>
      <c r="H364" s="1918"/>
      <c r="I364" s="1918"/>
      <c r="J364" s="1918"/>
      <c r="K364" s="1918"/>
      <c r="L364" s="1918"/>
      <c r="M364" s="1918"/>
      <c r="N364" s="1918"/>
      <c r="O364" s="1918"/>
      <c r="P364" s="1918"/>
      <c r="Q364" s="1918"/>
      <c r="R364" s="1918"/>
      <c r="S364" s="1918"/>
      <c r="T364" s="1918"/>
      <c r="U364" s="1918"/>
      <c r="V364" s="1918"/>
      <c r="W364" s="1918"/>
      <c r="X364" s="1918"/>
      <c r="Y364" s="1918"/>
      <c r="Z364" s="1918"/>
      <c r="AA364" s="1918"/>
      <c r="AB364" s="1918"/>
      <c r="AC364" s="1918"/>
      <c r="AD364" s="1918"/>
      <c r="AE364" s="1918"/>
    </row>
    <row r="365" spans="1:31" ht="15.75" customHeight="1">
      <c r="A365" s="1918"/>
      <c r="B365" s="1918"/>
      <c r="C365" s="1918"/>
      <c r="D365" s="1918"/>
      <c r="E365" s="1918"/>
      <c r="F365" s="1918"/>
      <c r="G365" s="1918"/>
      <c r="H365" s="1918"/>
      <c r="I365" s="1918"/>
      <c r="J365" s="1918"/>
      <c r="K365" s="1918"/>
      <c r="L365" s="1918"/>
      <c r="M365" s="1918"/>
      <c r="N365" s="1918"/>
      <c r="O365" s="1918"/>
      <c r="P365" s="1918"/>
      <c r="Q365" s="1918"/>
      <c r="R365" s="1918"/>
      <c r="S365" s="1918"/>
      <c r="T365" s="1918"/>
      <c r="U365" s="1918"/>
      <c r="V365" s="1918"/>
      <c r="W365" s="1918"/>
      <c r="X365" s="1918"/>
      <c r="Y365" s="1918"/>
      <c r="Z365" s="1918"/>
      <c r="AA365" s="1918"/>
      <c r="AB365" s="1918"/>
      <c r="AC365" s="1918"/>
      <c r="AD365" s="1918"/>
      <c r="AE365" s="1918"/>
    </row>
    <row r="366" spans="1:31" ht="15.75" customHeight="1">
      <c r="A366" s="1918"/>
      <c r="B366" s="1918"/>
      <c r="C366" s="1918"/>
      <c r="D366" s="1918"/>
      <c r="E366" s="1918"/>
      <c r="F366" s="1918"/>
      <c r="G366" s="1918"/>
      <c r="H366" s="1918"/>
      <c r="I366" s="1918"/>
      <c r="J366" s="1918"/>
      <c r="K366" s="1918"/>
      <c r="L366" s="1918"/>
      <c r="M366" s="1918"/>
      <c r="N366" s="1918"/>
      <c r="O366" s="1918"/>
      <c r="P366" s="1918"/>
      <c r="Q366" s="1918"/>
      <c r="R366" s="1918"/>
      <c r="S366" s="1918"/>
      <c r="T366" s="1918"/>
      <c r="U366" s="1918"/>
      <c r="V366" s="1918"/>
      <c r="W366" s="1918"/>
      <c r="X366" s="1918"/>
      <c r="Y366" s="1918"/>
      <c r="Z366" s="1918"/>
      <c r="AA366" s="1918"/>
      <c r="AB366" s="1918"/>
      <c r="AC366" s="1918"/>
      <c r="AD366" s="1918"/>
      <c r="AE366" s="1918"/>
    </row>
    <row r="367" spans="1:31" ht="15.75" customHeight="1">
      <c r="A367" s="1918"/>
      <c r="B367" s="1918"/>
      <c r="C367" s="1918"/>
      <c r="D367" s="1918"/>
      <c r="E367" s="1918"/>
      <c r="F367" s="1918"/>
      <c r="G367" s="1918"/>
      <c r="H367" s="1918"/>
      <c r="I367" s="1918"/>
      <c r="J367" s="1918"/>
      <c r="K367" s="1918"/>
      <c r="L367" s="1918"/>
      <c r="M367" s="1918"/>
      <c r="N367" s="1918"/>
      <c r="O367" s="1918"/>
      <c r="P367" s="1918"/>
      <c r="Q367" s="1918"/>
      <c r="R367" s="1918"/>
      <c r="S367" s="1918"/>
      <c r="T367" s="1918"/>
      <c r="U367" s="1918"/>
      <c r="V367" s="1918"/>
      <c r="W367" s="1918"/>
      <c r="X367" s="1918"/>
      <c r="Y367" s="1918"/>
      <c r="Z367" s="1918"/>
      <c r="AA367" s="1918"/>
      <c r="AB367" s="1918"/>
      <c r="AC367" s="1918"/>
      <c r="AD367" s="1918"/>
      <c r="AE367" s="1918"/>
    </row>
    <row r="368" spans="1:31" ht="15.75" customHeight="1">
      <c r="A368" s="1918"/>
      <c r="B368" s="1918"/>
      <c r="C368" s="1918"/>
      <c r="D368" s="1918"/>
      <c r="E368" s="1918"/>
      <c r="F368" s="1918"/>
      <c r="G368" s="1918"/>
      <c r="H368" s="1918"/>
      <c r="I368" s="1918"/>
      <c r="J368" s="1918"/>
      <c r="K368" s="1918"/>
      <c r="L368" s="1918"/>
      <c r="M368" s="1918"/>
      <c r="N368" s="1918"/>
      <c r="O368" s="1918"/>
      <c r="P368" s="1918"/>
      <c r="Q368" s="1918"/>
      <c r="R368" s="1918"/>
      <c r="S368" s="1918"/>
      <c r="T368" s="1918"/>
      <c r="U368" s="1918"/>
      <c r="V368" s="1918"/>
      <c r="W368" s="1918"/>
      <c r="X368" s="1918"/>
      <c r="Y368" s="1918"/>
      <c r="Z368" s="1918"/>
      <c r="AA368" s="1918"/>
      <c r="AB368" s="1918"/>
      <c r="AC368" s="1918"/>
      <c r="AD368" s="1918"/>
      <c r="AE368" s="1918"/>
    </row>
    <row r="369" spans="1:31" ht="15.75" customHeight="1">
      <c r="A369" s="1918"/>
      <c r="B369" s="1918"/>
      <c r="C369" s="1918"/>
      <c r="D369" s="1918"/>
      <c r="E369" s="1918"/>
      <c r="F369" s="1918"/>
      <c r="G369" s="1918"/>
      <c r="H369" s="1918"/>
      <c r="I369" s="1918"/>
      <c r="J369" s="1918"/>
      <c r="K369" s="1918"/>
      <c r="L369" s="1918"/>
      <c r="M369" s="1918"/>
      <c r="N369" s="1918"/>
      <c r="O369" s="1918"/>
      <c r="P369" s="1918"/>
      <c r="Q369" s="1918"/>
      <c r="R369" s="1918"/>
      <c r="S369" s="1918"/>
      <c r="T369" s="1918"/>
      <c r="U369" s="1918"/>
      <c r="V369" s="1918"/>
      <c r="W369" s="1918"/>
      <c r="X369" s="1918"/>
      <c r="Y369" s="1918"/>
      <c r="Z369" s="1918"/>
      <c r="AA369" s="1918"/>
      <c r="AB369" s="1918"/>
      <c r="AC369" s="1918"/>
      <c r="AD369" s="1918"/>
      <c r="AE369" s="1918"/>
    </row>
    <row r="370" spans="1:31" ht="15.75" customHeight="1">
      <c r="A370" s="1918"/>
      <c r="B370" s="1918"/>
      <c r="C370" s="1918"/>
      <c r="D370" s="1918"/>
      <c r="E370" s="1918"/>
      <c r="F370" s="1918"/>
      <c r="G370" s="1918"/>
      <c r="H370" s="1918"/>
      <c r="I370" s="1918"/>
      <c r="J370" s="1918"/>
      <c r="K370" s="1918"/>
      <c r="L370" s="1918"/>
      <c r="M370" s="1918"/>
      <c r="N370" s="1918"/>
      <c r="O370" s="1918"/>
      <c r="P370" s="1918"/>
      <c r="Q370" s="1918"/>
      <c r="R370" s="1918"/>
      <c r="S370" s="1918"/>
      <c r="T370" s="1918"/>
      <c r="U370" s="1918"/>
      <c r="V370" s="1918"/>
      <c r="W370" s="1918"/>
      <c r="X370" s="1918"/>
      <c r="Y370" s="1918"/>
      <c r="Z370" s="1918"/>
      <c r="AA370" s="1918"/>
      <c r="AB370" s="1918"/>
      <c r="AC370" s="1918"/>
      <c r="AD370" s="1918"/>
      <c r="AE370" s="1918"/>
    </row>
    <row r="371" spans="1:31" ht="15.75" customHeight="1">
      <c r="A371" s="1918"/>
      <c r="B371" s="1918"/>
      <c r="C371" s="1918"/>
      <c r="D371" s="1918"/>
      <c r="E371" s="1918"/>
      <c r="F371" s="1918"/>
      <c r="G371" s="1918"/>
      <c r="H371" s="1918"/>
      <c r="I371" s="1918"/>
      <c r="J371" s="1918"/>
      <c r="K371" s="1918"/>
      <c r="L371" s="1918"/>
      <c r="M371" s="1918"/>
      <c r="N371" s="1918"/>
      <c r="O371" s="1918"/>
      <c r="P371" s="1918"/>
      <c r="Q371" s="1918"/>
      <c r="R371" s="1918"/>
      <c r="S371" s="1918"/>
      <c r="T371" s="1918"/>
      <c r="U371" s="1918"/>
      <c r="V371" s="1918"/>
      <c r="W371" s="1918"/>
      <c r="X371" s="1918"/>
      <c r="Y371" s="1918"/>
      <c r="Z371" s="1918"/>
      <c r="AA371" s="1918"/>
      <c r="AB371" s="1918"/>
      <c r="AC371" s="1918"/>
      <c r="AD371" s="1918"/>
      <c r="AE371" s="1918"/>
    </row>
    <row r="372" spans="1:31" ht="15.75" customHeight="1">
      <c r="A372" s="1918"/>
      <c r="B372" s="1918"/>
      <c r="C372" s="1918"/>
      <c r="D372" s="1918"/>
      <c r="E372" s="1918"/>
      <c r="F372" s="1918"/>
      <c r="G372" s="1918"/>
      <c r="H372" s="1918"/>
      <c r="I372" s="1918"/>
      <c r="J372" s="1918"/>
      <c r="K372" s="1918"/>
      <c r="L372" s="1918"/>
      <c r="M372" s="1918"/>
      <c r="N372" s="1918"/>
      <c r="O372" s="1918"/>
      <c r="P372" s="1918"/>
      <c r="Q372" s="1918"/>
      <c r="R372" s="1918"/>
      <c r="S372" s="1918"/>
      <c r="T372" s="1918"/>
      <c r="U372" s="1918"/>
      <c r="V372" s="1918"/>
      <c r="W372" s="1918"/>
      <c r="X372" s="1918"/>
      <c r="Y372" s="1918"/>
      <c r="Z372" s="1918"/>
      <c r="AA372" s="1918"/>
      <c r="AB372" s="1918"/>
      <c r="AC372" s="1918"/>
      <c r="AD372" s="1918"/>
      <c r="AE372" s="1918"/>
    </row>
    <row r="373" spans="1:31" ht="15.75" customHeight="1">
      <c r="A373" s="1918"/>
      <c r="B373" s="1918"/>
      <c r="C373" s="1918"/>
      <c r="D373" s="1918"/>
      <c r="E373" s="1918"/>
      <c r="F373" s="1918"/>
      <c r="G373" s="1918"/>
      <c r="H373" s="1918"/>
      <c r="I373" s="1918"/>
      <c r="J373" s="1918"/>
      <c r="K373" s="1918"/>
      <c r="L373" s="1918"/>
      <c r="M373" s="1918"/>
      <c r="N373" s="1918"/>
      <c r="O373" s="1918"/>
      <c r="P373" s="1918"/>
      <c r="Q373" s="1918"/>
      <c r="R373" s="1918"/>
      <c r="S373" s="1918"/>
      <c r="T373" s="1918"/>
      <c r="U373" s="1918"/>
      <c r="V373" s="1918"/>
      <c r="W373" s="1918"/>
      <c r="X373" s="1918"/>
      <c r="Y373" s="1918"/>
      <c r="Z373" s="1918"/>
      <c r="AA373" s="1918"/>
      <c r="AB373" s="1918"/>
      <c r="AC373" s="1918"/>
      <c r="AD373" s="1918"/>
      <c r="AE373" s="1918"/>
    </row>
    <row r="374" spans="1:31" ht="15.75" customHeight="1">
      <c r="A374" s="1918"/>
      <c r="B374" s="1918"/>
      <c r="C374" s="1918"/>
      <c r="D374" s="1918"/>
      <c r="E374" s="1918"/>
      <c r="F374" s="1918"/>
      <c r="G374" s="1918"/>
      <c r="H374" s="1918"/>
      <c r="I374" s="1918"/>
      <c r="J374" s="1918"/>
      <c r="K374" s="1918"/>
      <c r="L374" s="1918"/>
      <c r="M374" s="1918"/>
      <c r="N374" s="1918"/>
      <c r="O374" s="1918"/>
      <c r="P374" s="1918"/>
      <c r="Q374" s="1918"/>
      <c r="R374" s="1918"/>
      <c r="S374" s="1918"/>
      <c r="T374" s="1918"/>
      <c r="U374" s="1918"/>
      <c r="V374" s="1918"/>
      <c r="W374" s="1918"/>
      <c r="X374" s="1918"/>
      <c r="Y374" s="1918"/>
      <c r="Z374" s="1918"/>
      <c r="AA374" s="1918"/>
      <c r="AB374" s="1918"/>
      <c r="AC374" s="1918"/>
      <c r="AD374" s="1918"/>
      <c r="AE374" s="1918"/>
    </row>
    <row r="375" spans="1:31" ht="15.75" customHeight="1">
      <c r="A375" s="1918"/>
      <c r="B375" s="1918"/>
      <c r="C375" s="1918"/>
      <c r="D375" s="1918"/>
      <c r="E375" s="1918"/>
      <c r="F375" s="1918"/>
      <c r="G375" s="1918"/>
      <c r="H375" s="1918"/>
      <c r="I375" s="1918"/>
      <c r="J375" s="1918"/>
      <c r="K375" s="1918"/>
      <c r="L375" s="1918"/>
      <c r="M375" s="1918"/>
      <c r="N375" s="1918"/>
      <c r="O375" s="1918"/>
      <c r="P375" s="1918"/>
      <c r="Q375" s="1918"/>
      <c r="R375" s="1918"/>
      <c r="S375" s="1918"/>
      <c r="T375" s="1918"/>
      <c r="U375" s="1918"/>
      <c r="V375" s="1918"/>
      <c r="W375" s="1918"/>
      <c r="X375" s="1918"/>
      <c r="Y375" s="1918"/>
      <c r="Z375" s="1918"/>
      <c r="AA375" s="1918"/>
      <c r="AB375" s="1918"/>
      <c r="AC375" s="1918"/>
      <c r="AD375" s="1918"/>
      <c r="AE375" s="1918"/>
    </row>
    <row r="376" spans="1:31" ht="15.75" customHeight="1">
      <c r="A376" s="1918"/>
      <c r="B376" s="1918"/>
      <c r="C376" s="1918"/>
      <c r="D376" s="1918"/>
      <c r="E376" s="1918"/>
      <c r="F376" s="1918"/>
      <c r="G376" s="1918"/>
      <c r="H376" s="1918"/>
      <c r="I376" s="1918"/>
      <c r="J376" s="1918"/>
      <c r="K376" s="1918"/>
      <c r="L376" s="1918"/>
      <c r="M376" s="1918"/>
      <c r="N376" s="1918"/>
      <c r="O376" s="1918"/>
      <c r="P376" s="1918"/>
      <c r="Q376" s="1918"/>
      <c r="R376" s="1918"/>
      <c r="S376" s="1918"/>
      <c r="T376" s="1918"/>
      <c r="U376" s="1918"/>
      <c r="V376" s="1918"/>
      <c r="W376" s="1918"/>
      <c r="X376" s="1918"/>
      <c r="Y376" s="1918"/>
      <c r="Z376" s="1918"/>
      <c r="AA376" s="1918"/>
      <c r="AB376" s="1918"/>
      <c r="AC376" s="1918"/>
      <c r="AD376" s="1918"/>
      <c r="AE376" s="1918"/>
    </row>
    <row r="377" spans="1:31" ht="15.75" customHeight="1">
      <c r="A377" s="1918"/>
      <c r="B377" s="1918"/>
      <c r="C377" s="1918"/>
      <c r="D377" s="1918"/>
      <c r="E377" s="1918"/>
      <c r="F377" s="1918"/>
      <c r="G377" s="1918"/>
      <c r="H377" s="1918"/>
      <c r="I377" s="1918"/>
      <c r="J377" s="1918"/>
      <c r="K377" s="1918"/>
      <c r="L377" s="1918"/>
      <c r="M377" s="1918"/>
      <c r="N377" s="1918"/>
      <c r="O377" s="1918"/>
      <c r="P377" s="1918"/>
      <c r="Q377" s="1918"/>
      <c r="R377" s="1918"/>
      <c r="S377" s="1918"/>
      <c r="T377" s="1918"/>
      <c r="U377" s="1918"/>
      <c r="V377" s="1918"/>
      <c r="W377" s="1918"/>
      <c r="X377" s="1918"/>
      <c r="Y377" s="1918"/>
      <c r="Z377" s="1918"/>
      <c r="AA377" s="1918"/>
      <c r="AB377" s="1918"/>
      <c r="AC377" s="1918"/>
      <c r="AD377" s="1918"/>
      <c r="AE377" s="1918"/>
    </row>
    <row r="378" spans="1:31" ht="15.75" customHeight="1">
      <c r="A378" s="1918"/>
      <c r="B378" s="1918"/>
      <c r="C378" s="1918"/>
      <c r="D378" s="1918"/>
      <c r="E378" s="1918"/>
      <c r="F378" s="1918"/>
      <c r="G378" s="1918"/>
      <c r="H378" s="1918"/>
      <c r="I378" s="1918"/>
      <c r="J378" s="1918"/>
      <c r="K378" s="1918"/>
      <c r="L378" s="1918"/>
      <c r="M378" s="1918"/>
      <c r="N378" s="1918"/>
      <c r="O378" s="1918"/>
      <c r="P378" s="1918"/>
      <c r="Q378" s="1918"/>
      <c r="R378" s="1918"/>
      <c r="S378" s="1918"/>
      <c r="T378" s="1918"/>
      <c r="U378" s="1918"/>
      <c r="V378" s="1918"/>
      <c r="W378" s="1918"/>
      <c r="X378" s="1918"/>
      <c r="Y378" s="1918"/>
      <c r="Z378" s="1918"/>
      <c r="AA378" s="1918"/>
      <c r="AB378" s="1918"/>
      <c r="AC378" s="1918"/>
      <c r="AD378" s="1918"/>
      <c r="AE378" s="1918"/>
    </row>
    <row r="379" spans="1:31" ht="15.75" customHeight="1">
      <c r="A379" s="1918"/>
      <c r="B379" s="1918"/>
      <c r="C379" s="1918"/>
      <c r="D379" s="1918"/>
      <c r="E379" s="1918"/>
      <c r="F379" s="1918"/>
      <c r="G379" s="1918"/>
      <c r="H379" s="1918"/>
      <c r="I379" s="1918"/>
      <c r="J379" s="1918"/>
      <c r="K379" s="1918"/>
      <c r="L379" s="1918"/>
      <c r="M379" s="1918"/>
      <c r="N379" s="1918"/>
      <c r="O379" s="1918"/>
      <c r="P379" s="1918"/>
      <c r="Q379" s="1918"/>
      <c r="R379" s="1918"/>
      <c r="S379" s="1918"/>
      <c r="T379" s="1918"/>
      <c r="U379" s="1918"/>
      <c r="V379" s="1918"/>
      <c r="W379" s="1918"/>
      <c r="X379" s="1918"/>
      <c r="Y379" s="1918"/>
      <c r="Z379" s="1918"/>
      <c r="AA379" s="1918"/>
      <c r="AB379" s="1918"/>
      <c r="AC379" s="1918"/>
      <c r="AD379" s="1918"/>
      <c r="AE379" s="1918"/>
    </row>
    <row r="380" spans="1:31" ht="15.75" customHeight="1">
      <c r="A380" s="1918"/>
      <c r="B380" s="1918"/>
      <c r="C380" s="1918"/>
      <c r="D380" s="1918"/>
      <c r="E380" s="1918"/>
      <c r="F380" s="1918"/>
      <c r="G380" s="1918"/>
      <c r="H380" s="1918"/>
      <c r="I380" s="1918"/>
      <c r="J380" s="1918"/>
      <c r="K380" s="1918"/>
      <c r="L380" s="1918"/>
      <c r="M380" s="1918"/>
      <c r="N380" s="1918"/>
      <c r="O380" s="1918"/>
      <c r="P380" s="1918"/>
      <c r="Q380" s="1918"/>
      <c r="R380" s="1918"/>
      <c r="S380" s="1918"/>
      <c r="T380" s="1918"/>
      <c r="U380" s="1918"/>
      <c r="V380" s="1918"/>
      <c r="W380" s="1918"/>
      <c r="X380" s="1918"/>
      <c r="Y380" s="1918"/>
      <c r="Z380" s="1918"/>
      <c r="AA380" s="1918"/>
      <c r="AB380" s="1918"/>
      <c r="AC380" s="1918"/>
      <c r="AD380" s="1918"/>
      <c r="AE380" s="1918"/>
    </row>
    <row r="381" spans="1:31" ht="15.75" customHeight="1">
      <c r="A381" s="1918"/>
      <c r="B381" s="1918"/>
      <c r="C381" s="1918"/>
      <c r="D381" s="1918"/>
      <c r="E381" s="1918"/>
      <c r="F381" s="1918"/>
      <c r="G381" s="1918"/>
      <c r="H381" s="1918"/>
      <c r="I381" s="1918"/>
      <c r="J381" s="1918"/>
      <c r="K381" s="1918"/>
      <c r="L381" s="1918"/>
      <c r="M381" s="1918"/>
      <c r="N381" s="1918"/>
      <c r="O381" s="1918"/>
      <c r="P381" s="1918"/>
      <c r="Q381" s="1918"/>
      <c r="R381" s="1918"/>
      <c r="S381" s="1918"/>
      <c r="T381" s="1918"/>
      <c r="U381" s="1918"/>
      <c r="V381" s="1918"/>
      <c r="W381" s="1918"/>
      <c r="X381" s="1918"/>
      <c r="Y381" s="1918"/>
      <c r="Z381" s="1918"/>
      <c r="AA381" s="1918"/>
      <c r="AB381" s="1918"/>
      <c r="AC381" s="1918"/>
      <c r="AD381" s="1918"/>
      <c r="AE381" s="1918"/>
    </row>
    <row r="382" spans="1:31" ht="15.75" customHeight="1">
      <c r="A382" s="1918"/>
      <c r="B382" s="1918"/>
      <c r="C382" s="1918"/>
      <c r="D382" s="1918"/>
      <c r="E382" s="1918"/>
      <c r="F382" s="1918"/>
      <c r="G382" s="1918"/>
      <c r="H382" s="1918"/>
      <c r="I382" s="1918"/>
      <c r="J382" s="1918"/>
      <c r="K382" s="1918"/>
      <c r="L382" s="1918"/>
      <c r="M382" s="1918"/>
      <c r="N382" s="1918"/>
      <c r="O382" s="1918"/>
      <c r="P382" s="1918"/>
      <c r="Q382" s="1918"/>
      <c r="R382" s="1918"/>
      <c r="S382" s="1918"/>
      <c r="T382" s="1918"/>
      <c r="U382" s="1918"/>
      <c r="V382" s="1918"/>
      <c r="W382" s="1918"/>
      <c r="X382" s="1918"/>
      <c r="Y382" s="1918"/>
      <c r="Z382" s="1918"/>
      <c r="AA382" s="1918"/>
      <c r="AB382" s="1918"/>
      <c r="AC382" s="1918"/>
      <c r="AD382" s="1918"/>
      <c r="AE382" s="1918"/>
    </row>
    <row r="383" spans="1:31" ht="15.75" customHeight="1">
      <c r="A383" s="1918"/>
      <c r="B383" s="1918"/>
      <c r="C383" s="1918"/>
      <c r="D383" s="1918"/>
      <c r="E383" s="1918"/>
      <c r="F383" s="1918"/>
      <c r="G383" s="1918"/>
      <c r="H383" s="1918"/>
      <c r="I383" s="1918"/>
      <c r="J383" s="1918"/>
      <c r="K383" s="1918"/>
      <c r="L383" s="1918"/>
      <c r="M383" s="1918"/>
      <c r="N383" s="1918"/>
      <c r="O383" s="1918"/>
      <c r="P383" s="1918"/>
      <c r="Q383" s="1918"/>
      <c r="R383" s="1918"/>
      <c r="S383" s="1918"/>
      <c r="T383" s="1918"/>
      <c r="U383" s="1918"/>
      <c r="V383" s="1918"/>
      <c r="W383" s="1918"/>
      <c r="X383" s="1918"/>
      <c r="Y383" s="1918"/>
      <c r="Z383" s="1918"/>
      <c r="AA383" s="1918"/>
      <c r="AB383" s="1918"/>
      <c r="AC383" s="1918"/>
      <c r="AD383" s="1918"/>
      <c r="AE383" s="1918"/>
    </row>
    <row r="384" spans="1:31" ht="15.75" customHeight="1">
      <c r="A384" s="1918"/>
      <c r="B384" s="1918"/>
      <c r="C384" s="1918"/>
      <c r="D384" s="1918"/>
      <c r="E384" s="1918"/>
      <c r="F384" s="1918"/>
      <c r="G384" s="1918"/>
      <c r="H384" s="1918"/>
      <c r="I384" s="1918"/>
      <c r="J384" s="1918"/>
      <c r="K384" s="1918"/>
      <c r="L384" s="1918"/>
      <c r="M384" s="1918"/>
      <c r="N384" s="1918"/>
      <c r="O384" s="1918"/>
      <c r="P384" s="1918"/>
      <c r="Q384" s="1918"/>
      <c r="R384" s="1918"/>
      <c r="S384" s="1918"/>
      <c r="T384" s="1918"/>
      <c r="U384" s="1918"/>
      <c r="V384" s="1918"/>
      <c r="W384" s="1918"/>
      <c r="X384" s="1918"/>
      <c r="Y384" s="1918"/>
      <c r="Z384" s="1918"/>
      <c r="AA384" s="1918"/>
      <c r="AB384" s="1918"/>
      <c r="AC384" s="1918"/>
      <c r="AD384" s="1918"/>
      <c r="AE384" s="1918"/>
    </row>
    <row r="385" spans="1:31" ht="15.75" customHeight="1">
      <c r="A385" s="1918"/>
      <c r="B385" s="1918"/>
      <c r="C385" s="1918"/>
      <c r="D385" s="1918"/>
      <c r="E385" s="1918"/>
      <c r="F385" s="1918"/>
      <c r="G385" s="1918"/>
      <c r="H385" s="1918"/>
      <c r="I385" s="1918"/>
      <c r="J385" s="1918"/>
      <c r="K385" s="1918"/>
      <c r="L385" s="1918"/>
      <c r="M385" s="1918"/>
      <c r="N385" s="1918"/>
      <c r="O385" s="1918"/>
      <c r="P385" s="1918"/>
      <c r="Q385" s="1918"/>
      <c r="R385" s="1918"/>
      <c r="S385" s="1918"/>
      <c r="T385" s="1918"/>
      <c r="U385" s="1918"/>
      <c r="V385" s="1918"/>
      <c r="W385" s="1918"/>
      <c r="X385" s="1918"/>
      <c r="Y385" s="1918"/>
      <c r="Z385" s="1918"/>
      <c r="AA385" s="1918"/>
      <c r="AB385" s="1918"/>
      <c r="AC385" s="1918"/>
      <c r="AD385" s="1918"/>
      <c r="AE385" s="1918"/>
    </row>
    <row r="386" spans="1:31" ht="15.75" customHeight="1">
      <c r="A386" s="1918"/>
      <c r="B386" s="1918"/>
      <c r="C386" s="1918"/>
      <c r="D386" s="1918"/>
      <c r="E386" s="1918"/>
      <c r="F386" s="1918"/>
      <c r="G386" s="1918"/>
      <c r="H386" s="1918"/>
      <c r="I386" s="1918"/>
      <c r="J386" s="1918"/>
      <c r="K386" s="1918"/>
      <c r="L386" s="1918"/>
      <c r="M386" s="1918"/>
      <c r="N386" s="1918"/>
      <c r="O386" s="1918"/>
      <c r="P386" s="1918"/>
      <c r="Q386" s="1918"/>
      <c r="R386" s="1918"/>
      <c r="S386" s="1918"/>
      <c r="T386" s="1918"/>
      <c r="U386" s="1918"/>
      <c r="V386" s="1918"/>
      <c r="W386" s="1918"/>
      <c r="X386" s="1918"/>
      <c r="Y386" s="1918"/>
      <c r="Z386" s="1918"/>
      <c r="AA386" s="1918"/>
      <c r="AB386" s="1918"/>
      <c r="AC386" s="1918"/>
      <c r="AD386" s="1918"/>
      <c r="AE386" s="1918"/>
    </row>
    <row r="387" spans="1:31" ht="15.75" customHeight="1">
      <c r="A387" s="1918"/>
      <c r="B387" s="1918"/>
      <c r="C387" s="1918"/>
      <c r="D387" s="1918"/>
      <c r="E387" s="1918"/>
      <c r="F387" s="1918"/>
      <c r="G387" s="1918"/>
      <c r="H387" s="1918"/>
      <c r="I387" s="1918"/>
      <c r="J387" s="1918"/>
      <c r="K387" s="1918"/>
      <c r="L387" s="1918"/>
      <c r="M387" s="1918"/>
      <c r="N387" s="1918"/>
      <c r="O387" s="1918"/>
      <c r="P387" s="1918"/>
      <c r="Q387" s="1918"/>
      <c r="R387" s="1918"/>
      <c r="S387" s="1918"/>
      <c r="T387" s="1918"/>
      <c r="U387" s="1918"/>
      <c r="V387" s="1918"/>
      <c r="W387" s="1918"/>
      <c r="X387" s="1918"/>
      <c r="Y387" s="1918"/>
      <c r="Z387" s="1918"/>
      <c r="AA387" s="1918"/>
      <c r="AB387" s="1918"/>
      <c r="AC387" s="1918"/>
      <c r="AD387" s="1918"/>
      <c r="AE387" s="1918"/>
    </row>
    <row r="388" spans="1:31" ht="15.75" customHeight="1">
      <c r="A388" s="1918"/>
      <c r="B388" s="1918"/>
      <c r="C388" s="1918"/>
      <c r="D388" s="1918"/>
      <c r="E388" s="1918"/>
      <c r="F388" s="1918"/>
      <c r="G388" s="1918"/>
      <c r="H388" s="1918"/>
      <c r="I388" s="1918"/>
      <c r="J388" s="1918"/>
      <c r="K388" s="1918"/>
      <c r="L388" s="1918"/>
      <c r="M388" s="1918"/>
      <c r="N388" s="1918"/>
      <c r="O388" s="1918"/>
      <c r="P388" s="1918"/>
      <c r="Q388" s="1918"/>
      <c r="R388" s="1918"/>
      <c r="S388" s="1918"/>
      <c r="T388" s="1918"/>
      <c r="U388" s="1918"/>
      <c r="V388" s="1918"/>
      <c r="W388" s="1918"/>
      <c r="X388" s="1918"/>
      <c r="Y388" s="1918"/>
      <c r="Z388" s="1918"/>
      <c r="AA388" s="1918"/>
      <c r="AB388" s="1918"/>
      <c r="AC388" s="1918"/>
      <c r="AD388" s="1918"/>
      <c r="AE388" s="1918"/>
    </row>
    <row r="389" spans="1:31" ht="15.75" customHeight="1">
      <c r="A389" s="1918"/>
      <c r="B389" s="1918"/>
      <c r="C389" s="1918"/>
      <c r="D389" s="1918"/>
      <c r="E389" s="1918"/>
      <c r="F389" s="1918"/>
      <c r="G389" s="1918"/>
      <c r="H389" s="1918"/>
      <c r="I389" s="1918"/>
      <c r="J389" s="1918"/>
      <c r="K389" s="1918"/>
      <c r="L389" s="1918"/>
      <c r="M389" s="1918"/>
      <c r="N389" s="1918"/>
      <c r="O389" s="1918"/>
      <c r="P389" s="1918"/>
      <c r="Q389" s="1918"/>
      <c r="R389" s="1918"/>
      <c r="S389" s="1918"/>
      <c r="T389" s="1918"/>
      <c r="U389" s="1918"/>
      <c r="V389" s="1918"/>
      <c r="W389" s="1918"/>
      <c r="X389" s="1918"/>
      <c r="Y389" s="1918"/>
      <c r="Z389" s="1918"/>
      <c r="AA389" s="1918"/>
      <c r="AB389" s="1918"/>
      <c r="AC389" s="1918"/>
      <c r="AD389" s="1918"/>
      <c r="AE389" s="1918"/>
    </row>
    <row r="390" spans="1:31" ht="15.75" customHeight="1">
      <c r="A390" s="1918"/>
      <c r="B390" s="1918"/>
      <c r="C390" s="1918"/>
      <c r="D390" s="1918"/>
      <c r="E390" s="1918"/>
      <c r="F390" s="1918"/>
      <c r="G390" s="1918"/>
      <c r="H390" s="1918"/>
      <c r="I390" s="1918"/>
      <c r="J390" s="1918"/>
      <c r="K390" s="1918"/>
      <c r="L390" s="1918"/>
      <c r="M390" s="1918"/>
      <c r="N390" s="1918"/>
      <c r="O390" s="1918"/>
      <c r="P390" s="1918"/>
      <c r="Q390" s="1918"/>
      <c r="R390" s="1918"/>
      <c r="S390" s="1918"/>
      <c r="T390" s="1918"/>
      <c r="U390" s="1918"/>
      <c r="V390" s="1918"/>
      <c r="W390" s="1918"/>
      <c r="X390" s="1918"/>
      <c r="Y390" s="1918"/>
      <c r="Z390" s="1918"/>
      <c r="AA390" s="1918"/>
      <c r="AB390" s="1918"/>
      <c r="AC390" s="1918"/>
      <c r="AD390" s="1918"/>
      <c r="AE390" s="1918"/>
    </row>
    <row r="391" spans="1:31" ht="15.75" customHeight="1">
      <c r="A391" s="1918"/>
      <c r="B391" s="1918"/>
      <c r="C391" s="1918"/>
      <c r="D391" s="1918"/>
      <c r="E391" s="1918"/>
      <c r="F391" s="1918"/>
      <c r="G391" s="1918"/>
      <c r="H391" s="1918"/>
      <c r="I391" s="1918"/>
      <c r="J391" s="1918"/>
      <c r="K391" s="1918"/>
      <c r="L391" s="1918"/>
      <c r="M391" s="1918"/>
      <c r="N391" s="1918"/>
      <c r="O391" s="1918"/>
      <c r="P391" s="1918"/>
      <c r="Q391" s="1918"/>
      <c r="R391" s="1918"/>
      <c r="S391" s="1918"/>
      <c r="T391" s="1918"/>
      <c r="U391" s="1918"/>
      <c r="V391" s="1918"/>
      <c r="W391" s="1918"/>
      <c r="X391" s="1918"/>
      <c r="Y391" s="1918"/>
      <c r="Z391" s="1918"/>
      <c r="AA391" s="1918"/>
      <c r="AB391" s="1918"/>
      <c r="AC391" s="1918"/>
      <c r="AD391" s="1918"/>
      <c r="AE391" s="1918"/>
    </row>
    <row r="392" spans="1:31" ht="15.75" customHeight="1">
      <c r="A392" s="1918"/>
      <c r="B392" s="1918"/>
      <c r="C392" s="1918"/>
      <c r="D392" s="1918"/>
      <c r="E392" s="1918"/>
      <c r="F392" s="1918"/>
      <c r="G392" s="1918"/>
      <c r="H392" s="1918"/>
      <c r="I392" s="1918"/>
      <c r="J392" s="1918"/>
      <c r="K392" s="1918"/>
      <c r="L392" s="1918"/>
      <c r="M392" s="1918"/>
      <c r="N392" s="1918"/>
      <c r="O392" s="1918"/>
      <c r="P392" s="1918"/>
      <c r="Q392" s="1918"/>
      <c r="R392" s="1918"/>
      <c r="S392" s="1918"/>
      <c r="T392" s="1918"/>
      <c r="U392" s="1918"/>
      <c r="V392" s="1918"/>
      <c r="W392" s="1918"/>
      <c r="X392" s="1918"/>
      <c r="Y392" s="1918"/>
      <c r="Z392" s="1918"/>
      <c r="AA392" s="1918"/>
      <c r="AB392" s="1918"/>
      <c r="AC392" s="1918"/>
      <c r="AD392" s="1918"/>
      <c r="AE392" s="1918"/>
    </row>
    <row r="393" spans="1:31" ht="15.75" customHeight="1">
      <c r="A393" s="1918"/>
      <c r="B393" s="1918"/>
      <c r="C393" s="1918"/>
      <c r="D393" s="1918"/>
      <c r="E393" s="1918"/>
      <c r="F393" s="1918"/>
      <c r="G393" s="1918"/>
      <c r="H393" s="1918"/>
      <c r="I393" s="1918"/>
      <c r="J393" s="1918"/>
      <c r="K393" s="1918"/>
      <c r="L393" s="1918"/>
      <c r="M393" s="1918"/>
      <c r="N393" s="1918"/>
      <c r="O393" s="1918"/>
      <c r="P393" s="1918"/>
      <c r="Q393" s="1918"/>
      <c r="R393" s="1918"/>
      <c r="S393" s="1918"/>
      <c r="T393" s="1918"/>
      <c r="U393" s="1918"/>
      <c r="V393" s="1918"/>
      <c r="W393" s="1918"/>
      <c r="X393" s="1918"/>
      <c r="Y393" s="1918"/>
      <c r="Z393" s="1918"/>
      <c r="AA393" s="1918"/>
      <c r="AB393" s="1918"/>
      <c r="AC393" s="1918"/>
      <c r="AD393" s="1918"/>
      <c r="AE393" s="1918"/>
    </row>
    <row r="394" spans="1:31" ht="15.75" customHeight="1">
      <c r="A394" s="1918"/>
      <c r="B394" s="1918"/>
      <c r="C394" s="1918"/>
      <c r="D394" s="1918"/>
      <c r="E394" s="1918"/>
      <c r="F394" s="1918"/>
      <c r="G394" s="1918"/>
      <c r="H394" s="1918"/>
      <c r="I394" s="1918"/>
      <c r="J394" s="1918"/>
      <c r="K394" s="1918"/>
      <c r="L394" s="1918"/>
      <c r="M394" s="1918"/>
      <c r="N394" s="1918"/>
      <c r="O394" s="1918"/>
      <c r="P394" s="1918"/>
      <c r="Q394" s="1918"/>
      <c r="R394" s="1918"/>
      <c r="S394" s="1918"/>
      <c r="T394" s="1918"/>
      <c r="U394" s="1918"/>
      <c r="V394" s="1918"/>
      <c r="W394" s="1918"/>
      <c r="X394" s="1918"/>
      <c r="Y394" s="1918"/>
      <c r="Z394" s="1918"/>
      <c r="AA394" s="1918"/>
      <c r="AB394" s="1918"/>
      <c r="AC394" s="1918"/>
      <c r="AD394" s="1918"/>
      <c r="AE394" s="1918"/>
    </row>
    <row r="395" spans="1:31" ht="15.75" customHeight="1">
      <c r="A395" s="1918"/>
      <c r="B395" s="1918"/>
      <c r="C395" s="1918"/>
      <c r="D395" s="1918"/>
      <c r="E395" s="1918"/>
      <c r="F395" s="1918"/>
      <c r="G395" s="1918"/>
      <c r="H395" s="1918"/>
      <c r="I395" s="1918"/>
      <c r="J395" s="1918"/>
      <c r="K395" s="1918"/>
      <c r="L395" s="1918"/>
      <c r="M395" s="1918"/>
      <c r="N395" s="1918"/>
      <c r="O395" s="1918"/>
      <c r="P395" s="1918"/>
      <c r="Q395" s="1918"/>
      <c r="R395" s="1918"/>
      <c r="S395" s="1918"/>
      <c r="T395" s="1918"/>
      <c r="U395" s="1918"/>
      <c r="V395" s="1918"/>
      <c r="W395" s="1918"/>
      <c r="X395" s="1918"/>
      <c r="Y395" s="1918"/>
      <c r="Z395" s="1918"/>
      <c r="AA395" s="1918"/>
      <c r="AB395" s="1918"/>
      <c r="AC395" s="1918"/>
      <c r="AD395" s="1918"/>
      <c r="AE395" s="1918"/>
    </row>
    <row r="396" spans="1:31" ht="15.75" customHeight="1">
      <c r="A396" s="1918"/>
      <c r="B396" s="1918"/>
      <c r="C396" s="1918"/>
      <c r="D396" s="1918"/>
      <c r="E396" s="1918"/>
      <c r="F396" s="1918"/>
      <c r="G396" s="1918"/>
      <c r="H396" s="1918"/>
      <c r="I396" s="1918"/>
      <c r="J396" s="1918"/>
      <c r="K396" s="1918"/>
      <c r="L396" s="1918"/>
      <c r="M396" s="1918"/>
      <c r="N396" s="1918"/>
      <c r="O396" s="1918"/>
      <c r="P396" s="1918"/>
      <c r="Q396" s="1918"/>
      <c r="R396" s="1918"/>
      <c r="S396" s="1918"/>
      <c r="T396" s="1918"/>
      <c r="U396" s="1918"/>
      <c r="V396" s="1918"/>
      <c r="W396" s="1918"/>
      <c r="X396" s="1918"/>
      <c r="Y396" s="1918"/>
      <c r="Z396" s="1918"/>
      <c r="AA396" s="1918"/>
      <c r="AB396" s="1918"/>
      <c r="AC396" s="1918"/>
      <c r="AD396" s="1918"/>
      <c r="AE396" s="1918"/>
    </row>
    <row r="397" spans="1:31" ht="15.75" customHeight="1">
      <c r="A397" s="1918"/>
      <c r="B397" s="1918"/>
      <c r="C397" s="1918"/>
      <c r="D397" s="1918"/>
      <c r="E397" s="1918"/>
      <c r="F397" s="1918"/>
      <c r="G397" s="1918"/>
      <c r="H397" s="1918"/>
      <c r="I397" s="1918"/>
      <c r="J397" s="1918"/>
      <c r="K397" s="1918"/>
      <c r="L397" s="1918"/>
      <c r="M397" s="1918"/>
      <c r="N397" s="1918"/>
      <c r="O397" s="1918"/>
      <c r="P397" s="1918"/>
      <c r="Q397" s="1918"/>
      <c r="R397" s="1918"/>
      <c r="S397" s="1918"/>
      <c r="T397" s="1918"/>
      <c r="U397" s="1918"/>
      <c r="V397" s="1918"/>
      <c r="W397" s="1918"/>
      <c r="X397" s="1918"/>
      <c r="Y397" s="1918"/>
      <c r="Z397" s="1918"/>
      <c r="AA397" s="1918"/>
      <c r="AB397" s="1918"/>
      <c r="AC397" s="1918"/>
      <c r="AD397" s="1918"/>
      <c r="AE397" s="1918"/>
    </row>
    <row r="398" spans="1:31" ht="15.75" customHeight="1">
      <c r="A398" s="1918"/>
      <c r="B398" s="1918"/>
      <c r="C398" s="1918"/>
      <c r="D398" s="1918"/>
      <c r="E398" s="1918"/>
      <c r="F398" s="1918"/>
      <c r="G398" s="1918"/>
      <c r="H398" s="1918"/>
      <c r="I398" s="1918"/>
      <c r="J398" s="1918"/>
      <c r="K398" s="1918"/>
      <c r="L398" s="1918"/>
      <c r="M398" s="1918"/>
      <c r="N398" s="1918"/>
      <c r="O398" s="1918"/>
      <c r="P398" s="1918"/>
      <c r="Q398" s="1918"/>
      <c r="R398" s="1918"/>
      <c r="S398" s="1918"/>
      <c r="T398" s="1918"/>
      <c r="U398" s="1918"/>
      <c r="V398" s="1918"/>
      <c r="W398" s="1918"/>
      <c r="X398" s="1918"/>
      <c r="Y398" s="1918"/>
      <c r="Z398" s="1918"/>
      <c r="AA398" s="1918"/>
      <c r="AB398" s="1918"/>
      <c r="AC398" s="1918"/>
      <c r="AD398" s="1918"/>
      <c r="AE398" s="1918"/>
    </row>
    <row r="399" spans="1:31" ht="15.75" customHeight="1">
      <c r="A399" s="1918"/>
      <c r="B399" s="1918"/>
      <c r="C399" s="1918"/>
      <c r="D399" s="1918"/>
      <c r="E399" s="1918"/>
      <c r="F399" s="1918"/>
      <c r="G399" s="1918"/>
      <c r="H399" s="1918"/>
      <c r="I399" s="1918"/>
      <c r="J399" s="1918"/>
      <c r="K399" s="1918"/>
      <c r="L399" s="1918"/>
      <c r="M399" s="1918"/>
      <c r="N399" s="1918"/>
      <c r="O399" s="1918"/>
      <c r="P399" s="1918"/>
      <c r="Q399" s="1918"/>
      <c r="R399" s="1918"/>
      <c r="S399" s="1918"/>
      <c r="T399" s="1918"/>
      <c r="U399" s="1918"/>
      <c r="V399" s="1918"/>
      <c r="W399" s="1918"/>
      <c r="X399" s="1918"/>
      <c r="Y399" s="1918"/>
      <c r="Z399" s="1918"/>
      <c r="AA399" s="1918"/>
      <c r="AB399" s="1918"/>
      <c r="AC399" s="1918"/>
      <c r="AD399" s="1918"/>
      <c r="AE399" s="1918"/>
    </row>
    <row r="400" spans="1:31" ht="15.75" customHeight="1">
      <c r="A400" s="1918"/>
      <c r="B400" s="1918"/>
      <c r="C400" s="1918"/>
      <c r="D400" s="1918"/>
      <c r="E400" s="1918"/>
      <c r="F400" s="1918"/>
      <c r="G400" s="1918"/>
      <c r="H400" s="1918"/>
      <c r="I400" s="1918"/>
      <c r="J400" s="1918"/>
      <c r="K400" s="1918"/>
      <c r="L400" s="1918"/>
      <c r="M400" s="1918"/>
      <c r="N400" s="1918"/>
      <c r="O400" s="1918"/>
      <c r="P400" s="1918"/>
      <c r="Q400" s="1918"/>
      <c r="R400" s="1918"/>
      <c r="S400" s="1918"/>
      <c r="T400" s="1918"/>
      <c r="U400" s="1918"/>
      <c r="V400" s="1918"/>
      <c r="W400" s="1918"/>
      <c r="X400" s="1918"/>
      <c r="Y400" s="1918"/>
      <c r="Z400" s="1918"/>
      <c r="AA400" s="1918"/>
      <c r="AB400" s="1918"/>
      <c r="AC400" s="1918"/>
      <c r="AD400" s="1918"/>
      <c r="AE400" s="1918"/>
    </row>
    <row r="401" spans="1:31" ht="15.75" customHeight="1">
      <c r="A401" s="1918"/>
      <c r="B401" s="1918"/>
      <c r="C401" s="1918"/>
      <c r="D401" s="1918"/>
      <c r="E401" s="1918"/>
      <c r="F401" s="1918"/>
      <c r="G401" s="1918"/>
      <c r="H401" s="1918"/>
      <c r="I401" s="1918"/>
      <c r="J401" s="1918"/>
      <c r="K401" s="1918"/>
      <c r="L401" s="1918"/>
      <c r="M401" s="1918"/>
      <c r="N401" s="1918"/>
      <c r="O401" s="1918"/>
      <c r="P401" s="1918"/>
      <c r="Q401" s="1918"/>
      <c r="R401" s="1918"/>
      <c r="S401" s="1918"/>
      <c r="T401" s="1918"/>
      <c r="U401" s="1918"/>
      <c r="V401" s="1918"/>
      <c r="W401" s="1918"/>
      <c r="X401" s="1918"/>
      <c r="Y401" s="1918"/>
      <c r="Z401" s="1918"/>
      <c r="AA401" s="1918"/>
      <c r="AB401" s="1918"/>
      <c r="AC401" s="1918"/>
      <c r="AD401" s="1918"/>
      <c r="AE401" s="1918"/>
    </row>
    <row r="402" spans="1:31" ht="15.75" customHeight="1">
      <c r="A402" s="1918"/>
      <c r="B402" s="1918"/>
      <c r="C402" s="1918"/>
      <c r="D402" s="1918"/>
      <c r="E402" s="1918"/>
      <c r="F402" s="1918"/>
      <c r="G402" s="1918"/>
      <c r="H402" s="1918"/>
      <c r="I402" s="1918"/>
      <c r="J402" s="1918"/>
      <c r="K402" s="1918"/>
      <c r="L402" s="1918"/>
      <c r="M402" s="1918"/>
      <c r="N402" s="1918"/>
      <c r="O402" s="1918"/>
      <c r="P402" s="1918"/>
      <c r="Q402" s="1918"/>
      <c r="R402" s="1918"/>
      <c r="S402" s="1918"/>
      <c r="T402" s="1918"/>
      <c r="U402" s="1918"/>
      <c r="V402" s="1918"/>
      <c r="W402" s="1918"/>
      <c r="X402" s="1918"/>
      <c r="Y402" s="1918"/>
      <c r="Z402" s="1918"/>
      <c r="AA402" s="1918"/>
      <c r="AB402" s="1918"/>
      <c r="AC402" s="1918"/>
      <c r="AD402" s="1918"/>
      <c r="AE402" s="1918"/>
    </row>
    <row r="403" spans="1:31" ht="15.75" customHeight="1">
      <c r="A403" s="1918"/>
      <c r="B403" s="1918"/>
      <c r="C403" s="1918"/>
      <c r="D403" s="1918"/>
      <c r="E403" s="1918"/>
      <c r="F403" s="1918"/>
      <c r="G403" s="1918"/>
      <c r="H403" s="1918"/>
      <c r="I403" s="1918"/>
      <c r="J403" s="1918"/>
      <c r="K403" s="1918"/>
      <c r="L403" s="1918"/>
      <c r="M403" s="1918"/>
      <c r="N403" s="1918"/>
      <c r="O403" s="1918"/>
      <c r="P403" s="1918"/>
      <c r="Q403" s="1918"/>
      <c r="R403" s="1918"/>
      <c r="S403" s="1918"/>
      <c r="T403" s="1918"/>
      <c r="U403" s="1918"/>
      <c r="V403" s="1918"/>
      <c r="W403" s="1918"/>
      <c r="X403" s="1918"/>
      <c r="Y403" s="1918"/>
      <c r="Z403" s="1918"/>
      <c r="AA403" s="1918"/>
      <c r="AB403" s="1918"/>
      <c r="AC403" s="1918"/>
      <c r="AD403" s="1918"/>
      <c r="AE403" s="1918"/>
    </row>
    <row r="404" spans="1:31" ht="15.75" customHeight="1">
      <c r="A404" s="1918"/>
      <c r="B404" s="1918"/>
      <c r="C404" s="1918"/>
      <c r="D404" s="1918"/>
      <c r="E404" s="1918"/>
      <c r="F404" s="1918"/>
      <c r="G404" s="1918"/>
      <c r="H404" s="1918"/>
      <c r="I404" s="1918"/>
      <c r="J404" s="1918"/>
      <c r="K404" s="1918"/>
      <c r="L404" s="1918"/>
      <c r="M404" s="1918"/>
      <c r="N404" s="1918"/>
      <c r="O404" s="1918"/>
      <c r="P404" s="1918"/>
      <c r="Q404" s="1918"/>
      <c r="R404" s="1918"/>
      <c r="S404" s="1918"/>
      <c r="T404" s="1918"/>
      <c r="U404" s="1918"/>
      <c r="V404" s="1918"/>
      <c r="W404" s="1918"/>
      <c r="X404" s="1918"/>
      <c r="Y404" s="1918"/>
      <c r="Z404" s="1918"/>
      <c r="AA404" s="1918"/>
      <c r="AB404" s="1918"/>
      <c r="AC404" s="1918"/>
      <c r="AD404" s="1918"/>
      <c r="AE404" s="1918"/>
    </row>
    <row r="405" spans="1:31" ht="15.75" customHeight="1">
      <c r="A405" s="1918"/>
      <c r="B405" s="1918"/>
      <c r="C405" s="1918"/>
      <c r="D405" s="1918"/>
      <c r="E405" s="1918"/>
      <c r="F405" s="1918"/>
      <c r="G405" s="1918"/>
      <c r="H405" s="1918"/>
      <c r="I405" s="1918"/>
      <c r="J405" s="1918"/>
      <c r="K405" s="1918"/>
      <c r="L405" s="1918"/>
      <c r="M405" s="1918"/>
      <c r="N405" s="1918"/>
      <c r="O405" s="1918"/>
      <c r="P405" s="1918"/>
      <c r="Q405" s="1918"/>
      <c r="R405" s="1918"/>
      <c r="S405" s="1918"/>
      <c r="T405" s="1918"/>
      <c r="U405" s="1918"/>
      <c r="V405" s="1918"/>
      <c r="W405" s="1918"/>
      <c r="X405" s="1918"/>
      <c r="Y405" s="1918"/>
      <c r="Z405" s="1918"/>
      <c r="AA405" s="1918"/>
      <c r="AB405" s="1918"/>
      <c r="AC405" s="1918"/>
      <c r="AD405" s="1918"/>
      <c r="AE405" s="1918"/>
    </row>
    <row r="406" spans="1:31" ht="15.75" customHeight="1">
      <c r="A406" s="1918"/>
      <c r="B406" s="1918"/>
      <c r="C406" s="1918"/>
      <c r="D406" s="1918"/>
      <c r="E406" s="1918"/>
      <c r="F406" s="1918"/>
      <c r="G406" s="1918"/>
      <c r="H406" s="1918"/>
      <c r="I406" s="1918"/>
      <c r="J406" s="1918"/>
      <c r="K406" s="1918"/>
      <c r="L406" s="1918"/>
      <c r="M406" s="1918"/>
      <c r="N406" s="1918"/>
      <c r="O406" s="1918"/>
      <c r="P406" s="1918"/>
      <c r="Q406" s="1918"/>
      <c r="R406" s="1918"/>
      <c r="S406" s="1918"/>
      <c r="T406" s="1918"/>
      <c r="U406" s="1918"/>
      <c r="V406" s="1918"/>
      <c r="W406" s="1918"/>
      <c r="X406" s="1918"/>
      <c r="Y406" s="1918"/>
      <c r="Z406" s="1918"/>
      <c r="AA406" s="1918"/>
      <c r="AB406" s="1918"/>
      <c r="AC406" s="1918"/>
      <c r="AD406" s="1918"/>
      <c r="AE406" s="1918"/>
    </row>
    <row r="407" spans="1:31" ht="15.75" customHeight="1">
      <c r="A407" s="1918"/>
      <c r="B407" s="1918"/>
      <c r="C407" s="1918"/>
      <c r="D407" s="1918"/>
      <c r="E407" s="1918"/>
      <c r="F407" s="1918"/>
      <c r="G407" s="1918"/>
      <c r="H407" s="1918"/>
      <c r="I407" s="1918"/>
      <c r="J407" s="1918"/>
      <c r="K407" s="1918"/>
      <c r="L407" s="1918"/>
      <c r="M407" s="1918"/>
      <c r="N407" s="1918"/>
      <c r="O407" s="1918"/>
      <c r="P407" s="1918"/>
      <c r="Q407" s="1918"/>
      <c r="R407" s="1918"/>
      <c r="S407" s="1918"/>
      <c r="T407" s="1918"/>
      <c r="U407" s="1918"/>
      <c r="V407" s="1918"/>
      <c r="W407" s="1918"/>
      <c r="X407" s="1918"/>
      <c r="Y407" s="1918"/>
      <c r="Z407" s="1918"/>
      <c r="AA407" s="1918"/>
      <c r="AB407" s="1918"/>
      <c r="AC407" s="1918"/>
      <c r="AD407" s="1918"/>
      <c r="AE407" s="1918"/>
    </row>
    <row r="408" spans="1:31" ht="15.75" customHeight="1">
      <c r="A408" s="1918"/>
      <c r="B408" s="1918"/>
      <c r="C408" s="1918"/>
      <c r="D408" s="1918"/>
      <c r="E408" s="1918"/>
      <c r="F408" s="1918"/>
      <c r="G408" s="1918"/>
      <c r="H408" s="1918"/>
      <c r="I408" s="1918"/>
      <c r="J408" s="1918"/>
      <c r="K408" s="1918"/>
      <c r="L408" s="1918"/>
      <c r="M408" s="1918"/>
      <c r="N408" s="1918"/>
      <c r="O408" s="1918"/>
      <c r="P408" s="1918"/>
      <c r="Q408" s="1918"/>
      <c r="R408" s="1918"/>
      <c r="S408" s="1918"/>
      <c r="T408" s="1918"/>
      <c r="U408" s="1918"/>
      <c r="V408" s="1918"/>
      <c r="W408" s="1918"/>
      <c r="X408" s="1918"/>
      <c r="Y408" s="1918"/>
      <c r="Z408" s="1918"/>
      <c r="AA408" s="1918"/>
      <c r="AB408" s="1918"/>
      <c r="AC408" s="1918"/>
      <c r="AD408" s="1918"/>
      <c r="AE408" s="1918"/>
    </row>
    <row r="409" spans="1:31" ht="15.75" customHeight="1">
      <c r="A409" s="1918"/>
      <c r="B409" s="1918"/>
      <c r="C409" s="1918"/>
      <c r="D409" s="1918"/>
      <c r="E409" s="1918"/>
      <c r="F409" s="1918"/>
      <c r="G409" s="1918"/>
      <c r="H409" s="1918"/>
      <c r="I409" s="1918"/>
      <c r="J409" s="1918"/>
      <c r="K409" s="1918"/>
      <c r="L409" s="1918"/>
      <c r="M409" s="1918"/>
      <c r="N409" s="1918"/>
      <c r="O409" s="1918"/>
      <c r="P409" s="1918"/>
      <c r="Q409" s="1918"/>
      <c r="R409" s="1918"/>
      <c r="S409" s="1918"/>
      <c r="T409" s="1918"/>
      <c r="U409" s="1918"/>
      <c r="V409" s="1918"/>
      <c r="W409" s="1918"/>
      <c r="X409" s="1918"/>
      <c r="Y409" s="1918"/>
      <c r="Z409" s="1918"/>
      <c r="AA409" s="1918"/>
      <c r="AB409" s="1918"/>
      <c r="AC409" s="1918"/>
      <c r="AD409" s="1918"/>
      <c r="AE409" s="1918"/>
    </row>
    <row r="410" spans="1:31" ht="15.75" customHeight="1">
      <c r="A410" s="1918"/>
      <c r="B410" s="1918"/>
      <c r="C410" s="1918"/>
      <c r="D410" s="1918"/>
      <c r="E410" s="1918"/>
      <c r="F410" s="1918"/>
      <c r="G410" s="1918"/>
      <c r="H410" s="1918"/>
      <c r="I410" s="1918"/>
      <c r="J410" s="1918"/>
      <c r="K410" s="1918"/>
      <c r="L410" s="1918"/>
      <c r="M410" s="1918"/>
      <c r="N410" s="1918"/>
      <c r="O410" s="1918"/>
      <c r="P410" s="1918"/>
      <c r="Q410" s="1918"/>
      <c r="R410" s="1918"/>
      <c r="S410" s="1918"/>
      <c r="T410" s="1918"/>
      <c r="U410" s="1918"/>
      <c r="V410" s="1918"/>
      <c r="W410" s="1918"/>
      <c r="X410" s="1918"/>
      <c r="Y410" s="1918"/>
      <c r="Z410" s="1918"/>
      <c r="AA410" s="1918"/>
      <c r="AB410" s="1918"/>
      <c r="AC410" s="1918"/>
      <c r="AD410" s="1918"/>
      <c r="AE410" s="1918"/>
    </row>
    <row r="411" spans="1:31" ht="15.75" customHeight="1">
      <c r="A411" s="1918"/>
      <c r="B411" s="1918"/>
      <c r="C411" s="1918"/>
      <c r="D411" s="1918"/>
      <c r="E411" s="1918"/>
      <c r="F411" s="1918"/>
      <c r="G411" s="1918"/>
      <c r="H411" s="1918"/>
      <c r="I411" s="1918"/>
      <c r="J411" s="1918"/>
      <c r="K411" s="1918"/>
      <c r="L411" s="1918"/>
      <c r="M411" s="1918"/>
      <c r="N411" s="1918"/>
      <c r="O411" s="1918"/>
      <c r="P411" s="1918"/>
      <c r="Q411" s="1918"/>
      <c r="R411" s="1918"/>
      <c r="S411" s="1918"/>
      <c r="T411" s="1918"/>
      <c r="U411" s="1918"/>
      <c r="V411" s="1918"/>
      <c r="W411" s="1918"/>
      <c r="X411" s="1918"/>
      <c r="Y411" s="1918"/>
      <c r="Z411" s="1918"/>
      <c r="AA411" s="1918"/>
      <c r="AB411" s="1918"/>
      <c r="AC411" s="1918"/>
      <c r="AD411" s="1918"/>
      <c r="AE411" s="1918"/>
    </row>
    <row r="412" spans="1:31" ht="15.75" customHeight="1">
      <c r="A412" s="1918"/>
      <c r="B412" s="1918"/>
      <c r="C412" s="1918"/>
      <c r="D412" s="1918"/>
      <c r="E412" s="1918"/>
      <c r="F412" s="1918"/>
      <c r="G412" s="1918"/>
      <c r="H412" s="1918"/>
      <c r="I412" s="1918"/>
      <c r="J412" s="1918"/>
      <c r="K412" s="1918"/>
      <c r="L412" s="1918"/>
      <c r="M412" s="1918"/>
      <c r="N412" s="1918"/>
      <c r="O412" s="1918"/>
      <c r="P412" s="1918"/>
      <c r="Q412" s="1918"/>
      <c r="R412" s="1918"/>
      <c r="S412" s="1918"/>
      <c r="T412" s="1918"/>
      <c r="U412" s="1918"/>
      <c r="V412" s="1918"/>
      <c r="W412" s="1918"/>
      <c r="X412" s="1918"/>
      <c r="Y412" s="1918"/>
      <c r="Z412" s="1918"/>
      <c r="AA412" s="1918"/>
      <c r="AB412" s="1918"/>
      <c r="AC412" s="1918"/>
      <c r="AD412" s="1918"/>
      <c r="AE412" s="1918"/>
    </row>
    <row r="413" spans="1:31" ht="15.75" customHeight="1">
      <c r="A413" s="1918"/>
      <c r="B413" s="1918"/>
      <c r="C413" s="1918"/>
      <c r="D413" s="1918"/>
      <c r="E413" s="1918"/>
      <c r="F413" s="1918"/>
      <c r="G413" s="1918"/>
      <c r="H413" s="1918"/>
      <c r="I413" s="1918"/>
      <c r="J413" s="1918"/>
      <c r="K413" s="1918"/>
      <c r="L413" s="1918"/>
      <c r="M413" s="1918"/>
      <c r="N413" s="1918"/>
      <c r="O413" s="1918"/>
      <c r="P413" s="1918"/>
      <c r="Q413" s="1918"/>
      <c r="R413" s="1918"/>
      <c r="S413" s="1918"/>
      <c r="T413" s="1918"/>
      <c r="U413" s="1918"/>
      <c r="V413" s="1918"/>
      <c r="W413" s="1918"/>
      <c r="X413" s="1918"/>
      <c r="Y413" s="1918"/>
      <c r="Z413" s="1918"/>
      <c r="AA413" s="1918"/>
      <c r="AB413" s="1918"/>
      <c r="AC413" s="1918"/>
      <c r="AD413" s="1918"/>
      <c r="AE413" s="1918"/>
    </row>
    <row r="414" spans="1:31" ht="15.75" customHeight="1">
      <c r="A414" s="1918"/>
      <c r="B414" s="1918"/>
      <c r="C414" s="1918"/>
      <c r="D414" s="1918"/>
      <c r="E414" s="1918"/>
      <c r="F414" s="1918"/>
      <c r="G414" s="1918"/>
      <c r="H414" s="1918"/>
      <c r="I414" s="1918"/>
      <c r="J414" s="1918"/>
      <c r="K414" s="1918"/>
      <c r="L414" s="1918"/>
      <c r="M414" s="1918"/>
      <c r="N414" s="1918"/>
      <c r="O414" s="1918"/>
      <c r="P414" s="1918"/>
      <c r="Q414" s="1918"/>
      <c r="R414" s="1918"/>
      <c r="S414" s="1918"/>
      <c r="T414" s="1918"/>
      <c r="U414" s="1918"/>
      <c r="V414" s="1918"/>
      <c r="W414" s="1918"/>
      <c r="X414" s="1918"/>
      <c r="Y414" s="1918"/>
      <c r="Z414" s="1918"/>
      <c r="AA414" s="1918"/>
      <c r="AB414" s="1918"/>
      <c r="AC414" s="1918"/>
      <c r="AD414" s="1918"/>
      <c r="AE414" s="1918"/>
    </row>
    <row r="415" spans="1:31" ht="15.75" customHeight="1">
      <c r="A415" s="1918"/>
      <c r="B415" s="1918"/>
      <c r="C415" s="1918"/>
      <c r="D415" s="1918"/>
      <c r="E415" s="1918"/>
      <c r="F415" s="1918"/>
      <c r="G415" s="1918"/>
      <c r="H415" s="1918"/>
      <c r="I415" s="1918"/>
      <c r="J415" s="1918"/>
      <c r="K415" s="1918"/>
      <c r="L415" s="1918"/>
      <c r="M415" s="1918"/>
      <c r="N415" s="1918"/>
      <c r="O415" s="1918"/>
      <c r="P415" s="1918"/>
      <c r="Q415" s="1918"/>
      <c r="R415" s="1918"/>
      <c r="S415" s="1918"/>
      <c r="T415" s="1918"/>
      <c r="U415" s="1918"/>
      <c r="V415" s="1918"/>
      <c r="W415" s="1918"/>
      <c r="X415" s="1918"/>
      <c r="Y415" s="1918"/>
      <c r="Z415" s="1918"/>
      <c r="AA415" s="1918"/>
      <c r="AB415" s="1918"/>
      <c r="AC415" s="1918"/>
      <c r="AD415" s="1918"/>
      <c r="AE415" s="1918"/>
    </row>
    <row r="416" spans="1:31" ht="15.75" customHeight="1">
      <c r="A416" s="1918"/>
      <c r="B416" s="1918"/>
      <c r="C416" s="1918"/>
      <c r="D416" s="1918"/>
      <c r="E416" s="1918"/>
      <c r="F416" s="1918"/>
      <c r="G416" s="1918"/>
      <c r="H416" s="1918"/>
      <c r="I416" s="1918"/>
      <c r="J416" s="1918"/>
      <c r="K416" s="1918"/>
      <c r="L416" s="1918"/>
      <c r="M416" s="1918"/>
      <c r="N416" s="1918"/>
      <c r="O416" s="1918"/>
      <c r="P416" s="1918"/>
      <c r="Q416" s="1918"/>
      <c r="R416" s="1918"/>
      <c r="S416" s="1918"/>
      <c r="T416" s="1918"/>
      <c r="U416" s="1918"/>
      <c r="V416" s="1918"/>
      <c r="W416" s="1918"/>
      <c r="X416" s="1918"/>
      <c r="Y416" s="1918"/>
      <c r="Z416" s="1918"/>
      <c r="AA416" s="1918"/>
      <c r="AB416" s="1918"/>
      <c r="AC416" s="1918"/>
      <c r="AD416" s="1918"/>
      <c r="AE416" s="1918"/>
    </row>
    <row r="417" spans="1:31" ht="15.75" customHeight="1">
      <c r="A417" s="1918"/>
      <c r="B417" s="1918"/>
      <c r="C417" s="1918"/>
      <c r="D417" s="1918"/>
      <c r="E417" s="1918"/>
      <c r="F417" s="1918"/>
      <c r="G417" s="1918"/>
      <c r="H417" s="1918"/>
      <c r="I417" s="1918"/>
      <c r="J417" s="1918"/>
      <c r="K417" s="1918"/>
      <c r="L417" s="1918"/>
      <c r="M417" s="1918"/>
      <c r="N417" s="1918"/>
      <c r="O417" s="1918"/>
      <c r="P417" s="1918"/>
      <c r="Q417" s="1918"/>
      <c r="R417" s="1918"/>
      <c r="S417" s="1918"/>
      <c r="T417" s="1918"/>
      <c r="U417" s="1918"/>
      <c r="V417" s="1918"/>
      <c r="W417" s="1918"/>
      <c r="X417" s="1918"/>
      <c r="Y417" s="1918"/>
      <c r="Z417" s="1918"/>
      <c r="AA417" s="1918"/>
      <c r="AB417" s="1918"/>
      <c r="AC417" s="1918"/>
      <c r="AD417" s="1918"/>
      <c r="AE417" s="1918"/>
    </row>
    <row r="418" spans="1:31" ht="15.75" customHeight="1">
      <c r="A418" s="1918"/>
      <c r="B418" s="1918"/>
      <c r="C418" s="1918"/>
      <c r="D418" s="1918"/>
      <c r="E418" s="1918"/>
      <c r="F418" s="1918"/>
      <c r="G418" s="1918"/>
      <c r="H418" s="1918"/>
      <c r="I418" s="1918"/>
      <c r="J418" s="1918"/>
      <c r="K418" s="1918"/>
      <c r="L418" s="1918"/>
      <c r="M418" s="1918"/>
      <c r="N418" s="1918"/>
      <c r="O418" s="1918"/>
      <c r="P418" s="1918"/>
      <c r="Q418" s="1918"/>
      <c r="R418" s="1918"/>
      <c r="S418" s="1918"/>
      <c r="T418" s="1918"/>
      <c r="U418" s="1918"/>
      <c r="V418" s="1918"/>
      <c r="W418" s="1918"/>
      <c r="X418" s="1918"/>
      <c r="Y418" s="1918"/>
      <c r="Z418" s="1918"/>
      <c r="AA418" s="1918"/>
      <c r="AB418" s="1918"/>
      <c r="AC418" s="1918"/>
      <c r="AD418" s="1918"/>
      <c r="AE418" s="1918"/>
    </row>
    <row r="419" spans="1:31" ht="15.75" customHeight="1">
      <c r="A419" s="1918"/>
      <c r="B419" s="1918"/>
      <c r="C419" s="1918"/>
      <c r="D419" s="1918"/>
      <c r="E419" s="1918"/>
      <c r="F419" s="1918"/>
      <c r="G419" s="1918"/>
      <c r="H419" s="1918"/>
      <c r="I419" s="1918"/>
      <c r="J419" s="1918"/>
      <c r="K419" s="1918"/>
      <c r="L419" s="1918"/>
      <c r="M419" s="1918"/>
      <c r="N419" s="1918"/>
      <c r="O419" s="1918"/>
      <c r="P419" s="1918"/>
      <c r="Q419" s="1918"/>
      <c r="R419" s="1918"/>
      <c r="S419" s="1918"/>
      <c r="T419" s="1918"/>
      <c r="U419" s="1918"/>
      <c r="V419" s="1918"/>
      <c r="W419" s="1918"/>
      <c r="X419" s="1918"/>
      <c r="Y419" s="1918"/>
      <c r="Z419" s="1918"/>
      <c r="AA419" s="1918"/>
      <c r="AB419" s="1918"/>
      <c r="AC419" s="1918"/>
      <c r="AD419" s="1918"/>
      <c r="AE419" s="1918"/>
    </row>
    <row r="420" spans="1:31" ht="15.75" customHeight="1">
      <c r="A420" s="1918"/>
      <c r="B420" s="1918"/>
      <c r="C420" s="1918"/>
      <c r="D420" s="1918"/>
      <c r="E420" s="1918"/>
      <c r="F420" s="1918"/>
      <c r="G420" s="1918"/>
      <c r="H420" s="1918"/>
      <c r="I420" s="1918"/>
      <c r="J420" s="1918"/>
      <c r="K420" s="1918"/>
      <c r="L420" s="1918"/>
      <c r="M420" s="1918"/>
      <c r="N420" s="1918"/>
      <c r="O420" s="1918"/>
      <c r="P420" s="1918"/>
      <c r="Q420" s="1918"/>
      <c r="R420" s="1918"/>
      <c r="S420" s="1918"/>
      <c r="T420" s="1918"/>
      <c r="U420" s="1918"/>
      <c r="V420" s="1918"/>
      <c r="W420" s="1918"/>
      <c r="X420" s="1918"/>
      <c r="Y420" s="1918"/>
      <c r="Z420" s="1918"/>
      <c r="AA420" s="1918"/>
      <c r="AB420" s="1918"/>
      <c r="AC420" s="1918"/>
      <c r="AD420" s="1918"/>
      <c r="AE420" s="1918"/>
    </row>
    <row r="421" spans="1:31" ht="15.75" customHeight="1">
      <c r="A421" s="1918"/>
      <c r="B421" s="1918"/>
      <c r="C421" s="1918"/>
      <c r="D421" s="1918"/>
      <c r="E421" s="1918"/>
      <c r="F421" s="1918"/>
      <c r="G421" s="1918"/>
      <c r="H421" s="1918"/>
      <c r="I421" s="1918"/>
      <c r="J421" s="1918"/>
      <c r="K421" s="1918"/>
      <c r="L421" s="1918"/>
      <c r="M421" s="1918"/>
      <c r="N421" s="1918"/>
      <c r="O421" s="1918"/>
      <c r="P421" s="1918"/>
      <c r="Q421" s="1918"/>
      <c r="R421" s="1918"/>
      <c r="S421" s="1918"/>
      <c r="T421" s="1918"/>
      <c r="U421" s="1918"/>
      <c r="V421" s="1918"/>
      <c r="W421" s="1918"/>
      <c r="X421" s="1918"/>
      <c r="Y421" s="1918"/>
      <c r="Z421" s="1918"/>
      <c r="AA421" s="1918"/>
      <c r="AB421" s="1918"/>
      <c r="AC421" s="1918"/>
      <c r="AD421" s="1918"/>
      <c r="AE421" s="1918"/>
    </row>
    <row r="422" spans="1:31" ht="15.75" customHeight="1">
      <c r="A422" s="1918"/>
      <c r="B422" s="1918"/>
      <c r="C422" s="1918"/>
      <c r="D422" s="1918"/>
      <c r="E422" s="1918"/>
      <c r="F422" s="1918"/>
      <c r="G422" s="1918"/>
      <c r="H422" s="1918"/>
      <c r="I422" s="1918"/>
      <c r="J422" s="1918"/>
      <c r="K422" s="1918"/>
      <c r="L422" s="1918"/>
      <c r="M422" s="1918"/>
      <c r="N422" s="1918"/>
      <c r="O422" s="1918"/>
      <c r="P422" s="1918"/>
      <c r="Q422" s="1918"/>
      <c r="R422" s="1918"/>
      <c r="S422" s="1918"/>
      <c r="T422" s="1918"/>
      <c r="U422" s="1918"/>
      <c r="V422" s="1918"/>
      <c r="W422" s="1918"/>
      <c r="X422" s="1918"/>
      <c r="Y422" s="1918"/>
      <c r="Z422" s="1918"/>
      <c r="AA422" s="1918"/>
      <c r="AB422" s="1918"/>
      <c r="AC422" s="1918"/>
      <c r="AD422" s="1918"/>
      <c r="AE422" s="1918"/>
    </row>
    <row r="423" spans="1:31" ht="15.75" customHeight="1">
      <c r="A423" s="1918"/>
      <c r="B423" s="1918"/>
      <c r="C423" s="1918"/>
      <c r="D423" s="1918"/>
      <c r="E423" s="1918"/>
      <c r="F423" s="1918"/>
      <c r="G423" s="1918"/>
      <c r="H423" s="1918"/>
      <c r="I423" s="1918"/>
      <c r="J423" s="1918"/>
      <c r="K423" s="1918"/>
      <c r="L423" s="1918"/>
      <c r="M423" s="1918"/>
      <c r="N423" s="1918"/>
      <c r="O423" s="1918"/>
      <c r="P423" s="1918"/>
      <c r="Q423" s="1918"/>
      <c r="R423" s="1918"/>
      <c r="S423" s="1918"/>
      <c r="T423" s="1918"/>
      <c r="U423" s="1918"/>
      <c r="V423" s="1918"/>
      <c r="W423" s="1918"/>
      <c r="X423" s="1918"/>
      <c r="Y423" s="1918"/>
      <c r="Z423" s="1918"/>
      <c r="AA423" s="1918"/>
      <c r="AB423" s="1918"/>
      <c r="AC423" s="1918"/>
      <c r="AD423" s="1918"/>
      <c r="AE423" s="1918"/>
    </row>
    <row r="424" spans="1:31" ht="15.75" customHeight="1">
      <c r="A424" s="1918"/>
      <c r="B424" s="1918"/>
      <c r="C424" s="1918"/>
      <c r="D424" s="1918"/>
      <c r="E424" s="1918"/>
      <c r="F424" s="1918"/>
      <c r="G424" s="1918"/>
      <c r="H424" s="1918"/>
      <c r="I424" s="1918"/>
      <c r="J424" s="1918"/>
      <c r="K424" s="1918"/>
      <c r="L424" s="1918"/>
      <c r="M424" s="1918"/>
      <c r="N424" s="1918"/>
      <c r="O424" s="1918"/>
      <c r="P424" s="1918"/>
      <c r="Q424" s="1918"/>
      <c r="R424" s="1918"/>
      <c r="S424" s="1918"/>
      <c r="T424" s="1918"/>
      <c r="U424" s="1918"/>
      <c r="V424" s="1918"/>
      <c r="W424" s="1918"/>
      <c r="X424" s="1918"/>
      <c r="Y424" s="1918"/>
      <c r="Z424" s="1918"/>
      <c r="AA424" s="1918"/>
      <c r="AB424" s="1918"/>
      <c r="AC424" s="1918"/>
      <c r="AD424" s="1918"/>
      <c r="AE424" s="1918"/>
    </row>
    <row r="425" spans="1:31" ht="15.75" customHeight="1">
      <c r="A425" s="1918"/>
      <c r="B425" s="1918"/>
      <c r="C425" s="1918"/>
      <c r="D425" s="1918"/>
      <c r="E425" s="1918"/>
      <c r="F425" s="1918"/>
      <c r="G425" s="1918"/>
      <c r="H425" s="1918"/>
      <c r="I425" s="1918"/>
      <c r="J425" s="1918"/>
      <c r="K425" s="1918"/>
      <c r="L425" s="1918"/>
      <c r="M425" s="1918"/>
      <c r="N425" s="1918"/>
      <c r="O425" s="1918"/>
      <c r="P425" s="1918"/>
      <c r="Q425" s="1918"/>
      <c r="R425" s="1918"/>
      <c r="S425" s="1918"/>
      <c r="T425" s="1918"/>
      <c r="U425" s="1918"/>
      <c r="V425" s="1918"/>
      <c r="W425" s="1918"/>
      <c r="X425" s="1918"/>
      <c r="Y425" s="1918"/>
      <c r="Z425" s="1918"/>
      <c r="AA425" s="1918"/>
      <c r="AB425" s="1918"/>
      <c r="AC425" s="1918"/>
      <c r="AD425" s="1918"/>
      <c r="AE425" s="1918"/>
    </row>
    <row r="426" spans="1:31" ht="15.75" customHeight="1">
      <c r="A426" s="1918"/>
      <c r="B426" s="1918"/>
      <c r="C426" s="1918"/>
      <c r="D426" s="1918"/>
      <c r="E426" s="1918"/>
      <c r="F426" s="1918"/>
      <c r="G426" s="1918"/>
      <c r="H426" s="1918"/>
      <c r="I426" s="1918"/>
      <c r="J426" s="1918"/>
      <c r="K426" s="1918"/>
      <c r="L426" s="1918"/>
      <c r="M426" s="1918"/>
      <c r="N426" s="1918"/>
      <c r="O426" s="1918"/>
      <c r="P426" s="1918"/>
      <c r="Q426" s="1918"/>
      <c r="R426" s="1918"/>
      <c r="S426" s="1918"/>
      <c r="T426" s="1918"/>
      <c r="U426" s="1918"/>
      <c r="V426" s="1918"/>
      <c r="W426" s="1918"/>
      <c r="X426" s="1918"/>
      <c r="Y426" s="1918"/>
      <c r="Z426" s="1918"/>
      <c r="AA426" s="1918"/>
      <c r="AB426" s="1918"/>
      <c r="AC426" s="1918"/>
      <c r="AD426" s="1918"/>
      <c r="AE426" s="1918"/>
    </row>
    <row r="427" spans="1:31" ht="15.75" customHeight="1">
      <c r="A427" s="1918"/>
      <c r="B427" s="1918"/>
      <c r="C427" s="1918"/>
      <c r="D427" s="1918"/>
      <c r="E427" s="1918"/>
      <c r="F427" s="1918"/>
      <c r="G427" s="1918"/>
      <c r="H427" s="1918"/>
      <c r="I427" s="1918"/>
      <c r="J427" s="1918"/>
      <c r="K427" s="1918"/>
      <c r="L427" s="1918"/>
      <c r="M427" s="1918"/>
      <c r="N427" s="1918"/>
      <c r="O427" s="1918"/>
      <c r="P427" s="1918"/>
      <c r="Q427" s="1918"/>
      <c r="R427" s="1918"/>
      <c r="S427" s="1918"/>
      <c r="T427" s="1918"/>
      <c r="U427" s="1918"/>
      <c r="V427" s="1918"/>
      <c r="W427" s="1918"/>
      <c r="X427" s="1918"/>
      <c r="Y427" s="1918"/>
      <c r="Z427" s="1918"/>
      <c r="AA427" s="1918"/>
      <c r="AB427" s="1918"/>
      <c r="AC427" s="1918"/>
      <c r="AD427" s="1918"/>
      <c r="AE427" s="1918"/>
    </row>
    <row r="428" spans="1:31" ht="15.75" customHeight="1">
      <c r="A428" s="1918"/>
      <c r="B428" s="1918"/>
      <c r="C428" s="1918"/>
      <c r="D428" s="1918"/>
      <c r="E428" s="1918"/>
      <c r="F428" s="1918"/>
      <c r="G428" s="1918"/>
      <c r="H428" s="1918"/>
      <c r="I428" s="1918"/>
      <c r="J428" s="1918"/>
      <c r="K428" s="1918"/>
      <c r="L428" s="1918"/>
      <c r="M428" s="1918"/>
      <c r="N428" s="1918"/>
      <c r="O428" s="1918"/>
      <c r="P428" s="1918"/>
      <c r="Q428" s="1918"/>
      <c r="R428" s="1918"/>
      <c r="S428" s="1918"/>
      <c r="T428" s="1918"/>
      <c r="U428" s="1918"/>
      <c r="V428" s="1918"/>
      <c r="W428" s="1918"/>
      <c r="X428" s="1918"/>
      <c r="Y428" s="1918"/>
      <c r="Z428" s="1918"/>
      <c r="AA428" s="1918"/>
      <c r="AB428" s="1918"/>
      <c r="AC428" s="1918"/>
      <c r="AD428" s="1918"/>
      <c r="AE428" s="1918"/>
    </row>
    <row r="429" spans="1:31" ht="15.75" customHeight="1">
      <c r="A429" s="1918"/>
      <c r="B429" s="1918"/>
      <c r="C429" s="1918"/>
      <c r="D429" s="1918"/>
      <c r="E429" s="1918"/>
      <c r="F429" s="1918"/>
      <c r="G429" s="1918"/>
      <c r="H429" s="1918"/>
      <c r="I429" s="1918"/>
      <c r="J429" s="1918"/>
      <c r="K429" s="1918"/>
      <c r="L429" s="1918"/>
      <c r="M429" s="1918"/>
      <c r="N429" s="1918"/>
      <c r="O429" s="1918"/>
      <c r="P429" s="1918"/>
      <c r="Q429" s="1918"/>
      <c r="R429" s="1918"/>
      <c r="S429" s="1918"/>
      <c r="T429" s="1918"/>
      <c r="U429" s="1918"/>
      <c r="V429" s="1918"/>
      <c r="W429" s="1918"/>
      <c r="X429" s="1918"/>
      <c r="Y429" s="1918"/>
      <c r="Z429" s="1918"/>
      <c r="AA429" s="1918"/>
      <c r="AB429" s="1918"/>
      <c r="AC429" s="1918"/>
      <c r="AD429" s="1918"/>
      <c r="AE429" s="1918"/>
    </row>
    <row r="430" spans="1:31" ht="15.75" customHeight="1">
      <c r="A430" s="1918"/>
      <c r="B430" s="1918"/>
      <c r="C430" s="1918"/>
      <c r="D430" s="1918"/>
      <c r="E430" s="1918"/>
      <c r="F430" s="1918"/>
      <c r="G430" s="1918"/>
      <c r="H430" s="1918"/>
      <c r="I430" s="1918"/>
      <c r="J430" s="1918"/>
      <c r="K430" s="1918"/>
      <c r="L430" s="1918"/>
      <c r="M430" s="1918"/>
      <c r="N430" s="1918"/>
      <c r="O430" s="1918"/>
      <c r="P430" s="1918"/>
      <c r="Q430" s="1918"/>
      <c r="R430" s="1918"/>
      <c r="S430" s="1918"/>
      <c r="T430" s="1918"/>
      <c r="U430" s="1918"/>
      <c r="V430" s="1918"/>
      <c r="W430" s="1918"/>
      <c r="X430" s="1918"/>
      <c r="Y430" s="1918"/>
      <c r="Z430" s="1918"/>
      <c r="AA430" s="1918"/>
      <c r="AB430" s="1918"/>
      <c r="AC430" s="1918"/>
      <c r="AD430" s="1918"/>
      <c r="AE430" s="1918"/>
    </row>
    <row r="431" spans="1:31" ht="15.75" customHeight="1">
      <c r="A431" s="1918"/>
      <c r="B431" s="1918"/>
      <c r="C431" s="1918"/>
      <c r="D431" s="1918"/>
      <c r="E431" s="1918"/>
      <c r="F431" s="1918"/>
      <c r="G431" s="1918"/>
      <c r="H431" s="1918"/>
      <c r="I431" s="1918"/>
      <c r="J431" s="1918"/>
      <c r="K431" s="1918"/>
      <c r="L431" s="1918"/>
      <c r="M431" s="1918"/>
      <c r="N431" s="1918"/>
      <c r="O431" s="1918"/>
      <c r="P431" s="1918"/>
      <c r="Q431" s="1918"/>
      <c r="R431" s="1918"/>
      <c r="S431" s="1918"/>
      <c r="T431" s="1918"/>
      <c r="U431" s="1918"/>
      <c r="V431" s="1918"/>
      <c r="W431" s="1918"/>
      <c r="X431" s="1918"/>
      <c r="Y431" s="1918"/>
      <c r="Z431" s="1918"/>
      <c r="AA431" s="1918"/>
      <c r="AB431" s="1918"/>
      <c r="AC431" s="1918"/>
      <c r="AD431" s="1918"/>
      <c r="AE431" s="1918"/>
    </row>
    <row r="432" spans="1:31" ht="15.75" customHeight="1">
      <c r="A432" s="1918"/>
      <c r="B432" s="1918"/>
      <c r="C432" s="1918"/>
      <c r="D432" s="1918"/>
      <c r="E432" s="1918"/>
      <c r="F432" s="1918"/>
      <c r="G432" s="1918"/>
      <c r="H432" s="1918"/>
      <c r="I432" s="1918"/>
      <c r="J432" s="1918"/>
      <c r="K432" s="1918"/>
      <c r="L432" s="1918"/>
      <c r="M432" s="1918"/>
      <c r="N432" s="1918"/>
      <c r="O432" s="1918"/>
      <c r="P432" s="1918"/>
      <c r="Q432" s="1918"/>
      <c r="R432" s="1918"/>
      <c r="S432" s="1918"/>
      <c r="T432" s="1918"/>
      <c r="U432" s="1918"/>
      <c r="V432" s="1918"/>
      <c r="W432" s="1918"/>
      <c r="X432" s="1918"/>
      <c r="Y432" s="1918"/>
      <c r="Z432" s="1918"/>
      <c r="AA432" s="1918"/>
      <c r="AB432" s="1918"/>
      <c r="AC432" s="1918"/>
      <c r="AD432" s="1918"/>
      <c r="AE432" s="1918"/>
    </row>
    <row r="433" spans="1:31" ht="15.75" customHeight="1">
      <c r="A433" s="1918"/>
      <c r="B433" s="1918"/>
      <c r="C433" s="1918"/>
      <c r="D433" s="1918"/>
      <c r="E433" s="1918"/>
      <c r="F433" s="1918"/>
      <c r="G433" s="1918"/>
      <c r="H433" s="1918"/>
      <c r="I433" s="1918"/>
      <c r="J433" s="1918"/>
      <c r="K433" s="1918"/>
      <c r="L433" s="1918"/>
      <c r="M433" s="1918"/>
      <c r="N433" s="1918"/>
      <c r="O433" s="1918"/>
      <c r="P433" s="1918"/>
      <c r="Q433" s="1918"/>
      <c r="R433" s="1918"/>
      <c r="S433" s="1918"/>
      <c r="T433" s="1918"/>
      <c r="U433" s="1918"/>
      <c r="V433" s="1918"/>
      <c r="W433" s="1918"/>
      <c r="X433" s="1918"/>
      <c r="Y433" s="1918"/>
      <c r="Z433" s="1918"/>
      <c r="AA433" s="1918"/>
      <c r="AB433" s="1918"/>
      <c r="AC433" s="1918"/>
      <c r="AD433" s="1918"/>
      <c r="AE433" s="1918"/>
    </row>
    <row r="434" spans="1:31" ht="15.75" customHeight="1">
      <c r="A434" s="1918"/>
      <c r="B434" s="1918"/>
      <c r="C434" s="1918"/>
      <c r="D434" s="1918"/>
      <c r="E434" s="1918"/>
      <c r="F434" s="1918"/>
      <c r="G434" s="1918"/>
      <c r="H434" s="1918"/>
      <c r="I434" s="1918"/>
      <c r="J434" s="1918"/>
      <c r="K434" s="1918"/>
      <c r="L434" s="1918"/>
      <c r="M434" s="1918"/>
      <c r="N434" s="1918"/>
      <c r="O434" s="1918"/>
      <c r="P434" s="1918"/>
      <c r="Q434" s="1918"/>
      <c r="R434" s="1918"/>
      <c r="S434" s="1918"/>
      <c r="T434" s="1918"/>
      <c r="U434" s="1918"/>
      <c r="V434" s="1918"/>
      <c r="W434" s="1918"/>
      <c r="X434" s="1918"/>
      <c r="Y434" s="1918"/>
      <c r="Z434" s="1918"/>
      <c r="AA434" s="1918"/>
      <c r="AB434" s="1918"/>
      <c r="AC434" s="1918"/>
      <c r="AD434" s="1918"/>
      <c r="AE434" s="1918"/>
    </row>
    <row r="435" spans="1:31" ht="15.75" customHeight="1">
      <c r="A435" s="1918"/>
      <c r="B435" s="1918"/>
      <c r="C435" s="1918"/>
      <c r="D435" s="1918"/>
      <c r="E435" s="1918"/>
      <c r="F435" s="1918"/>
      <c r="G435" s="1918"/>
      <c r="H435" s="1918"/>
      <c r="I435" s="1918"/>
      <c r="J435" s="1918"/>
      <c r="K435" s="1918"/>
      <c r="L435" s="1918"/>
      <c r="M435" s="1918"/>
      <c r="N435" s="1918"/>
      <c r="O435" s="1918"/>
      <c r="P435" s="1918"/>
      <c r="Q435" s="1918"/>
      <c r="R435" s="1918"/>
      <c r="S435" s="1918"/>
      <c r="T435" s="1918"/>
      <c r="U435" s="1918"/>
      <c r="V435" s="1918"/>
      <c r="W435" s="1918"/>
      <c r="X435" s="1918"/>
      <c r="Y435" s="1918"/>
      <c r="Z435" s="1918"/>
      <c r="AA435" s="1918"/>
      <c r="AB435" s="1918"/>
      <c r="AC435" s="1918"/>
      <c r="AD435" s="1918"/>
      <c r="AE435" s="1918"/>
    </row>
    <row r="436" spans="1:31" ht="15.75" customHeight="1">
      <c r="A436" s="1918"/>
      <c r="B436" s="1918"/>
      <c r="C436" s="1918"/>
      <c r="D436" s="1918"/>
      <c r="E436" s="1918"/>
      <c r="F436" s="1918"/>
      <c r="G436" s="1918"/>
      <c r="H436" s="1918"/>
      <c r="I436" s="1918"/>
      <c r="J436" s="1918"/>
      <c r="K436" s="1918"/>
      <c r="L436" s="1918"/>
      <c r="M436" s="1918"/>
      <c r="N436" s="1918"/>
      <c r="O436" s="1918"/>
      <c r="P436" s="1918"/>
      <c r="Q436" s="1918"/>
      <c r="R436" s="1918"/>
      <c r="S436" s="1918"/>
      <c r="T436" s="1918"/>
      <c r="U436" s="1918"/>
      <c r="V436" s="1918"/>
      <c r="W436" s="1918"/>
      <c r="X436" s="1918"/>
      <c r="Y436" s="1918"/>
      <c r="Z436" s="1918"/>
      <c r="AA436" s="1918"/>
      <c r="AB436" s="1918"/>
      <c r="AC436" s="1918"/>
      <c r="AD436" s="1918"/>
      <c r="AE436" s="1918"/>
    </row>
    <row r="437" spans="1:31" ht="15.75" customHeight="1">
      <c r="A437" s="1918"/>
      <c r="B437" s="1918"/>
      <c r="C437" s="1918"/>
      <c r="D437" s="1918"/>
      <c r="E437" s="1918"/>
      <c r="F437" s="1918"/>
      <c r="G437" s="1918"/>
      <c r="H437" s="1918"/>
      <c r="I437" s="1918"/>
      <c r="J437" s="1918"/>
      <c r="K437" s="1918"/>
      <c r="L437" s="1918"/>
      <c r="M437" s="1918"/>
      <c r="N437" s="1918"/>
      <c r="O437" s="1918"/>
      <c r="P437" s="1918"/>
      <c r="Q437" s="1918"/>
      <c r="R437" s="1918"/>
      <c r="S437" s="1918"/>
      <c r="T437" s="1918"/>
      <c r="U437" s="1918"/>
      <c r="V437" s="1918"/>
      <c r="W437" s="1918"/>
      <c r="X437" s="1918"/>
      <c r="Y437" s="1918"/>
      <c r="Z437" s="1918"/>
      <c r="AA437" s="1918"/>
      <c r="AB437" s="1918"/>
      <c r="AC437" s="1918"/>
      <c r="AD437" s="1918"/>
      <c r="AE437" s="1918"/>
    </row>
    <row r="438" spans="1:31" ht="15.75" customHeight="1">
      <c r="A438" s="1918"/>
      <c r="B438" s="1918"/>
      <c r="C438" s="1918"/>
      <c r="D438" s="1918"/>
      <c r="E438" s="1918"/>
      <c r="F438" s="1918"/>
      <c r="G438" s="1918"/>
      <c r="H438" s="1918"/>
      <c r="I438" s="1918"/>
      <c r="J438" s="1918"/>
      <c r="K438" s="1918"/>
      <c r="L438" s="1918"/>
      <c r="M438" s="1918"/>
      <c r="N438" s="1918"/>
      <c r="O438" s="1918"/>
      <c r="P438" s="1918"/>
      <c r="Q438" s="1918"/>
      <c r="R438" s="1918"/>
      <c r="S438" s="1918"/>
      <c r="T438" s="1918"/>
      <c r="U438" s="1918"/>
      <c r="V438" s="1918"/>
      <c r="W438" s="1918"/>
      <c r="X438" s="1918"/>
      <c r="Y438" s="1918"/>
      <c r="Z438" s="1918"/>
      <c r="AA438" s="1918"/>
      <c r="AB438" s="1918"/>
      <c r="AC438" s="1918"/>
      <c r="AD438" s="1918"/>
      <c r="AE438" s="1918"/>
    </row>
    <row r="439" spans="1:31" ht="15.75" customHeight="1">
      <c r="A439" s="1918"/>
      <c r="B439" s="1918"/>
      <c r="C439" s="1918"/>
      <c r="D439" s="1918"/>
      <c r="E439" s="1918"/>
      <c r="F439" s="1918"/>
      <c r="G439" s="1918"/>
      <c r="H439" s="1918"/>
      <c r="I439" s="1918"/>
      <c r="J439" s="1918"/>
      <c r="K439" s="1918"/>
      <c r="L439" s="1918"/>
      <c r="M439" s="1918"/>
      <c r="N439" s="1918"/>
      <c r="O439" s="1918"/>
      <c r="P439" s="1918"/>
      <c r="Q439" s="1918"/>
      <c r="R439" s="1918"/>
      <c r="S439" s="1918"/>
      <c r="T439" s="1918"/>
      <c r="U439" s="1918"/>
      <c r="V439" s="1918"/>
      <c r="W439" s="1918"/>
      <c r="X439" s="1918"/>
      <c r="Y439" s="1918"/>
      <c r="Z439" s="1918"/>
      <c r="AA439" s="1918"/>
      <c r="AB439" s="1918"/>
      <c r="AC439" s="1918"/>
      <c r="AD439" s="1918"/>
      <c r="AE439" s="1918"/>
    </row>
    <row r="440" spans="1:31" ht="15.75" customHeight="1">
      <c r="A440" s="1918"/>
      <c r="B440" s="1918"/>
      <c r="C440" s="1918"/>
      <c r="D440" s="1918"/>
      <c r="E440" s="1918"/>
      <c r="F440" s="1918"/>
      <c r="G440" s="1918"/>
      <c r="H440" s="1918"/>
      <c r="I440" s="1918"/>
      <c r="J440" s="1918"/>
      <c r="K440" s="1918"/>
      <c r="L440" s="1918"/>
      <c r="M440" s="1918"/>
      <c r="N440" s="1918"/>
      <c r="O440" s="1918"/>
      <c r="P440" s="1918"/>
      <c r="Q440" s="1918"/>
      <c r="R440" s="1918"/>
      <c r="S440" s="1918"/>
      <c r="T440" s="1918"/>
      <c r="U440" s="1918"/>
      <c r="V440" s="1918"/>
      <c r="W440" s="1918"/>
      <c r="X440" s="1918"/>
      <c r="Y440" s="1918"/>
      <c r="Z440" s="1918"/>
      <c r="AA440" s="1918"/>
      <c r="AB440" s="1918"/>
      <c r="AC440" s="1918"/>
      <c r="AD440" s="1918"/>
      <c r="AE440" s="1918"/>
    </row>
    <row r="441" spans="1:31" ht="15.75" customHeight="1">
      <c r="A441" s="1918"/>
      <c r="B441" s="1918"/>
      <c r="C441" s="1918"/>
      <c r="D441" s="1918"/>
      <c r="E441" s="1918"/>
      <c r="F441" s="1918"/>
      <c r="G441" s="1918"/>
      <c r="H441" s="1918"/>
      <c r="I441" s="1918"/>
      <c r="J441" s="1918"/>
      <c r="K441" s="1918"/>
      <c r="L441" s="1918"/>
      <c r="M441" s="1918"/>
      <c r="N441" s="1918"/>
      <c r="O441" s="1918"/>
      <c r="P441" s="1918"/>
      <c r="Q441" s="1918"/>
      <c r="R441" s="1918"/>
      <c r="S441" s="1918"/>
      <c r="T441" s="1918"/>
      <c r="U441" s="1918"/>
      <c r="V441" s="1918"/>
      <c r="W441" s="1918"/>
      <c r="X441" s="1918"/>
      <c r="Y441" s="1918"/>
      <c r="Z441" s="1918"/>
      <c r="AA441" s="1918"/>
      <c r="AB441" s="1918"/>
      <c r="AC441" s="1918"/>
      <c r="AD441" s="1918"/>
      <c r="AE441" s="1918"/>
    </row>
    <row r="442" spans="1:31" ht="15.75" customHeight="1">
      <c r="A442" s="1918"/>
      <c r="B442" s="1918"/>
      <c r="C442" s="1918"/>
      <c r="D442" s="1918"/>
      <c r="E442" s="1918"/>
      <c r="F442" s="1918"/>
      <c r="G442" s="1918"/>
      <c r="H442" s="1918"/>
      <c r="I442" s="1918"/>
      <c r="J442" s="1918"/>
      <c r="K442" s="1918"/>
      <c r="L442" s="1918"/>
      <c r="M442" s="1918"/>
      <c r="N442" s="1918"/>
      <c r="O442" s="1918"/>
      <c r="P442" s="1918"/>
      <c r="Q442" s="1918"/>
      <c r="R442" s="1918"/>
      <c r="S442" s="1918"/>
      <c r="T442" s="1918"/>
      <c r="U442" s="1918"/>
      <c r="V442" s="1918"/>
      <c r="W442" s="1918"/>
      <c r="X442" s="1918"/>
      <c r="Y442" s="1918"/>
      <c r="Z442" s="1918"/>
      <c r="AA442" s="1918"/>
      <c r="AB442" s="1918"/>
      <c r="AC442" s="1918"/>
      <c r="AD442" s="1918"/>
      <c r="AE442" s="1918"/>
    </row>
    <row r="443" spans="1:31" ht="15.75" customHeight="1">
      <c r="A443" s="1918"/>
      <c r="B443" s="1918"/>
      <c r="C443" s="1918"/>
      <c r="D443" s="1918"/>
      <c r="E443" s="1918"/>
      <c r="F443" s="1918"/>
      <c r="G443" s="1918"/>
      <c r="H443" s="1918"/>
      <c r="I443" s="1918"/>
      <c r="J443" s="1918"/>
      <c r="K443" s="1918"/>
      <c r="L443" s="1918"/>
      <c r="M443" s="1918"/>
      <c r="N443" s="1918"/>
      <c r="O443" s="1918"/>
      <c r="P443" s="1918"/>
      <c r="Q443" s="1918"/>
      <c r="R443" s="1918"/>
      <c r="S443" s="1918"/>
      <c r="T443" s="1918"/>
      <c r="U443" s="1918"/>
      <c r="V443" s="1918"/>
      <c r="W443" s="1918"/>
      <c r="X443" s="1918"/>
      <c r="Y443" s="1918"/>
      <c r="Z443" s="1918"/>
      <c r="AA443" s="1918"/>
      <c r="AB443" s="1918"/>
      <c r="AC443" s="1918"/>
      <c r="AD443" s="1918"/>
      <c r="AE443" s="1918"/>
    </row>
    <row r="444" spans="1:31" ht="15.75" customHeight="1">
      <c r="A444" s="1918"/>
      <c r="B444" s="1918"/>
      <c r="C444" s="1918"/>
      <c r="D444" s="1918"/>
      <c r="E444" s="1918"/>
      <c r="F444" s="1918"/>
      <c r="G444" s="1918"/>
      <c r="H444" s="1918"/>
      <c r="I444" s="1918"/>
      <c r="J444" s="1918"/>
      <c r="K444" s="1918"/>
      <c r="L444" s="1918"/>
      <c r="M444" s="1918"/>
      <c r="N444" s="1918"/>
      <c r="O444" s="1918"/>
      <c r="P444" s="1918"/>
      <c r="Q444" s="1918"/>
      <c r="R444" s="1918"/>
      <c r="S444" s="1918"/>
      <c r="T444" s="1918"/>
      <c r="U444" s="1918"/>
      <c r="V444" s="1918"/>
      <c r="W444" s="1918"/>
      <c r="X444" s="1918"/>
      <c r="Y444" s="1918"/>
      <c r="Z444" s="1918"/>
      <c r="AA444" s="1918"/>
      <c r="AB444" s="1918"/>
      <c r="AC444" s="1918"/>
      <c r="AD444" s="1918"/>
      <c r="AE444" s="1918"/>
    </row>
    <row r="445" spans="1:31" ht="15.75" customHeight="1">
      <c r="A445" s="1918"/>
      <c r="B445" s="1918"/>
      <c r="C445" s="1918"/>
      <c r="D445" s="1918"/>
      <c r="E445" s="1918"/>
      <c r="F445" s="1918"/>
      <c r="G445" s="1918"/>
      <c r="H445" s="1918"/>
      <c r="I445" s="1918"/>
      <c r="J445" s="1918"/>
      <c r="K445" s="1918"/>
      <c r="L445" s="1918"/>
      <c r="M445" s="1918"/>
      <c r="N445" s="1918"/>
      <c r="O445" s="1918"/>
      <c r="P445" s="1918"/>
      <c r="Q445" s="1918"/>
      <c r="R445" s="1918"/>
      <c r="S445" s="1918"/>
      <c r="T445" s="1918"/>
      <c r="U445" s="1918"/>
      <c r="V445" s="1918"/>
      <c r="W445" s="1918"/>
      <c r="X445" s="1918"/>
      <c r="Y445" s="1918"/>
      <c r="Z445" s="1918"/>
      <c r="AA445" s="1918"/>
      <c r="AB445" s="1918"/>
      <c r="AC445" s="1918"/>
      <c r="AD445" s="1918"/>
      <c r="AE445" s="1918"/>
    </row>
    <row r="446" spans="1:31" ht="15.75" customHeight="1">
      <c r="A446" s="1918"/>
      <c r="B446" s="1918"/>
      <c r="C446" s="1918"/>
      <c r="D446" s="1918"/>
      <c r="E446" s="1918"/>
      <c r="F446" s="1918"/>
      <c r="G446" s="1918"/>
      <c r="H446" s="1918"/>
      <c r="I446" s="1918"/>
      <c r="J446" s="1918"/>
      <c r="K446" s="1918"/>
      <c r="L446" s="1918"/>
      <c r="M446" s="1918"/>
      <c r="N446" s="1918"/>
      <c r="O446" s="1918"/>
      <c r="P446" s="1918"/>
      <c r="Q446" s="1918"/>
      <c r="R446" s="1918"/>
      <c r="S446" s="1918"/>
      <c r="T446" s="1918"/>
      <c r="U446" s="1918"/>
      <c r="V446" s="1918"/>
      <c r="W446" s="1918"/>
      <c r="X446" s="1918"/>
      <c r="Y446" s="1918"/>
      <c r="Z446" s="1918"/>
      <c r="AA446" s="1918"/>
      <c r="AB446" s="1918"/>
      <c r="AC446" s="1918"/>
      <c r="AD446" s="1918"/>
      <c r="AE446" s="1918"/>
    </row>
    <row r="447" spans="1:31" ht="15.75" customHeight="1">
      <c r="A447" s="1918"/>
      <c r="B447" s="1918"/>
      <c r="C447" s="1918"/>
      <c r="D447" s="1918"/>
      <c r="E447" s="1918"/>
      <c r="F447" s="1918"/>
      <c r="G447" s="1918"/>
      <c r="H447" s="1918"/>
      <c r="I447" s="1918"/>
      <c r="J447" s="1918"/>
      <c r="K447" s="1918"/>
      <c r="L447" s="1918"/>
      <c r="M447" s="1918"/>
      <c r="N447" s="1918"/>
      <c r="O447" s="1918"/>
      <c r="P447" s="1918"/>
      <c r="Q447" s="1918"/>
      <c r="R447" s="1918"/>
      <c r="S447" s="1918"/>
      <c r="T447" s="1918"/>
      <c r="U447" s="1918"/>
      <c r="V447" s="1918"/>
      <c r="W447" s="1918"/>
      <c r="X447" s="1918"/>
      <c r="Y447" s="1918"/>
      <c r="Z447" s="1918"/>
      <c r="AA447" s="1918"/>
      <c r="AB447" s="1918"/>
      <c r="AC447" s="1918"/>
      <c r="AD447" s="1918"/>
      <c r="AE447" s="1918"/>
    </row>
    <row r="448" spans="1:31" ht="15.75" customHeight="1">
      <c r="A448" s="1918"/>
      <c r="B448" s="1918"/>
      <c r="C448" s="1918"/>
      <c r="D448" s="1918"/>
      <c r="E448" s="1918"/>
      <c r="F448" s="1918"/>
      <c r="G448" s="1918"/>
      <c r="H448" s="1918"/>
      <c r="I448" s="1918"/>
      <c r="J448" s="1918"/>
      <c r="K448" s="1918"/>
      <c r="L448" s="1918"/>
      <c r="M448" s="1918"/>
      <c r="N448" s="1918"/>
      <c r="O448" s="1918"/>
      <c r="P448" s="1918"/>
      <c r="Q448" s="1918"/>
      <c r="R448" s="1918"/>
      <c r="S448" s="1918"/>
      <c r="T448" s="1918"/>
      <c r="U448" s="1918"/>
      <c r="V448" s="1918"/>
      <c r="W448" s="1918"/>
      <c r="X448" s="1918"/>
      <c r="Y448" s="1918"/>
      <c r="Z448" s="1918"/>
      <c r="AA448" s="1918"/>
      <c r="AB448" s="1918"/>
      <c r="AC448" s="1918"/>
      <c r="AD448" s="1918"/>
      <c r="AE448" s="1918"/>
    </row>
    <row r="449" spans="1:31" ht="15.75" customHeight="1">
      <c r="A449" s="1918"/>
      <c r="B449" s="1918"/>
      <c r="C449" s="1918"/>
      <c r="D449" s="1918"/>
      <c r="E449" s="1918"/>
      <c r="F449" s="1918"/>
      <c r="G449" s="1918"/>
      <c r="H449" s="1918"/>
      <c r="I449" s="1918"/>
      <c r="J449" s="1918"/>
      <c r="K449" s="1918"/>
      <c r="L449" s="1918"/>
      <c r="M449" s="1918"/>
      <c r="N449" s="1918"/>
      <c r="O449" s="1918"/>
      <c r="P449" s="1918"/>
      <c r="Q449" s="1918"/>
      <c r="R449" s="1918"/>
      <c r="S449" s="1918"/>
      <c r="T449" s="1918"/>
      <c r="U449" s="1918"/>
      <c r="V449" s="1918"/>
      <c r="W449" s="1918"/>
      <c r="X449" s="1918"/>
      <c r="Y449" s="1918"/>
      <c r="Z449" s="1918"/>
      <c r="AA449" s="1918"/>
      <c r="AB449" s="1918"/>
      <c r="AC449" s="1918"/>
      <c r="AD449" s="1918"/>
      <c r="AE449" s="1918"/>
    </row>
    <row r="450" spans="1:31" ht="15.75" customHeight="1">
      <c r="A450" s="1918"/>
      <c r="B450" s="1918"/>
      <c r="C450" s="1918"/>
      <c r="D450" s="1918"/>
      <c r="E450" s="1918"/>
      <c r="F450" s="1918"/>
      <c r="G450" s="1918"/>
      <c r="H450" s="1918"/>
      <c r="I450" s="1918"/>
      <c r="J450" s="1918"/>
      <c r="K450" s="1918"/>
      <c r="L450" s="1918"/>
      <c r="M450" s="1918"/>
      <c r="N450" s="1918"/>
      <c r="O450" s="1918"/>
      <c r="P450" s="1918"/>
      <c r="Q450" s="1918"/>
      <c r="R450" s="1918"/>
      <c r="S450" s="1918"/>
      <c r="T450" s="1918"/>
      <c r="U450" s="1918"/>
      <c r="V450" s="1918"/>
      <c r="W450" s="1918"/>
      <c r="X450" s="1918"/>
      <c r="Y450" s="1918"/>
      <c r="Z450" s="1918"/>
      <c r="AA450" s="1918"/>
      <c r="AB450" s="1918"/>
      <c r="AC450" s="1918"/>
      <c r="AD450" s="1918"/>
      <c r="AE450" s="1918"/>
    </row>
    <row r="451" spans="1:31" ht="15.75" customHeight="1">
      <c r="A451" s="1918"/>
      <c r="B451" s="1918"/>
      <c r="C451" s="1918"/>
      <c r="D451" s="1918"/>
      <c r="E451" s="1918"/>
      <c r="F451" s="1918"/>
      <c r="G451" s="1918"/>
      <c r="H451" s="1918"/>
      <c r="I451" s="1918"/>
      <c r="J451" s="1918"/>
      <c r="K451" s="1918"/>
      <c r="L451" s="1918"/>
      <c r="M451" s="1918"/>
      <c r="N451" s="1918"/>
      <c r="O451" s="1918"/>
      <c r="P451" s="1918"/>
      <c r="Q451" s="1918"/>
      <c r="R451" s="1918"/>
      <c r="S451" s="1918"/>
      <c r="T451" s="1918"/>
      <c r="U451" s="1918"/>
      <c r="V451" s="1918"/>
      <c r="W451" s="1918"/>
      <c r="X451" s="1918"/>
      <c r="Y451" s="1918"/>
      <c r="Z451" s="1918"/>
      <c r="AA451" s="1918"/>
      <c r="AB451" s="1918"/>
      <c r="AC451" s="1918"/>
      <c r="AD451" s="1918"/>
      <c r="AE451" s="1918"/>
    </row>
    <row r="452" spans="1:31" ht="15.75" customHeight="1">
      <c r="A452" s="1918"/>
      <c r="B452" s="1918"/>
      <c r="C452" s="1918"/>
      <c r="D452" s="1918"/>
      <c r="E452" s="1918"/>
      <c r="F452" s="1918"/>
      <c r="G452" s="1918"/>
      <c r="H452" s="1918"/>
      <c r="I452" s="1918"/>
      <c r="J452" s="1918"/>
      <c r="K452" s="1918"/>
      <c r="L452" s="1918"/>
      <c r="M452" s="1918"/>
      <c r="N452" s="1918"/>
      <c r="O452" s="1918"/>
      <c r="P452" s="1918"/>
      <c r="Q452" s="1918"/>
      <c r="R452" s="1918"/>
      <c r="S452" s="1918"/>
      <c r="T452" s="1918"/>
      <c r="U452" s="1918"/>
      <c r="V452" s="1918"/>
      <c r="W452" s="1918"/>
      <c r="X452" s="1918"/>
      <c r="Y452" s="1918"/>
      <c r="Z452" s="1918"/>
      <c r="AA452" s="1918"/>
      <c r="AB452" s="1918"/>
      <c r="AC452" s="1918"/>
      <c r="AD452" s="1918"/>
      <c r="AE452" s="1918"/>
    </row>
    <row r="453" spans="1:31" ht="15.75" customHeight="1">
      <c r="A453" s="1918"/>
      <c r="B453" s="1918"/>
      <c r="C453" s="1918"/>
      <c r="D453" s="1918"/>
      <c r="E453" s="1918"/>
      <c r="F453" s="1918"/>
      <c r="G453" s="1918"/>
      <c r="H453" s="1918"/>
      <c r="I453" s="1918"/>
      <c r="J453" s="1918"/>
      <c r="K453" s="1918"/>
      <c r="L453" s="1918"/>
      <c r="M453" s="1918"/>
      <c r="N453" s="1918"/>
      <c r="O453" s="1918"/>
      <c r="P453" s="1918"/>
      <c r="Q453" s="1918"/>
      <c r="R453" s="1918"/>
      <c r="S453" s="1918"/>
      <c r="T453" s="1918"/>
      <c r="U453" s="1918"/>
      <c r="V453" s="1918"/>
      <c r="W453" s="1918"/>
      <c r="X453" s="1918"/>
      <c r="Y453" s="1918"/>
      <c r="Z453" s="1918"/>
      <c r="AA453" s="1918"/>
      <c r="AB453" s="1918"/>
      <c r="AC453" s="1918"/>
      <c r="AD453" s="1918"/>
      <c r="AE453" s="1918"/>
    </row>
    <row r="454" spans="1:31" ht="15.75" customHeight="1">
      <c r="A454" s="1918"/>
      <c r="B454" s="1918"/>
      <c r="C454" s="1918"/>
      <c r="D454" s="1918"/>
      <c r="E454" s="1918"/>
      <c r="F454" s="1918"/>
      <c r="G454" s="1918"/>
      <c r="H454" s="1918"/>
      <c r="I454" s="1918"/>
      <c r="J454" s="1918"/>
      <c r="K454" s="1918"/>
      <c r="L454" s="1918"/>
      <c r="M454" s="1918"/>
      <c r="N454" s="1918"/>
      <c r="O454" s="1918"/>
      <c r="P454" s="1918"/>
      <c r="Q454" s="1918"/>
      <c r="R454" s="1918"/>
      <c r="S454" s="1918"/>
      <c r="T454" s="1918"/>
      <c r="U454" s="1918"/>
      <c r="V454" s="1918"/>
      <c r="W454" s="1918"/>
      <c r="X454" s="1918"/>
      <c r="Y454" s="1918"/>
      <c r="Z454" s="1918"/>
      <c r="AA454" s="1918"/>
      <c r="AB454" s="1918"/>
      <c r="AC454" s="1918"/>
      <c r="AD454" s="1918"/>
      <c r="AE454" s="1918"/>
    </row>
    <row r="455" spans="1:31" ht="15.75" customHeight="1">
      <c r="A455" s="1918"/>
      <c r="B455" s="1918"/>
      <c r="C455" s="1918"/>
      <c r="D455" s="1918"/>
      <c r="E455" s="1918"/>
      <c r="F455" s="1918"/>
      <c r="G455" s="1918"/>
      <c r="H455" s="1918"/>
      <c r="I455" s="1918"/>
      <c r="J455" s="1918"/>
      <c r="K455" s="1918"/>
      <c r="L455" s="1918"/>
      <c r="M455" s="1918"/>
      <c r="N455" s="1918"/>
      <c r="O455" s="1918"/>
      <c r="P455" s="1918"/>
      <c r="Q455" s="1918"/>
      <c r="R455" s="1918"/>
      <c r="S455" s="1918"/>
      <c r="T455" s="1918"/>
      <c r="U455" s="1918"/>
      <c r="V455" s="1918"/>
      <c r="W455" s="1918"/>
      <c r="X455" s="1918"/>
      <c r="Y455" s="1918"/>
      <c r="Z455" s="1918"/>
      <c r="AA455" s="1918"/>
      <c r="AB455" s="1918"/>
      <c r="AC455" s="1918"/>
      <c r="AD455" s="1918"/>
      <c r="AE455" s="1918"/>
    </row>
    <row r="456" spans="1:31" ht="15.75" customHeight="1">
      <c r="A456" s="1918"/>
      <c r="B456" s="1918"/>
      <c r="C456" s="1918"/>
      <c r="D456" s="1918"/>
      <c r="E456" s="1918"/>
      <c r="F456" s="1918"/>
      <c r="G456" s="1918"/>
      <c r="H456" s="1918"/>
      <c r="I456" s="1918"/>
      <c r="J456" s="1918"/>
      <c r="K456" s="1918"/>
      <c r="L456" s="1918"/>
      <c r="M456" s="1918"/>
      <c r="N456" s="1918"/>
      <c r="O456" s="1918"/>
      <c r="P456" s="1918"/>
      <c r="Q456" s="1918"/>
      <c r="R456" s="1918"/>
      <c r="S456" s="1918"/>
      <c r="T456" s="1918"/>
      <c r="U456" s="1918"/>
      <c r="V456" s="1918"/>
      <c r="W456" s="1918"/>
      <c r="X456" s="1918"/>
      <c r="Y456" s="1918"/>
      <c r="Z456" s="1918"/>
      <c r="AA456" s="1918"/>
      <c r="AB456" s="1918"/>
      <c r="AC456" s="1918"/>
      <c r="AD456" s="1918"/>
      <c r="AE456" s="1918"/>
    </row>
    <row r="457" spans="1:31" ht="15.75" customHeight="1">
      <c r="A457" s="1918"/>
      <c r="B457" s="1918"/>
      <c r="C457" s="1918"/>
      <c r="D457" s="1918"/>
      <c r="E457" s="1918"/>
      <c r="F457" s="1918"/>
      <c r="G457" s="1918"/>
      <c r="H457" s="1918"/>
      <c r="I457" s="1918"/>
      <c r="J457" s="1918"/>
      <c r="K457" s="1918"/>
      <c r="L457" s="1918"/>
      <c r="M457" s="1918"/>
      <c r="N457" s="1918"/>
      <c r="O457" s="1918"/>
      <c r="P457" s="1918"/>
      <c r="Q457" s="1918"/>
      <c r="R457" s="1918"/>
      <c r="S457" s="1918"/>
      <c r="T457" s="1918"/>
      <c r="U457" s="1918"/>
      <c r="V457" s="1918"/>
      <c r="W457" s="1918"/>
      <c r="X457" s="1918"/>
      <c r="Y457" s="1918"/>
      <c r="Z457" s="1918"/>
      <c r="AA457" s="1918"/>
      <c r="AB457" s="1918"/>
      <c r="AC457" s="1918"/>
      <c r="AD457" s="1918"/>
      <c r="AE457" s="1918"/>
    </row>
    <row r="458" spans="1:31" ht="15.75" customHeight="1">
      <c r="A458" s="1918"/>
      <c r="B458" s="1918"/>
      <c r="C458" s="1918"/>
      <c r="D458" s="1918"/>
      <c r="E458" s="1918"/>
      <c r="F458" s="1918"/>
      <c r="G458" s="1918"/>
      <c r="H458" s="1918"/>
      <c r="I458" s="1918"/>
      <c r="J458" s="1918"/>
      <c r="K458" s="1918"/>
      <c r="L458" s="1918"/>
      <c r="M458" s="1918"/>
      <c r="N458" s="1918"/>
      <c r="O458" s="1918"/>
      <c r="P458" s="1918"/>
      <c r="Q458" s="1918"/>
      <c r="R458" s="1918"/>
      <c r="S458" s="1918"/>
      <c r="T458" s="1918"/>
      <c r="U458" s="1918"/>
      <c r="V458" s="1918"/>
      <c r="W458" s="1918"/>
      <c r="X458" s="1918"/>
      <c r="Y458" s="1918"/>
      <c r="Z458" s="1918"/>
      <c r="AA458" s="1918"/>
      <c r="AB458" s="1918"/>
      <c r="AC458" s="1918"/>
      <c r="AD458" s="1918"/>
      <c r="AE458" s="1918"/>
    </row>
    <row r="459" spans="1:31" ht="15.75" customHeight="1">
      <c r="A459" s="1918"/>
      <c r="B459" s="1918"/>
      <c r="C459" s="1918"/>
      <c r="D459" s="1918"/>
      <c r="E459" s="1918"/>
      <c r="F459" s="1918"/>
      <c r="G459" s="1918"/>
      <c r="H459" s="1918"/>
      <c r="I459" s="1918"/>
      <c r="J459" s="1918"/>
      <c r="K459" s="1918"/>
      <c r="L459" s="1918"/>
      <c r="M459" s="1918"/>
      <c r="N459" s="1918"/>
      <c r="O459" s="1918"/>
      <c r="P459" s="1918"/>
      <c r="Q459" s="1918"/>
      <c r="R459" s="1918"/>
      <c r="S459" s="1918"/>
      <c r="T459" s="1918"/>
      <c r="U459" s="1918"/>
      <c r="V459" s="1918"/>
      <c r="W459" s="1918"/>
      <c r="X459" s="1918"/>
      <c r="Y459" s="1918"/>
      <c r="Z459" s="1918"/>
      <c r="AA459" s="1918"/>
      <c r="AB459" s="1918"/>
      <c r="AC459" s="1918"/>
      <c r="AD459" s="1918"/>
      <c r="AE459" s="1918"/>
    </row>
    <row r="460" spans="1:31" ht="15.75" customHeight="1">
      <c r="A460" s="1918"/>
      <c r="B460" s="1918"/>
      <c r="C460" s="1918"/>
      <c r="D460" s="1918"/>
      <c r="E460" s="1918"/>
      <c r="F460" s="1918"/>
      <c r="G460" s="1918"/>
      <c r="H460" s="1918"/>
      <c r="I460" s="1918"/>
      <c r="J460" s="1918"/>
      <c r="K460" s="1918"/>
      <c r="L460" s="1918"/>
      <c r="M460" s="1918"/>
      <c r="N460" s="1918"/>
      <c r="O460" s="1918"/>
      <c r="P460" s="1918"/>
      <c r="Q460" s="1918"/>
      <c r="R460" s="1918"/>
      <c r="S460" s="1918"/>
      <c r="T460" s="1918"/>
      <c r="U460" s="1918"/>
      <c r="V460" s="1918"/>
      <c r="W460" s="1918"/>
      <c r="X460" s="1918"/>
      <c r="Y460" s="1918"/>
      <c r="Z460" s="1918"/>
      <c r="AA460" s="1918"/>
      <c r="AB460" s="1918"/>
      <c r="AC460" s="1918"/>
      <c r="AD460" s="1918"/>
      <c r="AE460" s="1918"/>
    </row>
    <row r="461" spans="1:31" ht="15.75" customHeight="1">
      <c r="A461" s="1918"/>
      <c r="B461" s="1918"/>
      <c r="C461" s="1918"/>
      <c r="D461" s="1918"/>
      <c r="E461" s="1918"/>
      <c r="F461" s="1918"/>
      <c r="G461" s="1918"/>
      <c r="H461" s="1918"/>
      <c r="I461" s="1918"/>
      <c r="J461" s="1918"/>
      <c r="K461" s="1918"/>
      <c r="L461" s="1918"/>
      <c r="M461" s="1918"/>
      <c r="N461" s="1918"/>
      <c r="O461" s="1918"/>
      <c r="P461" s="1918"/>
      <c r="Q461" s="1918"/>
      <c r="R461" s="1918"/>
      <c r="S461" s="1918"/>
      <c r="T461" s="1918"/>
      <c r="U461" s="1918"/>
      <c r="V461" s="1918"/>
      <c r="W461" s="1918"/>
      <c r="X461" s="1918"/>
      <c r="Y461" s="1918"/>
      <c r="Z461" s="1918"/>
      <c r="AA461" s="1918"/>
      <c r="AB461" s="1918"/>
      <c r="AC461" s="1918"/>
      <c r="AD461" s="1918"/>
      <c r="AE461" s="1918"/>
    </row>
    <row r="462" spans="1:31" ht="15.75" customHeight="1">
      <c r="A462" s="1918"/>
      <c r="B462" s="1918"/>
      <c r="C462" s="1918"/>
      <c r="D462" s="1918"/>
      <c r="E462" s="1918"/>
      <c r="F462" s="1918"/>
      <c r="G462" s="1918"/>
      <c r="H462" s="1918"/>
      <c r="I462" s="1918"/>
      <c r="J462" s="1918"/>
      <c r="K462" s="1918"/>
      <c r="L462" s="1918"/>
      <c r="M462" s="1918"/>
      <c r="N462" s="1918"/>
      <c r="O462" s="1918"/>
      <c r="P462" s="1918"/>
      <c r="Q462" s="1918"/>
      <c r="R462" s="1918"/>
      <c r="S462" s="1918"/>
      <c r="T462" s="1918"/>
      <c r="U462" s="1918"/>
      <c r="V462" s="1918"/>
      <c r="W462" s="1918"/>
      <c r="X462" s="1918"/>
      <c r="Y462" s="1918"/>
      <c r="Z462" s="1918"/>
      <c r="AA462" s="1918"/>
      <c r="AB462" s="1918"/>
      <c r="AC462" s="1918"/>
      <c r="AD462" s="1918"/>
      <c r="AE462" s="1918"/>
    </row>
    <row r="463" spans="1:31" ht="15.75" customHeight="1">
      <c r="A463" s="1918"/>
      <c r="B463" s="1918"/>
      <c r="C463" s="1918"/>
      <c r="D463" s="1918"/>
      <c r="E463" s="1918"/>
      <c r="F463" s="1918"/>
      <c r="G463" s="1918"/>
      <c r="H463" s="1918"/>
      <c r="I463" s="1918"/>
      <c r="J463" s="1918"/>
      <c r="K463" s="1918"/>
      <c r="L463" s="1918"/>
      <c r="M463" s="1918"/>
      <c r="N463" s="1918"/>
      <c r="O463" s="1918"/>
      <c r="P463" s="1918"/>
      <c r="Q463" s="1918"/>
      <c r="R463" s="1918"/>
      <c r="S463" s="1918"/>
      <c r="T463" s="1918"/>
      <c r="U463" s="1918"/>
      <c r="V463" s="1918"/>
      <c r="W463" s="1918"/>
      <c r="X463" s="1918"/>
      <c r="Y463" s="1918"/>
      <c r="Z463" s="1918"/>
      <c r="AA463" s="1918"/>
      <c r="AB463" s="1918"/>
      <c r="AC463" s="1918"/>
      <c r="AD463" s="1918"/>
      <c r="AE463" s="1918"/>
    </row>
    <row r="464" spans="1:31" ht="15.75" customHeight="1">
      <c r="A464" s="1918"/>
      <c r="B464" s="1918"/>
      <c r="C464" s="1918"/>
      <c r="D464" s="1918"/>
      <c r="E464" s="1918"/>
      <c r="F464" s="1918"/>
      <c r="G464" s="1918"/>
      <c r="H464" s="1918"/>
      <c r="I464" s="1918"/>
      <c r="J464" s="1918"/>
      <c r="K464" s="1918"/>
      <c r="L464" s="1918"/>
      <c r="M464" s="1918"/>
      <c r="N464" s="1918"/>
      <c r="O464" s="1918"/>
      <c r="P464" s="1918"/>
      <c r="Q464" s="1918"/>
      <c r="R464" s="1918"/>
      <c r="S464" s="1918"/>
      <c r="T464" s="1918"/>
      <c r="U464" s="1918"/>
      <c r="V464" s="1918"/>
      <c r="W464" s="1918"/>
      <c r="X464" s="1918"/>
      <c r="Y464" s="1918"/>
      <c r="Z464" s="1918"/>
      <c r="AA464" s="1918"/>
      <c r="AB464" s="1918"/>
      <c r="AC464" s="1918"/>
      <c r="AD464" s="1918"/>
      <c r="AE464" s="1918"/>
    </row>
    <row r="465" spans="1:31" ht="15.75" customHeight="1">
      <c r="A465" s="1918"/>
      <c r="B465" s="1918"/>
      <c r="C465" s="1918"/>
      <c r="D465" s="1918"/>
      <c r="E465" s="1918"/>
      <c r="F465" s="1918"/>
      <c r="G465" s="1918"/>
      <c r="H465" s="1918"/>
      <c r="I465" s="1918"/>
      <c r="J465" s="1918"/>
      <c r="K465" s="1918"/>
      <c r="L465" s="1918"/>
      <c r="M465" s="1918"/>
      <c r="N465" s="1918"/>
      <c r="O465" s="1918"/>
      <c r="P465" s="1918"/>
      <c r="Q465" s="1918"/>
      <c r="R465" s="1918"/>
      <c r="S465" s="1918"/>
      <c r="T465" s="1918"/>
      <c r="U465" s="1918"/>
      <c r="V465" s="1918"/>
      <c r="W465" s="1918"/>
      <c r="X465" s="1918"/>
      <c r="Y465" s="1918"/>
      <c r="Z465" s="1918"/>
      <c r="AA465" s="1918"/>
      <c r="AB465" s="1918"/>
      <c r="AC465" s="1918"/>
      <c r="AD465" s="1918"/>
      <c r="AE465" s="1918"/>
    </row>
    <row r="466" spans="1:31" ht="15.75" customHeight="1">
      <c r="A466" s="1918"/>
      <c r="B466" s="1918"/>
      <c r="C466" s="1918"/>
      <c r="D466" s="1918"/>
      <c r="E466" s="1918"/>
      <c r="F466" s="1918"/>
      <c r="G466" s="1918"/>
      <c r="H466" s="1918"/>
      <c r="I466" s="1918"/>
      <c r="J466" s="1918"/>
      <c r="K466" s="1918"/>
      <c r="L466" s="1918"/>
      <c r="M466" s="1918"/>
      <c r="N466" s="1918"/>
      <c r="O466" s="1918"/>
      <c r="P466" s="1918"/>
      <c r="Q466" s="1918"/>
      <c r="R466" s="1918"/>
      <c r="S466" s="1918"/>
      <c r="T466" s="1918"/>
      <c r="U466" s="1918"/>
      <c r="V466" s="1918"/>
      <c r="W466" s="1918"/>
      <c r="X466" s="1918"/>
      <c r="Y466" s="1918"/>
      <c r="Z466" s="1918"/>
      <c r="AA466" s="1918"/>
      <c r="AB466" s="1918"/>
      <c r="AC466" s="1918"/>
      <c r="AD466" s="1918"/>
      <c r="AE466" s="1918"/>
    </row>
    <row r="467" spans="1:31" ht="15.75" customHeight="1">
      <c r="A467" s="1918"/>
      <c r="B467" s="1918"/>
      <c r="C467" s="1918"/>
      <c r="D467" s="1918"/>
      <c r="E467" s="1918"/>
      <c r="F467" s="1918"/>
      <c r="G467" s="1918"/>
      <c r="H467" s="1918"/>
      <c r="I467" s="1918"/>
      <c r="J467" s="1918"/>
      <c r="K467" s="1918"/>
      <c r="L467" s="1918"/>
      <c r="M467" s="1918"/>
      <c r="N467" s="1918"/>
      <c r="O467" s="1918"/>
      <c r="P467" s="1918"/>
      <c r="Q467" s="1918"/>
      <c r="R467" s="1918"/>
      <c r="S467" s="1918"/>
      <c r="T467" s="1918"/>
      <c r="U467" s="1918"/>
      <c r="V467" s="1918"/>
      <c r="W467" s="1918"/>
      <c r="X467" s="1918"/>
      <c r="Y467" s="1918"/>
      <c r="Z467" s="1918"/>
      <c r="AA467" s="1918"/>
      <c r="AB467" s="1918"/>
      <c r="AC467" s="1918"/>
      <c r="AD467" s="1918"/>
      <c r="AE467" s="1918"/>
    </row>
    <row r="468" spans="1:31" ht="15.75" customHeight="1">
      <c r="A468" s="1918"/>
      <c r="B468" s="1918"/>
      <c r="C468" s="1918"/>
      <c r="D468" s="1918"/>
      <c r="E468" s="1918"/>
      <c r="F468" s="1918"/>
      <c r="G468" s="1918"/>
      <c r="H468" s="1918"/>
      <c r="I468" s="1918"/>
      <c r="J468" s="1918"/>
      <c r="K468" s="1918"/>
      <c r="L468" s="1918"/>
      <c r="M468" s="1918"/>
      <c r="N468" s="1918"/>
      <c r="O468" s="1918"/>
      <c r="P468" s="1918"/>
      <c r="Q468" s="1918"/>
      <c r="R468" s="1918"/>
      <c r="S468" s="1918"/>
      <c r="T468" s="1918"/>
      <c r="U468" s="1918"/>
      <c r="V468" s="1918"/>
      <c r="W468" s="1918"/>
      <c r="X468" s="1918"/>
      <c r="Y468" s="1918"/>
      <c r="Z468" s="1918"/>
      <c r="AA468" s="1918"/>
      <c r="AB468" s="1918"/>
      <c r="AC468" s="1918"/>
      <c r="AD468" s="1918"/>
      <c r="AE468" s="1918"/>
    </row>
    <row r="469" spans="1:31" ht="15.75" customHeight="1">
      <c r="A469" s="1918"/>
      <c r="B469" s="1918"/>
      <c r="C469" s="1918"/>
      <c r="D469" s="1918"/>
      <c r="E469" s="1918"/>
      <c r="F469" s="1918"/>
      <c r="G469" s="1918"/>
      <c r="H469" s="1918"/>
      <c r="I469" s="1918"/>
      <c r="J469" s="1918"/>
      <c r="K469" s="1918"/>
      <c r="L469" s="1918"/>
      <c r="M469" s="1918"/>
      <c r="N469" s="1918"/>
      <c r="O469" s="1918"/>
      <c r="P469" s="1918"/>
      <c r="Q469" s="1918"/>
      <c r="R469" s="1918"/>
      <c r="S469" s="1918"/>
      <c r="T469" s="1918"/>
      <c r="U469" s="1918"/>
      <c r="V469" s="1918"/>
      <c r="W469" s="1918"/>
      <c r="X469" s="1918"/>
      <c r="Y469" s="1918"/>
      <c r="Z469" s="1918"/>
      <c r="AA469" s="1918"/>
      <c r="AB469" s="1918"/>
      <c r="AC469" s="1918"/>
      <c r="AD469" s="1918"/>
      <c r="AE469" s="1918"/>
    </row>
    <row r="470" spans="1:31" ht="15.75" customHeight="1">
      <c r="A470" s="1918"/>
      <c r="B470" s="1918"/>
      <c r="C470" s="1918"/>
      <c r="D470" s="1918"/>
      <c r="E470" s="1918"/>
      <c r="F470" s="1918"/>
      <c r="G470" s="1918"/>
      <c r="H470" s="1918"/>
      <c r="I470" s="1918"/>
      <c r="J470" s="1918"/>
      <c r="K470" s="1918"/>
      <c r="L470" s="1918"/>
      <c r="M470" s="1918"/>
      <c r="N470" s="1918"/>
      <c r="O470" s="1918"/>
      <c r="P470" s="1918"/>
      <c r="Q470" s="1918"/>
      <c r="R470" s="1918"/>
      <c r="S470" s="1918"/>
      <c r="T470" s="1918"/>
      <c r="U470" s="1918"/>
      <c r="V470" s="1918"/>
      <c r="W470" s="1918"/>
      <c r="X470" s="1918"/>
      <c r="Y470" s="1918"/>
      <c r="Z470" s="1918"/>
      <c r="AA470" s="1918"/>
      <c r="AB470" s="1918"/>
      <c r="AC470" s="1918"/>
      <c r="AD470" s="1918"/>
      <c r="AE470" s="1918"/>
    </row>
    <row r="471" spans="1:31" ht="15.75" customHeight="1">
      <c r="A471" s="1918"/>
      <c r="B471" s="1918"/>
      <c r="C471" s="1918"/>
      <c r="D471" s="1918"/>
      <c r="E471" s="1918"/>
      <c r="F471" s="1918"/>
      <c r="G471" s="1918"/>
      <c r="H471" s="1918"/>
      <c r="I471" s="1918"/>
      <c r="J471" s="1918"/>
      <c r="K471" s="1918"/>
      <c r="L471" s="1918"/>
      <c r="M471" s="1918"/>
      <c r="N471" s="1918"/>
      <c r="O471" s="1918"/>
      <c r="P471" s="1918"/>
      <c r="Q471" s="1918"/>
      <c r="R471" s="1918"/>
      <c r="S471" s="1918"/>
      <c r="T471" s="1918"/>
      <c r="U471" s="1918"/>
      <c r="V471" s="1918"/>
      <c r="W471" s="1918"/>
      <c r="X471" s="1918"/>
      <c r="Y471" s="1918"/>
      <c r="Z471" s="1918"/>
      <c r="AA471" s="1918"/>
      <c r="AB471" s="1918"/>
      <c r="AC471" s="1918"/>
      <c r="AD471" s="1918"/>
      <c r="AE471" s="1918"/>
    </row>
    <row r="472" spans="1:31" ht="15.75" customHeight="1">
      <c r="A472" s="1918"/>
      <c r="B472" s="1918"/>
      <c r="C472" s="1918"/>
      <c r="D472" s="1918"/>
      <c r="E472" s="1918"/>
      <c r="F472" s="1918"/>
      <c r="G472" s="1918"/>
      <c r="H472" s="1918"/>
      <c r="I472" s="1918"/>
      <c r="J472" s="1918"/>
      <c r="K472" s="1918"/>
      <c r="L472" s="1918"/>
      <c r="M472" s="1918"/>
      <c r="N472" s="1918"/>
      <c r="O472" s="1918"/>
      <c r="P472" s="1918"/>
      <c r="Q472" s="1918"/>
      <c r="R472" s="1918"/>
      <c r="S472" s="1918"/>
      <c r="T472" s="1918"/>
      <c r="U472" s="1918"/>
      <c r="V472" s="1918"/>
      <c r="W472" s="1918"/>
      <c r="X472" s="1918"/>
      <c r="Y472" s="1918"/>
      <c r="Z472" s="1918"/>
      <c r="AA472" s="1918"/>
      <c r="AB472" s="1918"/>
      <c r="AC472" s="1918"/>
      <c r="AD472" s="1918"/>
      <c r="AE472" s="1918"/>
    </row>
    <row r="473" spans="1:31" ht="15.75" customHeight="1">
      <c r="A473" s="1918"/>
      <c r="B473" s="1918"/>
      <c r="C473" s="1918"/>
      <c r="D473" s="1918"/>
      <c r="E473" s="1918"/>
      <c r="F473" s="1918"/>
      <c r="G473" s="1918"/>
      <c r="H473" s="1918"/>
      <c r="I473" s="1918"/>
      <c r="J473" s="1918"/>
      <c r="K473" s="1918"/>
      <c r="L473" s="1918"/>
      <c r="M473" s="1918"/>
      <c r="N473" s="1918"/>
      <c r="O473" s="1918"/>
      <c r="P473" s="1918"/>
      <c r="Q473" s="1918"/>
      <c r="R473" s="1918"/>
      <c r="S473" s="1918"/>
      <c r="T473" s="1918"/>
      <c r="U473" s="1918"/>
      <c r="V473" s="1918"/>
      <c r="W473" s="1918"/>
      <c r="X473" s="1918"/>
      <c r="Y473" s="1918"/>
      <c r="Z473" s="1918"/>
      <c r="AA473" s="1918"/>
      <c r="AB473" s="1918"/>
      <c r="AC473" s="1918"/>
      <c r="AD473" s="1918"/>
      <c r="AE473" s="1918"/>
    </row>
    <row r="474" spans="1:31" ht="15.75" customHeight="1">
      <c r="A474" s="1918"/>
      <c r="B474" s="1918"/>
      <c r="C474" s="1918"/>
      <c r="D474" s="1918"/>
      <c r="E474" s="1918"/>
      <c r="F474" s="1918"/>
      <c r="G474" s="1918"/>
      <c r="H474" s="1918"/>
      <c r="I474" s="1918"/>
      <c r="J474" s="1918"/>
      <c r="K474" s="1918"/>
      <c r="L474" s="1918"/>
      <c r="M474" s="1918"/>
      <c r="N474" s="1918"/>
      <c r="O474" s="1918"/>
      <c r="P474" s="1918"/>
      <c r="Q474" s="1918"/>
      <c r="R474" s="1918"/>
      <c r="S474" s="1918"/>
      <c r="T474" s="1918"/>
      <c r="U474" s="1918"/>
      <c r="V474" s="1918"/>
      <c r="W474" s="1918"/>
      <c r="X474" s="1918"/>
      <c r="Y474" s="1918"/>
      <c r="Z474" s="1918"/>
      <c r="AA474" s="1918"/>
      <c r="AB474" s="1918"/>
      <c r="AC474" s="1918"/>
      <c r="AD474" s="1918"/>
      <c r="AE474" s="1918"/>
    </row>
    <row r="475" spans="1:31" ht="15.75" customHeight="1">
      <c r="A475" s="1918"/>
      <c r="B475" s="1918"/>
      <c r="C475" s="1918"/>
      <c r="D475" s="1918"/>
      <c r="E475" s="1918"/>
      <c r="F475" s="1918"/>
      <c r="G475" s="1918"/>
      <c r="H475" s="1918"/>
      <c r="I475" s="1918"/>
      <c r="J475" s="1918"/>
      <c r="K475" s="1918"/>
      <c r="L475" s="1918"/>
      <c r="M475" s="1918"/>
      <c r="N475" s="1918"/>
      <c r="O475" s="1918"/>
      <c r="P475" s="1918"/>
      <c r="Q475" s="1918"/>
      <c r="R475" s="1918"/>
      <c r="S475" s="1918"/>
      <c r="T475" s="1918"/>
      <c r="U475" s="1918"/>
      <c r="V475" s="1918"/>
      <c r="W475" s="1918"/>
      <c r="X475" s="1918"/>
      <c r="Y475" s="1918"/>
      <c r="Z475" s="1918"/>
      <c r="AA475" s="1918"/>
      <c r="AB475" s="1918"/>
      <c r="AC475" s="1918"/>
      <c r="AD475" s="1918"/>
      <c r="AE475" s="1918"/>
    </row>
    <row r="476" spans="1:31" ht="15.75" customHeight="1">
      <c r="A476" s="1918"/>
      <c r="B476" s="1918"/>
      <c r="C476" s="1918"/>
      <c r="D476" s="1918"/>
      <c r="E476" s="1918"/>
      <c r="F476" s="1918"/>
      <c r="G476" s="1918"/>
      <c r="H476" s="1918"/>
      <c r="I476" s="1918"/>
      <c r="J476" s="1918"/>
      <c r="K476" s="1918"/>
      <c r="L476" s="1918"/>
      <c r="M476" s="1918"/>
      <c r="N476" s="1918"/>
      <c r="O476" s="1918"/>
      <c r="P476" s="1918"/>
      <c r="Q476" s="1918"/>
      <c r="R476" s="1918"/>
      <c r="S476" s="1918"/>
      <c r="T476" s="1918"/>
      <c r="U476" s="1918"/>
      <c r="V476" s="1918"/>
      <c r="W476" s="1918"/>
      <c r="X476" s="1918"/>
      <c r="Y476" s="1918"/>
      <c r="Z476" s="1918"/>
      <c r="AA476" s="1918"/>
      <c r="AB476" s="1918"/>
      <c r="AC476" s="1918"/>
      <c r="AD476" s="1918"/>
      <c r="AE476" s="1918"/>
    </row>
    <row r="477" spans="1:31" ht="15.75" customHeight="1">
      <c r="A477" s="1918"/>
      <c r="B477" s="1918"/>
      <c r="C477" s="1918"/>
      <c r="D477" s="1918"/>
      <c r="E477" s="1918"/>
      <c r="F477" s="1918"/>
      <c r="G477" s="1918"/>
      <c r="H477" s="1918"/>
      <c r="I477" s="1918"/>
      <c r="J477" s="1918"/>
      <c r="K477" s="1918"/>
      <c r="L477" s="1918"/>
      <c r="M477" s="1918"/>
      <c r="N477" s="1918"/>
      <c r="O477" s="1918"/>
      <c r="P477" s="1918"/>
      <c r="Q477" s="1918"/>
      <c r="R477" s="1918"/>
      <c r="S477" s="1918"/>
      <c r="T477" s="1918"/>
      <c r="U477" s="1918"/>
      <c r="V477" s="1918"/>
      <c r="W477" s="1918"/>
      <c r="X477" s="1918"/>
      <c r="Y477" s="1918"/>
      <c r="Z477" s="1918"/>
      <c r="AA477" s="1918"/>
      <c r="AB477" s="1918"/>
      <c r="AC477" s="1918"/>
      <c r="AD477" s="1918"/>
      <c r="AE477" s="1918"/>
    </row>
    <row r="478" spans="1:31" ht="15.75" customHeight="1">
      <c r="A478" s="1918"/>
      <c r="B478" s="1918"/>
      <c r="C478" s="1918"/>
      <c r="D478" s="1918"/>
      <c r="E478" s="1918"/>
      <c r="F478" s="1918"/>
      <c r="G478" s="1918"/>
      <c r="H478" s="1918"/>
      <c r="I478" s="1918"/>
      <c r="J478" s="1918"/>
      <c r="K478" s="1918"/>
      <c r="L478" s="1918"/>
      <c r="M478" s="1918"/>
      <c r="N478" s="1918"/>
      <c r="O478" s="1918"/>
      <c r="P478" s="1918"/>
      <c r="Q478" s="1918"/>
      <c r="R478" s="1918"/>
      <c r="S478" s="1918"/>
      <c r="T478" s="1918"/>
      <c r="U478" s="1918"/>
      <c r="V478" s="1918"/>
      <c r="W478" s="1918"/>
      <c r="X478" s="1918"/>
      <c r="Y478" s="1918"/>
      <c r="Z478" s="1918"/>
      <c r="AA478" s="1918"/>
      <c r="AB478" s="1918"/>
      <c r="AC478" s="1918"/>
      <c r="AD478" s="1918"/>
      <c r="AE478" s="1918"/>
    </row>
    <row r="479" spans="1:31" ht="15.75" customHeight="1">
      <c r="A479" s="1918"/>
      <c r="B479" s="1918"/>
      <c r="C479" s="1918"/>
      <c r="D479" s="1918"/>
      <c r="E479" s="1918"/>
      <c r="F479" s="1918"/>
      <c r="G479" s="1918"/>
      <c r="H479" s="1918"/>
      <c r="I479" s="1918"/>
      <c r="J479" s="1918"/>
      <c r="K479" s="1918"/>
      <c r="L479" s="1918"/>
      <c r="M479" s="1918"/>
      <c r="N479" s="1918"/>
      <c r="O479" s="1918"/>
      <c r="P479" s="1918"/>
      <c r="Q479" s="1918"/>
      <c r="R479" s="1918"/>
      <c r="S479" s="1918"/>
      <c r="T479" s="1918"/>
      <c r="U479" s="1918"/>
      <c r="V479" s="1918"/>
      <c r="W479" s="1918"/>
      <c r="X479" s="1918"/>
      <c r="Y479" s="1918"/>
      <c r="Z479" s="1918"/>
      <c r="AA479" s="1918"/>
      <c r="AB479" s="1918"/>
      <c r="AC479" s="1918"/>
      <c r="AD479" s="1918"/>
      <c r="AE479" s="1918"/>
    </row>
    <row r="480" spans="1:31" ht="15.75" customHeight="1">
      <c r="A480" s="1918"/>
      <c r="B480" s="1918"/>
      <c r="C480" s="1918"/>
      <c r="D480" s="1918"/>
      <c r="E480" s="1918"/>
      <c r="F480" s="1918"/>
      <c r="G480" s="1918"/>
      <c r="H480" s="1918"/>
      <c r="I480" s="1918"/>
      <c r="J480" s="1918"/>
      <c r="K480" s="1918"/>
      <c r="L480" s="1918"/>
      <c r="M480" s="1918"/>
      <c r="N480" s="1918"/>
      <c r="O480" s="1918"/>
      <c r="P480" s="1918"/>
      <c r="Q480" s="1918"/>
      <c r="R480" s="1918"/>
      <c r="S480" s="1918"/>
      <c r="T480" s="1918"/>
      <c r="U480" s="1918"/>
      <c r="V480" s="1918"/>
      <c r="W480" s="1918"/>
      <c r="X480" s="1918"/>
      <c r="Y480" s="1918"/>
      <c r="Z480" s="1918"/>
      <c r="AA480" s="1918"/>
      <c r="AB480" s="1918"/>
      <c r="AC480" s="1918"/>
      <c r="AD480" s="1918"/>
      <c r="AE480" s="1918"/>
    </row>
    <row r="481" spans="1:31" ht="15.75" customHeight="1">
      <c r="A481" s="1918"/>
      <c r="B481" s="1918"/>
      <c r="C481" s="1918"/>
      <c r="D481" s="1918"/>
      <c r="E481" s="1918"/>
      <c r="F481" s="1918"/>
      <c r="G481" s="1918"/>
      <c r="H481" s="1918"/>
      <c r="I481" s="1918"/>
      <c r="J481" s="1918"/>
      <c r="K481" s="1918"/>
      <c r="L481" s="1918"/>
      <c r="M481" s="1918"/>
      <c r="N481" s="1918"/>
      <c r="O481" s="1918"/>
      <c r="P481" s="1918"/>
      <c r="Q481" s="1918"/>
      <c r="R481" s="1918"/>
      <c r="S481" s="1918"/>
      <c r="T481" s="1918"/>
      <c r="U481" s="1918"/>
      <c r="V481" s="1918"/>
      <c r="W481" s="1918"/>
      <c r="X481" s="1918"/>
      <c r="Y481" s="1918"/>
      <c r="Z481" s="1918"/>
      <c r="AA481" s="1918"/>
      <c r="AB481" s="1918"/>
      <c r="AC481" s="1918"/>
      <c r="AD481" s="1918"/>
      <c r="AE481" s="1918"/>
    </row>
    <row r="482" spans="1:31" ht="15.75" customHeight="1">
      <c r="A482" s="1918"/>
      <c r="B482" s="1918"/>
      <c r="C482" s="1918"/>
      <c r="D482" s="1918"/>
      <c r="E482" s="1918"/>
      <c r="F482" s="1918"/>
      <c r="G482" s="1918"/>
      <c r="H482" s="1918"/>
      <c r="I482" s="1918"/>
      <c r="J482" s="1918"/>
      <c r="K482" s="1918"/>
      <c r="L482" s="1918"/>
      <c r="M482" s="1918"/>
      <c r="N482" s="1918"/>
      <c r="O482" s="1918"/>
      <c r="P482" s="1918"/>
      <c r="Q482" s="1918"/>
      <c r="R482" s="1918"/>
      <c r="S482" s="1918"/>
      <c r="T482" s="1918"/>
      <c r="U482" s="1918"/>
      <c r="V482" s="1918"/>
      <c r="W482" s="1918"/>
      <c r="X482" s="1918"/>
      <c r="Y482" s="1918"/>
      <c r="Z482" s="1918"/>
      <c r="AA482" s="1918"/>
      <c r="AB482" s="1918"/>
      <c r="AC482" s="1918"/>
      <c r="AD482" s="1918"/>
      <c r="AE482" s="1918"/>
    </row>
    <row r="483" spans="1:31" ht="15.75" customHeight="1">
      <c r="A483" s="1918"/>
      <c r="B483" s="1918"/>
      <c r="C483" s="1918"/>
      <c r="D483" s="1918"/>
      <c r="E483" s="1918"/>
      <c r="F483" s="1918"/>
      <c r="G483" s="1918"/>
      <c r="H483" s="1918"/>
      <c r="I483" s="1918"/>
      <c r="J483" s="1918"/>
      <c r="K483" s="1918"/>
      <c r="L483" s="1918"/>
      <c r="M483" s="1918"/>
      <c r="N483" s="1918"/>
      <c r="O483" s="1918"/>
      <c r="P483" s="1918"/>
      <c r="Q483" s="1918"/>
      <c r="R483" s="1918"/>
      <c r="S483" s="1918"/>
      <c r="T483" s="1918"/>
      <c r="U483" s="1918"/>
      <c r="V483" s="1918"/>
      <c r="W483" s="1918"/>
      <c r="X483" s="1918"/>
      <c r="Y483" s="1918"/>
      <c r="Z483" s="1918"/>
      <c r="AA483" s="1918"/>
      <c r="AB483" s="1918"/>
      <c r="AC483" s="1918"/>
      <c r="AD483" s="1918"/>
      <c r="AE483" s="1918"/>
    </row>
    <row r="484" spans="1:31" ht="15.75" customHeight="1">
      <c r="A484" s="1918"/>
      <c r="B484" s="1918"/>
      <c r="C484" s="1918"/>
      <c r="D484" s="1918"/>
      <c r="E484" s="1918"/>
      <c r="F484" s="1918"/>
      <c r="G484" s="1918"/>
      <c r="H484" s="1918"/>
      <c r="I484" s="1918"/>
      <c r="J484" s="1918"/>
      <c r="K484" s="1918"/>
      <c r="L484" s="1918"/>
      <c r="M484" s="1918"/>
      <c r="N484" s="1918"/>
      <c r="O484" s="1918"/>
      <c r="P484" s="1918"/>
      <c r="Q484" s="1918"/>
      <c r="R484" s="1918"/>
      <c r="S484" s="1918"/>
      <c r="T484" s="1918"/>
      <c r="U484" s="1918"/>
      <c r="V484" s="1918"/>
      <c r="W484" s="1918"/>
      <c r="X484" s="1918"/>
      <c r="Y484" s="1918"/>
      <c r="Z484" s="1918"/>
      <c r="AA484" s="1918"/>
      <c r="AB484" s="1918"/>
      <c r="AC484" s="1918"/>
      <c r="AD484" s="1918"/>
      <c r="AE484" s="1918"/>
    </row>
    <row r="485" spans="1:31" ht="15.75" customHeight="1">
      <c r="A485" s="1918"/>
      <c r="B485" s="1918"/>
      <c r="C485" s="1918"/>
      <c r="D485" s="1918"/>
      <c r="E485" s="1918"/>
      <c r="F485" s="1918"/>
      <c r="G485" s="1918"/>
      <c r="H485" s="1918"/>
      <c r="I485" s="1918"/>
      <c r="J485" s="1918"/>
      <c r="K485" s="1918"/>
      <c r="L485" s="1918"/>
      <c r="M485" s="1918"/>
      <c r="N485" s="1918"/>
      <c r="O485" s="1918"/>
      <c r="P485" s="1918"/>
      <c r="Q485" s="1918"/>
      <c r="R485" s="1918"/>
      <c r="S485" s="1918"/>
      <c r="T485" s="1918"/>
      <c r="U485" s="1918"/>
      <c r="V485" s="1918"/>
      <c r="W485" s="1918"/>
      <c r="X485" s="1918"/>
      <c r="Y485" s="1918"/>
      <c r="Z485" s="1918"/>
      <c r="AA485" s="1918"/>
      <c r="AB485" s="1918"/>
      <c r="AC485" s="1918"/>
      <c r="AD485" s="1918"/>
      <c r="AE485" s="1918"/>
    </row>
    <row r="486" spans="1:31" ht="15.75" customHeight="1">
      <c r="A486" s="1918"/>
      <c r="B486" s="1918"/>
      <c r="C486" s="1918"/>
      <c r="D486" s="1918"/>
      <c r="E486" s="1918"/>
      <c r="F486" s="1918"/>
      <c r="G486" s="1918"/>
      <c r="H486" s="1918"/>
      <c r="I486" s="1918"/>
      <c r="J486" s="1918"/>
      <c r="K486" s="1918"/>
      <c r="L486" s="1918"/>
      <c r="M486" s="1918"/>
      <c r="N486" s="1918"/>
      <c r="O486" s="1918"/>
      <c r="P486" s="1918"/>
      <c r="Q486" s="1918"/>
      <c r="R486" s="1918"/>
      <c r="S486" s="1918"/>
      <c r="T486" s="1918"/>
      <c r="U486" s="1918"/>
      <c r="V486" s="1918"/>
      <c r="W486" s="1918"/>
      <c r="X486" s="1918"/>
      <c r="Y486" s="1918"/>
      <c r="Z486" s="1918"/>
      <c r="AA486" s="1918"/>
      <c r="AB486" s="1918"/>
      <c r="AC486" s="1918"/>
      <c r="AD486" s="1918"/>
      <c r="AE486" s="1918"/>
    </row>
    <row r="487" spans="1:31" ht="15.75" customHeight="1">
      <c r="A487" s="1918"/>
      <c r="B487" s="1918"/>
      <c r="C487" s="1918"/>
      <c r="D487" s="1918"/>
      <c r="E487" s="1918"/>
      <c r="F487" s="1918"/>
      <c r="G487" s="1918"/>
      <c r="H487" s="1918"/>
      <c r="I487" s="1918"/>
      <c r="J487" s="1918"/>
      <c r="K487" s="1918"/>
      <c r="L487" s="1918"/>
      <c r="M487" s="1918"/>
      <c r="N487" s="1918"/>
      <c r="O487" s="1918"/>
      <c r="P487" s="1918"/>
      <c r="Q487" s="1918"/>
      <c r="R487" s="1918"/>
      <c r="S487" s="1918"/>
      <c r="T487" s="1918"/>
      <c r="U487" s="1918"/>
      <c r="V487" s="1918"/>
      <c r="W487" s="1918"/>
      <c r="X487" s="1918"/>
      <c r="Y487" s="1918"/>
      <c r="Z487" s="1918"/>
      <c r="AA487" s="1918"/>
      <c r="AB487" s="1918"/>
      <c r="AC487" s="1918"/>
      <c r="AD487" s="1918"/>
      <c r="AE487" s="1918"/>
    </row>
    <row r="488" spans="1:31" ht="15.75" customHeight="1">
      <c r="A488" s="1918"/>
      <c r="B488" s="1918"/>
      <c r="C488" s="1918"/>
      <c r="D488" s="1918"/>
      <c r="E488" s="1918"/>
      <c r="F488" s="1918"/>
      <c r="G488" s="1918"/>
      <c r="H488" s="1918"/>
      <c r="I488" s="1918"/>
      <c r="J488" s="1918"/>
      <c r="K488" s="1918"/>
      <c r="L488" s="1918"/>
      <c r="M488" s="1918"/>
      <c r="N488" s="1918"/>
      <c r="O488" s="1918"/>
      <c r="P488" s="1918"/>
      <c r="Q488" s="1918"/>
      <c r="R488" s="1918"/>
      <c r="S488" s="1918"/>
      <c r="T488" s="1918"/>
      <c r="U488" s="1918"/>
      <c r="V488" s="1918"/>
      <c r="W488" s="1918"/>
      <c r="X488" s="1918"/>
      <c r="Y488" s="1918"/>
      <c r="Z488" s="1918"/>
      <c r="AA488" s="1918"/>
      <c r="AB488" s="1918"/>
      <c r="AC488" s="1918"/>
      <c r="AD488" s="1918"/>
      <c r="AE488" s="1918"/>
    </row>
    <row r="489" spans="1:31" ht="15.75" customHeight="1">
      <c r="A489" s="1918"/>
      <c r="B489" s="1918"/>
      <c r="C489" s="1918"/>
      <c r="D489" s="1918"/>
      <c r="E489" s="1918"/>
      <c r="F489" s="1918"/>
      <c r="G489" s="1918"/>
      <c r="H489" s="1918"/>
      <c r="I489" s="1918"/>
      <c r="J489" s="1918"/>
      <c r="K489" s="1918"/>
      <c r="L489" s="1918"/>
      <c r="M489" s="1918"/>
      <c r="N489" s="1918"/>
      <c r="O489" s="1918"/>
      <c r="P489" s="1918"/>
      <c r="Q489" s="1918"/>
      <c r="R489" s="1918"/>
      <c r="S489" s="1918"/>
      <c r="T489" s="1918"/>
      <c r="U489" s="1918"/>
      <c r="V489" s="1918"/>
      <c r="W489" s="1918"/>
      <c r="X489" s="1918"/>
      <c r="Y489" s="1918"/>
      <c r="Z489" s="1918"/>
      <c r="AA489" s="1918"/>
      <c r="AB489" s="1918"/>
      <c r="AC489" s="1918"/>
      <c r="AD489" s="1918"/>
      <c r="AE489" s="1918"/>
    </row>
    <row r="490" spans="1:31" ht="15.75" customHeight="1">
      <c r="A490" s="1918"/>
      <c r="B490" s="1918"/>
      <c r="C490" s="1918"/>
      <c r="D490" s="1918"/>
      <c r="E490" s="1918"/>
      <c r="F490" s="1918"/>
      <c r="G490" s="1918"/>
      <c r="H490" s="1918"/>
      <c r="I490" s="1918"/>
      <c r="J490" s="1918"/>
      <c r="K490" s="1918"/>
      <c r="L490" s="1918"/>
      <c r="M490" s="1918"/>
      <c r="N490" s="1918"/>
      <c r="O490" s="1918"/>
      <c r="P490" s="1918"/>
      <c r="Q490" s="1918"/>
      <c r="R490" s="1918"/>
      <c r="S490" s="1918"/>
      <c r="T490" s="1918"/>
      <c r="U490" s="1918"/>
      <c r="V490" s="1918"/>
      <c r="W490" s="1918"/>
      <c r="X490" s="1918"/>
      <c r="Y490" s="1918"/>
      <c r="Z490" s="1918"/>
      <c r="AA490" s="1918"/>
      <c r="AB490" s="1918"/>
      <c r="AC490" s="1918"/>
      <c r="AD490" s="1918"/>
      <c r="AE490" s="1918"/>
    </row>
    <row r="491" spans="1:31" ht="15.75" customHeight="1">
      <c r="A491" s="1918"/>
      <c r="B491" s="1918"/>
      <c r="C491" s="1918"/>
      <c r="D491" s="1918"/>
      <c r="E491" s="1918"/>
      <c r="F491" s="1918"/>
      <c r="G491" s="1918"/>
      <c r="H491" s="1918"/>
      <c r="I491" s="1918"/>
      <c r="J491" s="1918"/>
      <c r="K491" s="1918"/>
      <c r="L491" s="1918"/>
      <c r="M491" s="1918"/>
      <c r="N491" s="1918"/>
      <c r="O491" s="1918"/>
      <c r="P491" s="1918"/>
      <c r="Q491" s="1918"/>
      <c r="R491" s="1918"/>
      <c r="S491" s="1918"/>
      <c r="T491" s="1918"/>
      <c r="U491" s="1918"/>
      <c r="V491" s="1918"/>
      <c r="W491" s="1918"/>
      <c r="X491" s="1918"/>
      <c r="Y491" s="1918"/>
      <c r="Z491" s="1918"/>
      <c r="AA491" s="1918"/>
      <c r="AB491" s="1918"/>
      <c r="AC491" s="1918"/>
      <c r="AD491" s="1918"/>
      <c r="AE491" s="1918"/>
    </row>
    <row r="492" spans="1:31" ht="15.75" customHeight="1">
      <c r="A492" s="1918"/>
      <c r="B492" s="1918"/>
      <c r="C492" s="1918"/>
      <c r="D492" s="1918"/>
      <c r="E492" s="1918"/>
      <c r="F492" s="1918"/>
      <c r="G492" s="1918"/>
      <c r="H492" s="1918"/>
      <c r="I492" s="1918"/>
      <c r="J492" s="1918"/>
      <c r="K492" s="1918"/>
      <c r="L492" s="1918"/>
      <c r="M492" s="1918"/>
      <c r="N492" s="1918"/>
      <c r="O492" s="1918"/>
      <c r="P492" s="1918"/>
      <c r="Q492" s="1918"/>
      <c r="R492" s="1918"/>
      <c r="S492" s="1918"/>
      <c r="T492" s="1918"/>
      <c r="U492" s="1918"/>
      <c r="V492" s="1918"/>
      <c r="W492" s="1918"/>
      <c r="X492" s="1918"/>
      <c r="Y492" s="1918"/>
      <c r="Z492" s="1918"/>
      <c r="AA492" s="1918"/>
      <c r="AB492" s="1918"/>
      <c r="AC492" s="1918"/>
      <c r="AD492" s="1918"/>
      <c r="AE492" s="1918"/>
    </row>
    <row r="493" spans="1:31" ht="15.75" customHeight="1">
      <c r="A493" s="1918"/>
      <c r="B493" s="1918"/>
      <c r="C493" s="1918"/>
      <c r="D493" s="1918"/>
      <c r="E493" s="1918"/>
      <c r="F493" s="1918"/>
      <c r="G493" s="1918"/>
      <c r="H493" s="1918"/>
      <c r="I493" s="1918"/>
      <c r="J493" s="1918"/>
      <c r="K493" s="1918"/>
      <c r="L493" s="1918"/>
      <c r="M493" s="1918"/>
      <c r="N493" s="1918"/>
      <c r="O493" s="1918"/>
      <c r="P493" s="1918"/>
      <c r="Q493" s="1918"/>
      <c r="R493" s="1918"/>
      <c r="S493" s="1918"/>
      <c r="T493" s="1918"/>
      <c r="U493" s="1918"/>
      <c r="V493" s="1918"/>
      <c r="W493" s="1918"/>
      <c r="X493" s="1918"/>
      <c r="Y493" s="1918"/>
      <c r="Z493" s="1918"/>
      <c r="AA493" s="1918"/>
      <c r="AB493" s="1918"/>
      <c r="AC493" s="1918"/>
      <c r="AD493" s="1918"/>
      <c r="AE493" s="1918"/>
    </row>
    <row r="494" spans="1:31" ht="15.75" customHeight="1">
      <c r="A494" s="1918"/>
      <c r="B494" s="1918"/>
      <c r="C494" s="1918"/>
      <c r="D494" s="1918"/>
      <c r="E494" s="1918"/>
      <c r="F494" s="1918"/>
      <c r="G494" s="1918"/>
      <c r="H494" s="1918"/>
      <c r="I494" s="1918"/>
      <c r="J494" s="1918"/>
      <c r="K494" s="1918"/>
      <c r="L494" s="1918"/>
      <c r="M494" s="1918"/>
      <c r="N494" s="1918"/>
      <c r="O494" s="1918"/>
      <c r="P494" s="1918"/>
      <c r="Q494" s="1918"/>
      <c r="R494" s="1918"/>
      <c r="S494" s="1918"/>
      <c r="T494" s="1918"/>
      <c r="U494" s="1918"/>
      <c r="V494" s="1918"/>
      <c r="W494" s="1918"/>
      <c r="X494" s="1918"/>
      <c r="Y494" s="1918"/>
      <c r="Z494" s="1918"/>
      <c r="AA494" s="1918"/>
      <c r="AB494" s="1918"/>
      <c r="AC494" s="1918"/>
      <c r="AD494" s="1918"/>
      <c r="AE494" s="1918"/>
    </row>
    <row r="495" spans="1:31" ht="15.75" customHeight="1">
      <c r="A495" s="1918"/>
      <c r="B495" s="1918"/>
      <c r="C495" s="1918"/>
      <c r="D495" s="1918"/>
      <c r="E495" s="1918"/>
      <c r="F495" s="1918"/>
      <c r="G495" s="1918"/>
      <c r="H495" s="1918"/>
      <c r="I495" s="1918"/>
      <c r="J495" s="1918"/>
      <c r="K495" s="1918"/>
      <c r="L495" s="1918"/>
      <c r="M495" s="1918"/>
      <c r="N495" s="1918"/>
      <c r="O495" s="1918"/>
      <c r="P495" s="1918"/>
      <c r="Q495" s="1918"/>
      <c r="R495" s="1918"/>
      <c r="S495" s="1918"/>
      <c r="T495" s="1918"/>
      <c r="U495" s="1918"/>
      <c r="V495" s="1918"/>
      <c r="W495" s="1918"/>
      <c r="X495" s="1918"/>
      <c r="Y495" s="1918"/>
      <c r="Z495" s="1918"/>
      <c r="AA495" s="1918"/>
      <c r="AB495" s="1918"/>
      <c r="AC495" s="1918"/>
      <c r="AD495" s="1918"/>
      <c r="AE495" s="1918"/>
    </row>
    <row r="496" spans="1:31" ht="15.75" customHeight="1">
      <c r="A496" s="1918"/>
      <c r="B496" s="1918"/>
      <c r="C496" s="1918"/>
      <c r="D496" s="1918"/>
      <c r="E496" s="1918"/>
      <c r="F496" s="1918"/>
      <c r="G496" s="1918"/>
      <c r="H496" s="1918"/>
      <c r="I496" s="1918"/>
      <c r="J496" s="1918"/>
      <c r="K496" s="1918"/>
      <c r="L496" s="1918"/>
      <c r="M496" s="1918"/>
      <c r="N496" s="1918"/>
      <c r="O496" s="1918"/>
      <c r="P496" s="1918"/>
      <c r="Q496" s="1918"/>
      <c r="R496" s="1918"/>
      <c r="S496" s="1918"/>
      <c r="T496" s="1918"/>
      <c r="U496" s="1918"/>
      <c r="V496" s="1918"/>
      <c r="W496" s="1918"/>
      <c r="X496" s="1918"/>
      <c r="Y496" s="1918"/>
      <c r="Z496" s="1918"/>
      <c r="AA496" s="1918"/>
      <c r="AB496" s="1918"/>
      <c r="AC496" s="1918"/>
      <c r="AD496" s="1918"/>
      <c r="AE496" s="1918"/>
    </row>
    <row r="497" spans="1:31" ht="15.75" customHeight="1">
      <c r="A497" s="1918"/>
      <c r="B497" s="1918"/>
      <c r="C497" s="1918"/>
      <c r="D497" s="1918"/>
      <c r="E497" s="1918"/>
      <c r="F497" s="1918"/>
      <c r="G497" s="1918"/>
      <c r="H497" s="1918"/>
      <c r="I497" s="1918"/>
      <c r="J497" s="1918"/>
      <c r="K497" s="1918"/>
      <c r="L497" s="1918"/>
      <c r="M497" s="1918"/>
      <c r="N497" s="1918"/>
      <c r="O497" s="1918"/>
      <c r="P497" s="1918"/>
      <c r="Q497" s="1918"/>
      <c r="R497" s="1918"/>
      <c r="S497" s="1918"/>
      <c r="T497" s="1918"/>
      <c r="U497" s="1918"/>
      <c r="V497" s="1918"/>
      <c r="W497" s="1918"/>
      <c r="X497" s="1918"/>
      <c r="Y497" s="1918"/>
      <c r="Z497" s="1918"/>
      <c r="AA497" s="1918"/>
      <c r="AB497" s="1918"/>
      <c r="AC497" s="1918"/>
      <c r="AD497" s="1918"/>
      <c r="AE497" s="1918"/>
    </row>
    <row r="498" spans="1:31" ht="15.75" customHeight="1">
      <c r="A498" s="1918"/>
      <c r="B498" s="1918"/>
      <c r="C498" s="1918"/>
      <c r="D498" s="1918"/>
      <c r="E498" s="1918"/>
      <c r="F498" s="1918"/>
      <c r="G498" s="1918"/>
      <c r="H498" s="1918"/>
      <c r="I498" s="1918"/>
      <c r="J498" s="1918"/>
      <c r="K498" s="1918"/>
      <c r="L498" s="1918"/>
      <c r="M498" s="1918"/>
      <c r="N498" s="1918"/>
      <c r="O498" s="1918"/>
      <c r="P498" s="1918"/>
      <c r="Q498" s="1918"/>
      <c r="R498" s="1918"/>
      <c r="S498" s="1918"/>
      <c r="T498" s="1918"/>
      <c r="U498" s="1918"/>
      <c r="V498" s="1918"/>
      <c r="W498" s="1918"/>
      <c r="X498" s="1918"/>
      <c r="Y498" s="1918"/>
      <c r="Z498" s="1918"/>
      <c r="AA498" s="1918"/>
      <c r="AB498" s="1918"/>
      <c r="AC498" s="1918"/>
      <c r="AD498" s="1918"/>
      <c r="AE498" s="1918"/>
    </row>
    <row r="499" spans="1:31" ht="15.75" customHeight="1">
      <c r="A499" s="1918"/>
      <c r="B499" s="1918"/>
      <c r="C499" s="1918"/>
      <c r="D499" s="1918"/>
      <c r="E499" s="1918"/>
      <c r="F499" s="1918"/>
      <c r="G499" s="1918"/>
      <c r="H499" s="1918"/>
      <c r="I499" s="1918"/>
      <c r="J499" s="1918"/>
      <c r="K499" s="1918"/>
      <c r="L499" s="1918"/>
      <c r="M499" s="1918"/>
      <c r="N499" s="1918"/>
      <c r="O499" s="1918"/>
      <c r="P499" s="1918"/>
      <c r="Q499" s="1918"/>
      <c r="R499" s="1918"/>
      <c r="S499" s="1918"/>
      <c r="T499" s="1918"/>
      <c r="U499" s="1918"/>
      <c r="V499" s="1918"/>
      <c r="W499" s="1918"/>
      <c r="X499" s="1918"/>
      <c r="Y499" s="1918"/>
      <c r="Z499" s="1918"/>
      <c r="AA499" s="1918"/>
      <c r="AB499" s="1918"/>
      <c r="AC499" s="1918"/>
      <c r="AD499" s="1918"/>
      <c r="AE499" s="1918"/>
    </row>
    <row r="500" spans="1:31" ht="15.75" customHeight="1">
      <c r="A500" s="1918"/>
      <c r="B500" s="1918"/>
      <c r="C500" s="1918"/>
      <c r="D500" s="1918"/>
      <c r="E500" s="1918"/>
      <c r="F500" s="1918"/>
      <c r="G500" s="1918"/>
      <c r="H500" s="1918"/>
      <c r="I500" s="1918"/>
      <c r="J500" s="1918"/>
      <c r="K500" s="1918"/>
      <c r="L500" s="1918"/>
      <c r="M500" s="1918"/>
      <c r="N500" s="1918"/>
      <c r="O500" s="1918"/>
      <c r="P500" s="1918"/>
      <c r="Q500" s="1918"/>
      <c r="R500" s="1918"/>
      <c r="S500" s="1918"/>
      <c r="T500" s="1918"/>
      <c r="U500" s="1918"/>
      <c r="V500" s="1918"/>
      <c r="W500" s="1918"/>
      <c r="X500" s="1918"/>
      <c r="Y500" s="1918"/>
      <c r="Z500" s="1918"/>
      <c r="AA500" s="1918"/>
      <c r="AB500" s="1918"/>
      <c r="AC500" s="1918"/>
      <c r="AD500" s="1918"/>
      <c r="AE500" s="1918"/>
    </row>
    <row r="501" spans="1:31" ht="15.75" customHeight="1">
      <c r="A501" s="1918"/>
      <c r="B501" s="1918"/>
      <c r="C501" s="1918"/>
      <c r="D501" s="1918"/>
      <c r="E501" s="1918"/>
      <c r="F501" s="1918"/>
      <c r="G501" s="1918"/>
      <c r="H501" s="1918"/>
      <c r="I501" s="1918"/>
      <c r="J501" s="1918"/>
      <c r="K501" s="1918"/>
      <c r="L501" s="1918"/>
      <c r="M501" s="1918"/>
      <c r="N501" s="1918"/>
      <c r="O501" s="1918"/>
      <c r="P501" s="1918"/>
      <c r="Q501" s="1918"/>
      <c r="R501" s="1918"/>
      <c r="S501" s="1918"/>
      <c r="T501" s="1918"/>
      <c r="U501" s="1918"/>
      <c r="V501" s="1918"/>
      <c r="W501" s="1918"/>
      <c r="X501" s="1918"/>
      <c r="Y501" s="1918"/>
      <c r="Z501" s="1918"/>
      <c r="AA501" s="1918"/>
      <c r="AB501" s="1918"/>
      <c r="AC501" s="1918"/>
      <c r="AD501" s="1918"/>
      <c r="AE501" s="1918"/>
    </row>
    <row r="502" spans="1:31" ht="15.75" customHeight="1">
      <c r="A502" s="1918"/>
      <c r="B502" s="1918"/>
      <c r="C502" s="1918"/>
      <c r="D502" s="1918"/>
      <c r="E502" s="1918"/>
      <c r="F502" s="1918"/>
      <c r="G502" s="1918"/>
      <c r="H502" s="1918"/>
      <c r="I502" s="1918"/>
      <c r="J502" s="1918"/>
      <c r="K502" s="1918"/>
      <c r="L502" s="1918"/>
      <c r="M502" s="1918"/>
      <c r="N502" s="1918"/>
      <c r="O502" s="1918"/>
      <c r="P502" s="1918"/>
      <c r="Q502" s="1918"/>
      <c r="R502" s="1918"/>
      <c r="S502" s="1918"/>
      <c r="T502" s="1918"/>
      <c r="U502" s="1918"/>
      <c r="V502" s="1918"/>
      <c r="W502" s="1918"/>
      <c r="X502" s="1918"/>
      <c r="Y502" s="1918"/>
      <c r="Z502" s="1918"/>
      <c r="AA502" s="1918"/>
      <c r="AB502" s="1918"/>
      <c r="AC502" s="1918"/>
      <c r="AD502" s="1918"/>
      <c r="AE502" s="1918"/>
    </row>
    <row r="503" spans="1:31" ht="15.75" customHeight="1">
      <c r="A503" s="1918"/>
      <c r="B503" s="1918"/>
      <c r="C503" s="1918"/>
      <c r="D503" s="1918"/>
      <c r="E503" s="1918"/>
      <c r="F503" s="1918"/>
      <c r="G503" s="1918"/>
      <c r="H503" s="1918"/>
      <c r="I503" s="1918"/>
      <c r="J503" s="1918"/>
      <c r="K503" s="1918"/>
      <c r="L503" s="1918"/>
      <c r="M503" s="1918"/>
      <c r="N503" s="1918"/>
      <c r="O503" s="1918"/>
      <c r="P503" s="1918"/>
      <c r="Q503" s="1918"/>
      <c r="R503" s="1918"/>
      <c r="S503" s="1918"/>
      <c r="T503" s="1918"/>
      <c r="U503" s="1918"/>
      <c r="V503" s="1918"/>
      <c r="W503" s="1918"/>
      <c r="X503" s="1918"/>
      <c r="Y503" s="1918"/>
      <c r="Z503" s="1918"/>
      <c r="AA503" s="1918"/>
      <c r="AB503" s="1918"/>
      <c r="AC503" s="1918"/>
      <c r="AD503" s="1918"/>
      <c r="AE503" s="1918"/>
    </row>
    <row r="504" spans="1:31" ht="15.75" customHeight="1">
      <c r="A504" s="1918"/>
      <c r="B504" s="1918"/>
      <c r="C504" s="1918"/>
      <c r="D504" s="1918"/>
      <c r="E504" s="1918"/>
      <c r="F504" s="1918"/>
      <c r="G504" s="1918"/>
      <c r="H504" s="1918"/>
      <c r="I504" s="1918"/>
      <c r="J504" s="1918"/>
      <c r="K504" s="1918"/>
      <c r="L504" s="1918"/>
      <c r="M504" s="1918"/>
      <c r="N504" s="1918"/>
      <c r="O504" s="1918"/>
      <c r="P504" s="1918"/>
      <c r="Q504" s="1918"/>
      <c r="R504" s="1918"/>
      <c r="S504" s="1918"/>
      <c r="T504" s="1918"/>
      <c r="U504" s="1918"/>
      <c r="V504" s="1918"/>
      <c r="W504" s="1918"/>
      <c r="X504" s="1918"/>
      <c r="Y504" s="1918"/>
      <c r="Z504" s="1918"/>
      <c r="AA504" s="1918"/>
      <c r="AB504" s="1918"/>
      <c r="AC504" s="1918"/>
      <c r="AD504" s="1918"/>
      <c r="AE504" s="1918"/>
    </row>
    <row r="505" spans="1:31" ht="15.75" customHeight="1">
      <c r="A505" s="1918"/>
      <c r="B505" s="1918"/>
      <c r="C505" s="1918"/>
      <c r="D505" s="1918"/>
      <c r="E505" s="1918"/>
      <c r="F505" s="1918"/>
      <c r="G505" s="1918"/>
      <c r="H505" s="1918"/>
      <c r="I505" s="1918"/>
      <c r="J505" s="1918"/>
      <c r="K505" s="1918"/>
      <c r="L505" s="1918"/>
      <c r="M505" s="1918"/>
      <c r="N505" s="1918"/>
      <c r="O505" s="1918"/>
      <c r="P505" s="1918"/>
      <c r="Q505" s="1918"/>
      <c r="R505" s="1918"/>
      <c r="S505" s="1918"/>
      <c r="T505" s="1918"/>
      <c r="U505" s="1918"/>
      <c r="V505" s="1918"/>
      <c r="W505" s="1918"/>
      <c r="X505" s="1918"/>
      <c r="Y505" s="1918"/>
      <c r="Z505" s="1918"/>
      <c r="AA505" s="1918"/>
      <c r="AB505" s="1918"/>
      <c r="AC505" s="1918"/>
      <c r="AD505" s="1918"/>
      <c r="AE505" s="1918"/>
    </row>
    <row r="506" spans="1:31" ht="15.75" customHeight="1">
      <c r="A506" s="1918"/>
      <c r="B506" s="1918"/>
      <c r="C506" s="1918"/>
      <c r="D506" s="1918"/>
      <c r="E506" s="1918"/>
      <c r="F506" s="1918"/>
      <c r="G506" s="1918"/>
      <c r="H506" s="1918"/>
      <c r="I506" s="1918"/>
      <c r="J506" s="1918"/>
      <c r="K506" s="1918"/>
      <c r="L506" s="1918"/>
      <c r="M506" s="1918"/>
      <c r="N506" s="1918"/>
      <c r="O506" s="1918"/>
      <c r="P506" s="1918"/>
      <c r="Q506" s="1918"/>
      <c r="R506" s="1918"/>
      <c r="S506" s="1918"/>
      <c r="T506" s="1918"/>
      <c r="U506" s="1918"/>
      <c r="V506" s="1918"/>
      <c r="W506" s="1918"/>
      <c r="X506" s="1918"/>
      <c r="Y506" s="1918"/>
      <c r="Z506" s="1918"/>
      <c r="AA506" s="1918"/>
      <c r="AB506" s="1918"/>
      <c r="AC506" s="1918"/>
      <c r="AD506" s="1918"/>
      <c r="AE506" s="1918"/>
    </row>
    <row r="507" spans="1:31" ht="15.75" customHeight="1">
      <c r="A507" s="1918"/>
      <c r="B507" s="1918"/>
      <c r="C507" s="1918"/>
      <c r="D507" s="1918"/>
      <c r="E507" s="1918"/>
      <c r="F507" s="1918"/>
      <c r="G507" s="1918"/>
      <c r="H507" s="1918"/>
      <c r="I507" s="1918"/>
      <c r="J507" s="1918"/>
      <c r="K507" s="1918"/>
      <c r="L507" s="1918"/>
      <c r="M507" s="1918"/>
      <c r="N507" s="1918"/>
      <c r="O507" s="1918"/>
      <c r="P507" s="1918"/>
      <c r="Q507" s="1918"/>
      <c r="R507" s="1918"/>
      <c r="S507" s="1918"/>
      <c r="T507" s="1918"/>
      <c r="U507" s="1918"/>
      <c r="V507" s="1918"/>
      <c r="W507" s="1918"/>
      <c r="X507" s="1918"/>
      <c r="Y507" s="1918"/>
      <c r="Z507" s="1918"/>
      <c r="AA507" s="1918"/>
      <c r="AB507" s="1918"/>
      <c r="AC507" s="1918"/>
      <c r="AD507" s="1918"/>
      <c r="AE507" s="1918"/>
    </row>
    <row r="508" spans="1:31" ht="15.75" customHeight="1">
      <c r="A508" s="1918"/>
      <c r="B508" s="1918"/>
      <c r="C508" s="1918"/>
      <c r="D508" s="1918"/>
      <c r="E508" s="1918"/>
      <c r="F508" s="1918"/>
      <c r="G508" s="1918"/>
      <c r="H508" s="1918"/>
      <c r="I508" s="1918"/>
      <c r="J508" s="1918"/>
      <c r="K508" s="1918"/>
      <c r="L508" s="1918"/>
      <c r="M508" s="1918"/>
      <c r="N508" s="1918"/>
      <c r="O508" s="1918"/>
      <c r="P508" s="1918"/>
      <c r="Q508" s="1918"/>
      <c r="R508" s="1918"/>
      <c r="S508" s="1918"/>
      <c r="T508" s="1918"/>
      <c r="U508" s="1918"/>
      <c r="V508" s="1918"/>
      <c r="W508" s="1918"/>
      <c r="X508" s="1918"/>
      <c r="Y508" s="1918"/>
      <c r="Z508" s="1918"/>
      <c r="AA508" s="1918"/>
      <c r="AB508" s="1918"/>
      <c r="AC508" s="1918"/>
      <c r="AD508" s="1918"/>
      <c r="AE508" s="1918"/>
    </row>
    <row r="509" spans="1:31" ht="15.75" customHeight="1">
      <c r="A509" s="1918"/>
      <c r="B509" s="1918"/>
      <c r="C509" s="1918"/>
      <c r="D509" s="1918"/>
      <c r="E509" s="1918"/>
      <c r="F509" s="1918"/>
      <c r="G509" s="1918"/>
      <c r="H509" s="1918"/>
      <c r="I509" s="1918"/>
      <c r="J509" s="1918"/>
      <c r="K509" s="1918"/>
      <c r="L509" s="1918"/>
      <c r="M509" s="1918"/>
      <c r="N509" s="1918"/>
      <c r="O509" s="1918"/>
      <c r="P509" s="1918"/>
      <c r="Q509" s="1918"/>
      <c r="R509" s="1918"/>
      <c r="S509" s="1918"/>
      <c r="T509" s="1918"/>
      <c r="U509" s="1918"/>
      <c r="V509" s="1918"/>
      <c r="W509" s="1918"/>
      <c r="X509" s="1918"/>
      <c r="Y509" s="1918"/>
      <c r="Z509" s="1918"/>
      <c r="AA509" s="1918"/>
      <c r="AB509" s="1918"/>
      <c r="AC509" s="1918"/>
      <c r="AD509" s="1918"/>
      <c r="AE509" s="1918"/>
    </row>
    <row r="510" spans="1:31" ht="15.75" customHeight="1">
      <c r="A510" s="1918"/>
      <c r="B510" s="1918"/>
      <c r="C510" s="1918"/>
      <c r="D510" s="1918"/>
      <c r="E510" s="1918"/>
      <c r="F510" s="1918"/>
      <c r="G510" s="1918"/>
      <c r="H510" s="1918"/>
      <c r="I510" s="1918"/>
      <c r="J510" s="1918"/>
      <c r="K510" s="1918"/>
      <c r="L510" s="1918"/>
      <c r="M510" s="1918"/>
      <c r="N510" s="1918"/>
      <c r="O510" s="1918"/>
      <c r="P510" s="1918"/>
      <c r="Q510" s="1918"/>
      <c r="R510" s="1918"/>
      <c r="S510" s="1918"/>
      <c r="T510" s="1918"/>
      <c r="U510" s="1918"/>
      <c r="V510" s="1918"/>
      <c r="W510" s="1918"/>
      <c r="X510" s="1918"/>
      <c r="Y510" s="1918"/>
      <c r="Z510" s="1918"/>
      <c r="AA510" s="1918"/>
      <c r="AB510" s="1918"/>
      <c r="AC510" s="1918"/>
      <c r="AD510" s="1918"/>
      <c r="AE510" s="1918"/>
    </row>
    <row r="511" spans="1:31" ht="15.75" customHeight="1">
      <c r="A511" s="1918"/>
      <c r="B511" s="1918"/>
      <c r="C511" s="1918"/>
      <c r="D511" s="1918"/>
      <c r="E511" s="1918"/>
      <c r="F511" s="1918"/>
      <c r="G511" s="1918"/>
      <c r="H511" s="1918"/>
      <c r="I511" s="1918"/>
      <c r="J511" s="1918"/>
      <c r="K511" s="1918"/>
      <c r="L511" s="1918"/>
      <c r="M511" s="1918"/>
      <c r="N511" s="1918"/>
      <c r="O511" s="1918"/>
      <c r="P511" s="1918"/>
      <c r="Q511" s="1918"/>
      <c r="R511" s="1918"/>
      <c r="S511" s="1918"/>
      <c r="T511" s="1918"/>
      <c r="U511" s="1918"/>
      <c r="V511" s="1918"/>
      <c r="W511" s="1918"/>
      <c r="X511" s="1918"/>
      <c r="Y511" s="1918"/>
      <c r="Z511" s="1918"/>
      <c r="AA511" s="1918"/>
      <c r="AB511" s="1918"/>
      <c r="AC511" s="1918"/>
      <c r="AD511" s="1918"/>
      <c r="AE511" s="1918"/>
    </row>
    <row r="512" spans="1:31" ht="15.75" customHeight="1">
      <c r="A512" s="1918"/>
      <c r="B512" s="1918"/>
      <c r="C512" s="1918"/>
      <c r="D512" s="1918"/>
      <c r="E512" s="1918"/>
      <c r="F512" s="1918"/>
      <c r="G512" s="1918"/>
      <c r="H512" s="1918"/>
      <c r="I512" s="1918"/>
      <c r="J512" s="1918"/>
      <c r="K512" s="1918"/>
      <c r="L512" s="1918"/>
      <c r="M512" s="1918"/>
      <c r="N512" s="1918"/>
      <c r="O512" s="1918"/>
      <c r="P512" s="1918"/>
      <c r="Q512" s="1918"/>
      <c r="R512" s="1918"/>
      <c r="S512" s="1918"/>
      <c r="T512" s="1918"/>
      <c r="U512" s="1918"/>
      <c r="V512" s="1918"/>
      <c r="W512" s="1918"/>
      <c r="X512" s="1918"/>
      <c r="Y512" s="1918"/>
      <c r="Z512" s="1918"/>
      <c r="AA512" s="1918"/>
      <c r="AB512" s="1918"/>
      <c r="AC512" s="1918"/>
      <c r="AD512" s="1918"/>
      <c r="AE512" s="1918"/>
    </row>
    <row r="513" spans="1:31" ht="15.75" customHeight="1">
      <c r="A513" s="1918"/>
      <c r="B513" s="1918"/>
      <c r="C513" s="1918"/>
      <c r="D513" s="1918"/>
      <c r="E513" s="1918"/>
      <c r="F513" s="1918"/>
      <c r="G513" s="1918"/>
      <c r="H513" s="1918"/>
      <c r="I513" s="1918"/>
      <c r="J513" s="1918"/>
      <c r="K513" s="1918"/>
      <c r="L513" s="1918"/>
      <c r="M513" s="1918"/>
      <c r="N513" s="1918"/>
      <c r="O513" s="1918"/>
      <c r="P513" s="1918"/>
      <c r="Q513" s="1918"/>
      <c r="R513" s="1918"/>
      <c r="S513" s="1918"/>
      <c r="T513" s="1918"/>
      <c r="U513" s="1918"/>
      <c r="V513" s="1918"/>
      <c r="W513" s="1918"/>
      <c r="X513" s="1918"/>
      <c r="Y513" s="1918"/>
      <c r="Z513" s="1918"/>
      <c r="AA513" s="1918"/>
      <c r="AB513" s="1918"/>
      <c r="AC513" s="1918"/>
      <c r="AD513" s="1918"/>
      <c r="AE513" s="1918"/>
    </row>
    <row r="514" spans="1:31" ht="15.75" customHeight="1">
      <c r="A514" s="1918"/>
      <c r="B514" s="1918"/>
      <c r="C514" s="1918"/>
      <c r="D514" s="1918"/>
      <c r="E514" s="1918"/>
      <c r="F514" s="1918"/>
      <c r="G514" s="1918"/>
      <c r="H514" s="1918"/>
      <c r="I514" s="1918"/>
      <c r="J514" s="1918"/>
      <c r="K514" s="1918"/>
      <c r="L514" s="1918"/>
      <c r="M514" s="1918"/>
      <c r="N514" s="1918"/>
      <c r="O514" s="1918"/>
      <c r="P514" s="1918"/>
      <c r="Q514" s="1918"/>
      <c r="R514" s="1918"/>
      <c r="S514" s="1918"/>
      <c r="T514" s="1918"/>
      <c r="U514" s="1918"/>
      <c r="V514" s="1918"/>
      <c r="W514" s="1918"/>
      <c r="X514" s="1918"/>
      <c r="Y514" s="1918"/>
      <c r="Z514" s="1918"/>
      <c r="AA514" s="1918"/>
      <c r="AB514" s="1918"/>
      <c r="AC514" s="1918"/>
      <c r="AD514" s="1918"/>
      <c r="AE514" s="1918"/>
    </row>
    <row r="515" spans="1:31" ht="15.75" customHeight="1">
      <c r="A515" s="1918"/>
      <c r="B515" s="1918"/>
      <c r="C515" s="1918"/>
      <c r="D515" s="1918"/>
      <c r="E515" s="1918"/>
      <c r="F515" s="1918"/>
      <c r="G515" s="1918"/>
      <c r="H515" s="1918"/>
      <c r="I515" s="1918"/>
      <c r="J515" s="1918"/>
      <c r="K515" s="1918"/>
      <c r="L515" s="1918"/>
      <c r="M515" s="1918"/>
      <c r="N515" s="1918"/>
      <c r="O515" s="1918"/>
      <c r="P515" s="1918"/>
      <c r="Q515" s="1918"/>
      <c r="R515" s="1918"/>
      <c r="S515" s="1918"/>
      <c r="T515" s="1918"/>
      <c r="U515" s="1918"/>
      <c r="V515" s="1918"/>
      <c r="W515" s="1918"/>
      <c r="X515" s="1918"/>
      <c r="Y515" s="1918"/>
      <c r="Z515" s="1918"/>
      <c r="AA515" s="1918"/>
      <c r="AB515" s="1918"/>
      <c r="AC515" s="1918"/>
      <c r="AD515" s="1918"/>
      <c r="AE515" s="1918"/>
    </row>
    <row r="516" spans="1:31" ht="15.75" customHeight="1">
      <c r="A516" s="1918"/>
      <c r="B516" s="1918"/>
      <c r="C516" s="1918"/>
      <c r="D516" s="1918"/>
      <c r="E516" s="1918"/>
      <c r="F516" s="1918"/>
      <c r="G516" s="1918"/>
      <c r="H516" s="1918"/>
      <c r="I516" s="1918"/>
      <c r="J516" s="1918"/>
      <c r="K516" s="1918"/>
      <c r="L516" s="1918"/>
      <c r="M516" s="1918"/>
      <c r="N516" s="1918"/>
      <c r="O516" s="1918"/>
      <c r="P516" s="1918"/>
      <c r="Q516" s="1918"/>
      <c r="R516" s="1918"/>
      <c r="S516" s="1918"/>
      <c r="T516" s="1918"/>
      <c r="U516" s="1918"/>
      <c r="V516" s="1918"/>
      <c r="W516" s="1918"/>
      <c r="X516" s="1918"/>
      <c r="Y516" s="1918"/>
      <c r="Z516" s="1918"/>
      <c r="AA516" s="1918"/>
      <c r="AB516" s="1918"/>
      <c r="AC516" s="1918"/>
      <c r="AD516" s="1918"/>
      <c r="AE516" s="1918"/>
    </row>
    <row r="517" spans="1:31" ht="15.75" customHeight="1">
      <c r="A517" s="1918"/>
      <c r="B517" s="1918"/>
      <c r="C517" s="1918"/>
      <c r="D517" s="1918"/>
      <c r="E517" s="1918"/>
      <c r="F517" s="1918"/>
      <c r="G517" s="1918"/>
      <c r="H517" s="1918"/>
      <c r="I517" s="1918"/>
      <c r="J517" s="1918"/>
      <c r="K517" s="1918"/>
      <c r="L517" s="1918"/>
      <c r="M517" s="1918"/>
      <c r="N517" s="1918"/>
      <c r="O517" s="1918"/>
      <c r="P517" s="1918"/>
      <c r="Q517" s="1918"/>
      <c r="R517" s="1918"/>
      <c r="S517" s="1918"/>
      <c r="T517" s="1918"/>
      <c r="U517" s="1918"/>
      <c r="V517" s="1918"/>
      <c r="W517" s="1918"/>
      <c r="X517" s="1918"/>
      <c r="Y517" s="1918"/>
      <c r="Z517" s="1918"/>
      <c r="AA517" s="1918"/>
      <c r="AB517" s="1918"/>
      <c r="AC517" s="1918"/>
      <c r="AD517" s="1918"/>
      <c r="AE517" s="1918"/>
    </row>
    <row r="518" spans="1:31" ht="15.75" customHeight="1">
      <c r="A518" s="1918"/>
      <c r="B518" s="1918"/>
      <c r="C518" s="1918"/>
      <c r="D518" s="1918"/>
      <c r="E518" s="1918"/>
      <c r="F518" s="1918"/>
      <c r="G518" s="1918"/>
      <c r="H518" s="1918"/>
      <c r="I518" s="1918"/>
      <c r="J518" s="1918"/>
      <c r="K518" s="1918"/>
      <c r="L518" s="1918"/>
      <c r="M518" s="1918"/>
      <c r="N518" s="1918"/>
      <c r="O518" s="1918"/>
      <c r="P518" s="1918"/>
      <c r="Q518" s="1918"/>
      <c r="R518" s="1918"/>
      <c r="S518" s="1918"/>
      <c r="T518" s="1918"/>
      <c r="U518" s="1918"/>
      <c r="V518" s="1918"/>
      <c r="W518" s="1918"/>
      <c r="X518" s="1918"/>
      <c r="Y518" s="1918"/>
      <c r="Z518" s="1918"/>
      <c r="AA518" s="1918"/>
      <c r="AB518" s="1918"/>
      <c r="AC518" s="1918"/>
      <c r="AD518" s="1918"/>
      <c r="AE518" s="1918"/>
    </row>
    <row r="519" spans="1:31" ht="15.75" customHeight="1">
      <c r="A519" s="1918"/>
      <c r="B519" s="1918"/>
      <c r="C519" s="1918"/>
      <c r="D519" s="1918"/>
      <c r="E519" s="1918"/>
      <c r="F519" s="1918"/>
      <c r="G519" s="1918"/>
      <c r="H519" s="1918"/>
      <c r="I519" s="1918"/>
      <c r="J519" s="1918"/>
      <c r="K519" s="1918"/>
      <c r="L519" s="1918"/>
      <c r="M519" s="1918"/>
      <c r="N519" s="1918"/>
      <c r="O519" s="1918"/>
      <c r="P519" s="1918"/>
      <c r="Q519" s="1918"/>
      <c r="R519" s="1918"/>
      <c r="S519" s="1918"/>
      <c r="T519" s="1918"/>
      <c r="U519" s="1918"/>
      <c r="V519" s="1918"/>
      <c r="W519" s="1918"/>
      <c r="X519" s="1918"/>
      <c r="Y519" s="1918"/>
      <c r="Z519" s="1918"/>
      <c r="AA519" s="1918"/>
      <c r="AB519" s="1918"/>
      <c r="AC519" s="1918"/>
      <c r="AD519" s="1918"/>
      <c r="AE519" s="1918"/>
    </row>
    <row r="520" spans="1:31" ht="15.75" customHeight="1">
      <c r="A520" s="1918"/>
      <c r="B520" s="1918"/>
      <c r="C520" s="1918"/>
      <c r="D520" s="1918"/>
      <c r="E520" s="1918"/>
      <c r="F520" s="1918"/>
      <c r="G520" s="1918"/>
      <c r="H520" s="1918"/>
      <c r="I520" s="1918"/>
      <c r="J520" s="1918"/>
      <c r="K520" s="1918"/>
      <c r="L520" s="1918"/>
      <c r="M520" s="1918"/>
      <c r="N520" s="1918"/>
      <c r="O520" s="1918"/>
      <c r="P520" s="1918"/>
      <c r="Q520" s="1918"/>
      <c r="R520" s="1918"/>
      <c r="S520" s="1918"/>
      <c r="T520" s="1918"/>
      <c r="U520" s="1918"/>
      <c r="V520" s="1918"/>
      <c r="W520" s="1918"/>
      <c r="X520" s="1918"/>
      <c r="Y520" s="1918"/>
      <c r="Z520" s="1918"/>
      <c r="AA520" s="1918"/>
      <c r="AB520" s="1918"/>
      <c r="AC520" s="1918"/>
      <c r="AD520" s="1918"/>
      <c r="AE520" s="1918"/>
    </row>
    <row r="521" spans="1:31" ht="15.75" customHeight="1">
      <c r="A521" s="1918"/>
      <c r="B521" s="1918"/>
      <c r="C521" s="1918"/>
      <c r="D521" s="1918"/>
      <c r="E521" s="1918"/>
      <c r="F521" s="1918"/>
      <c r="G521" s="1918"/>
      <c r="H521" s="1918"/>
      <c r="I521" s="1918"/>
      <c r="J521" s="1918"/>
      <c r="K521" s="1918"/>
      <c r="L521" s="1918"/>
      <c r="M521" s="1918"/>
      <c r="N521" s="1918"/>
      <c r="O521" s="1918"/>
      <c r="P521" s="1918"/>
      <c r="Q521" s="1918"/>
      <c r="R521" s="1918"/>
      <c r="S521" s="1918"/>
      <c r="T521" s="1918"/>
      <c r="U521" s="1918"/>
      <c r="V521" s="1918"/>
      <c r="W521" s="1918"/>
      <c r="X521" s="1918"/>
      <c r="Y521" s="1918"/>
      <c r="Z521" s="1918"/>
      <c r="AA521" s="1918"/>
      <c r="AB521" s="1918"/>
      <c r="AC521" s="1918"/>
      <c r="AD521" s="1918"/>
      <c r="AE521" s="1918"/>
    </row>
    <row r="522" spans="1:31" ht="15.75" customHeight="1">
      <c r="A522" s="1918"/>
      <c r="B522" s="1918"/>
      <c r="C522" s="1918"/>
      <c r="D522" s="1918"/>
      <c r="E522" s="1918"/>
      <c r="F522" s="1918"/>
      <c r="G522" s="1918"/>
      <c r="H522" s="1918"/>
      <c r="I522" s="1918"/>
      <c r="J522" s="1918"/>
      <c r="K522" s="1918"/>
      <c r="L522" s="1918"/>
      <c r="M522" s="1918"/>
      <c r="N522" s="1918"/>
      <c r="O522" s="1918"/>
      <c r="P522" s="1918"/>
      <c r="Q522" s="1918"/>
      <c r="R522" s="1918"/>
      <c r="S522" s="1918"/>
      <c r="T522" s="1918"/>
      <c r="U522" s="1918"/>
      <c r="V522" s="1918"/>
      <c r="W522" s="1918"/>
      <c r="X522" s="1918"/>
      <c r="Y522" s="1918"/>
      <c r="Z522" s="1918"/>
      <c r="AA522" s="1918"/>
      <c r="AB522" s="1918"/>
      <c r="AC522" s="1918"/>
      <c r="AD522" s="1918"/>
      <c r="AE522" s="1918"/>
    </row>
    <row r="523" spans="1:31" ht="15.75" customHeight="1">
      <c r="A523" s="1918"/>
      <c r="B523" s="1918"/>
      <c r="C523" s="1918"/>
      <c r="D523" s="1918"/>
      <c r="E523" s="1918"/>
      <c r="F523" s="1918"/>
      <c r="G523" s="1918"/>
      <c r="H523" s="1918"/>
      <c r="I523" s="1918"/>
      <c r="J523" s="1918"/>
      <c r="K523" s="1918"/>
      <c r="L523" s="1918"/>
      <c r="M523" s="1918"/>
      <c r="N523" s="1918"/>
      <c r="O523" s="1918"/>
      <c r="P523" s="1918"/>
      <c r="Q523" s="1918"/>
      <c r="R523" s="1918"/>
      <c r="S523" s="1918"/>
      <c r="T523" s="1918"/>
      <c r="U523" s="1918"/>
      <c r="V523" s="1918"/>
      <c r="W523" s="1918"/>
      <c r="X523" s="1918"/>
      <c r="Y523" s="1918"/>
      <c r="Z523" s="1918"/>
      <c r="AA523" s="1918"/>
      <c r="AB523" s="1918"/>
      <c r="AC523" s="1918"/>
      <c r="AD523" s="1918"/>
      <c r="AE523" s="1918"/>
    </row>
    <row r="524" spans="1:31" ht="15.75" customHeight="1">
      <c r="A524" s="1918"/>
      <c r="B524" s="1918"/>
      <c r="C524" s="1918"/>
      <c r="D524" s="1918"/>
      <c r="E524" s="1918"/>
      <c r="F524" s="1918"/>
      <c r="G524" s="1918"/>
      <c r="H524" s="1918"/>
      <c r="I524" s="1918"/>
      <c r="J524" s="1918"/>
      <c r="K524" s="1918"/>
      <c r="L524" s="1918"/>
      <c r="M524" s="1918"/>
      <c r="N524" s="1918"/>
      <c r="O524" s="1918"/>
      <c r="P524" s="1918"/>
      <c r="Q524" s="1918"/>
      <c r="R524" s="1918"/>
      <c r="S524" s="1918"/>
      <c r="T524" s="1918"/>
      <c r="U524" s="1918"/>
      <c r="V524" s="1918"/>
      <c r="W524" s="1918"/>
      <c r="X524" s="1918"/>
      <c r="Y524" s="1918"/>
      <c r="Z524" s="1918"/>
      <c r="AA524" s="1918"/>
      <c r="AB524" s="1918"/>
      <c r="AC524" s="1918"/>
      <c r="AD524" s="1918"/>
      <c r="AE524" s="1918"/>
    </row>
    <row r="525" spans="1:31" ht="15.75" customHeight="1">
      <c r="A525" s="1918"/>
      <c r="B525" s="1918"/>
      <c r="C525" s="1918"/>
      <c r="D525" s="1918"/>
      <c r="E525" s="1918"/>
      <c r="F525" s="1918"/>
      <c r="G525" s="1918"/>
      <c r="H525" s="1918"/>
      <c r="I525" s="1918"/>
      <c r="J525" s="1918"/>
      <c r="K525" s="1918"/>
      <c r="L525" s="1918"/>
      <c r="M525" s="1918"/>
      <c r="N525" s="1918"/>
      <c r="O525" s="1918"/>
      <c r="P525" s="1918"/>
      <c r="Q525" s="1918"/>
      <c r="R525" s="1918"/>
      <c r="S525" s="1918"/>
      <c r="T525" s="1918"/>
      <c r="U525" s="1918"/>
      <c r="V525" s="1918"/>
      <c r="W525" s="1918"/>
      <c r="X525" s="1918"/>
      <c r="Y525" s="1918"/>
      <c r="Z525" s="1918"/>
      <c r="AA525" s="1918"/>
      <c r="AB525" s="1918"/>
      <c r="AC525" s="1918"/>
      <c r="AD525" s="1918"/>
      <c r="AE525" s="1918"/>
    </row>
    <row r="526" spans="1:31" ht="15.75" customHeight="1">
      <c r="A526" s="1918"/>
      <c r="B526" s="1918"/>
      <c r="C526" s="1918"/>
      <c r="D526" s="1918"/>
      <c r="E526" s="1918"/>
      <c r="F526" s="1918"/>
      <c r="G526" s="1918"/>
      <c r="H526" s="1918"/>
      <c r="I526" s="1918"/>
      <c r="J526" s="1918"/>
      <c r="K526" s="1918"/>
      <c r="L526" s="1918"/>
      <c r="M526" s="1918"/>
      <c r="N526" s="1918"/>
      <c r="O526" s="1918"/>
      <c r="P526" s="1918"/>
      <c r="Q526" s="1918"/>
      <c r="R526" s="1918"/>
      <c r="S526" s="1918"/>
      <c r="T526" s="1918"/>
      <c r="U526" s="1918"/>
      <c r="V526" s="1918"/>
      <c r="W526" s="1918"/>
      <c r="X526" s="1918"/>
      <c r="Y526" s="1918"/>
      <c r="Z526" s="1918"/>
      <c r="AA526" s="1918"/>
      <c r="AB526" s="1918"/>
      <c r="AC526" s="1918"/>
      <c r="AD526" s="1918"/>
      <c r="AE526" s="1918"/>
    </row>
    <row r="527" spans="1:31" ht="15.75" customHeight="1">
      <c r="A527" s="1918"/>
      <c r="B527" s="1918"/>
      <c r="C527" s="1918"/>
      <c r="D527" s="1918"/>
      <c r="E527" s="1918"/>
      <c r="F527" s="1918"/>
      <c r="G527" s="1918"/>
      <c r="H527" s="1918"/>
      <c r="I527" s="1918"/>
      <c r="J527" s="1918"/>
      <c r="K527" s="1918"/>
      <c r="L527" s="1918"/>
      <c r="M527" s="1918"/>
      <c r="N527" s="1918"/>
      <c r="O527" s="1918"/>
      <c r="P527" s="1918"/>
      <c r="Q527" s="1918"/>
      <c r="R527" s="1918"/>
      <c r="S527" s="1918"/>
      <c r="T527" s="1918"/>
      <c r="U527" s="1918"/>
      <c r="V527" s="1918"/>
      <c r="W527" s="1918"/>
      <c r="X527" s="1918"/>
      <c r="Y527" s="1918"/>
      <c r="Z527" s="1918"/>
      <c r="AA527" s="1918"/>
      <c r="AB527" s="1918"/>
      <c r="AC527" s="1918"/>
      <c r="AD527" s="1918"/>
      <c r="AE527" s="1918"/>
    </row>
    <row r="528" spans="1:31" ht="15.75" customHeight="1">
      <c r="A528" s="1918"/>
      <c r="B528" s="1918"/>
      <c r="C528" s="1918"/>
      <c r="D528" s="1918"/>
      <c r="E528" s="1918"/>
      <c r="F528" s="1918"/>
      <c r="G528" s="1918"/>
      <c r="H528" s="1918"/>
      <c r="I528" s="1918"/>
      <c r="J528" s="1918"/>
      <c r="K528" s="1918"/>
      <c r="L528" s="1918"/>
      <c r="M528" s="1918"/>
      <c r="N528" s="1918"/>
      <c r="O528" s="1918"/>
      <c r="P528" s="1918"/>
      <c r="Q528" s="1918"/>
      <c r="R528" s="1918"/>
      <c r="S528" s="1918"/>
      <c r="T528" s="1918"/>
      <c r="U528" s="1918"/>
      <c r="V528" s="1918"/>
      <c r="W528" s="1918"/>
      <c r="X528" s="1918"/>
      <c r="Y528" s="1918"/>
      <c r="Z528" s="1918"/>
      <c r="AA528" s="1918"/>
      <c r="AB528" s="1918"/>
      <c r="AC528" s="1918"/>
      <c r="AD528" s="1918"/>
      <c r="AE528" s="1918"/>
    </row>
    <row r="529" spans="1:31" ht="15.75" customHeight="1">
      <c r="A529" s="1918"/>
      <c r="B529" s="1918"/>
      <c r="C529" s="1918"/>
      <c r="D529" s="1918"/>
      <c r="E529" s="1918"/>
      <c r="F529" s="1918"/>
      <c r="G529" s="1918"/>
      <c r="H529" s="1918"/>
      <c r="I529" s="1918"/>
      <c r="J529" s="1918"/>
      <c r="K529" s="1918"/>
      <c r="L529" s="1918"/>
      <c r="M529" s="1918"/>
      <c r="N529" s="1918"/>
      <c r="O529" s="1918"/>
      <c r="P529" s="1918"/>
      <c r="Q529" s="1918"/>
      <c r="R529" s="1918"/>
      <c r="S529" s="1918"/>
      <c r="T529" s="1918"/>
      <c r="U529" s="1918"/>
      <c r="V529" s="1918"/>
      <c r="W529" s="1918"/>
      <c r="X529" s="1918"/>
      <c r="Y529" s="1918"/>
      <c r="Z529" s="1918"/>
      <c r="AA529" s="1918"/>
      <c r="AB529" s="1918"/>
      <c r="AC529" s="1918"/>
      <c r="AD529" s="1918"/>
      <c r="AE529" s="1918"/>
    </row>
    <row r="530" spans="1:31" ht="15.75" customHeight="1">
      <c r="A530" s="1918"/>
      <c r="B530" s="1918"/>
      <c r="C530" s="1918"/>
      <c r="D530" s="1918"/>
      <c r="E530" s="1918"/>
      <c r="F530" s="1918"/>
      <c r="G530" s="1918"/>
      <c r="H530" s="1918"/>
      <c r="I530" s="1918"/>
      <c r="J530" s="1918"/>
      <c r="K530" s="1918"/>
      <c r="L530" s="1918"/>
      <c r="M530" s="1918"/>
      <c r="N530" s="1918"/>
      <c r="O530" s="1918"/>
      <c r="P530" s="1918"/>
      <c r="Q530" s="1918"/>
      <c r="R530" s="1918"/>
      <c r="S530" s="1918"/>
      <c r="T530" s="1918"/>
      <c r="U530" s="1918"/>
      <c r="V530" s="1918"/>
      <c r="W530" s="1918"/>
      <c r="X530" s="1918"/>
      <c r="Y530" s="1918"/>
      <c r="Z530" s="1918"/>
      <c r="AA530" s="1918"/>
      <c r="AB530" s="1918"/>
      <c r="AC530" s="1918"/>
      <c r="AD530" s="1918"/>
      <c r="AE530" s="1918"/>
    </row>
    <row r="531" spans="1:31" ht="15.75" customHeight="1">
      <c r="A531" s="1918"/>
      <c r="B531" s="1918"/>
      <c r="C531" s="1918"/>
      <c r="D531" s="1918"/>
      <c r="E531" s="1918"/>
      <c r="F531" s="1918"/>
      <c r="G531" s="1918"/>
      <c r="H531" s="1918"/>
      <c r="I531" s="1918"/>
      <c r="J531" s="1918"/>
      <c r="K531" s="1918"/>
      <c r="L531" s="1918"/>
      <c r="M531" s="1918"/>
      <c r="N531" s="1918"/>
      <c r="O531" s="1918"/>
      <c r="P531" s="1918"/>
      <c r="Q531" s="1918"/>
      <c r="R531" s="1918"/>
      <c r="S531" s="1918"/>
      <c r="T531" s="1918"/>
      <c r="U531" s="1918"/>
      <c r="V531" s="1918"/>
      <c r="W531" s="1918"/>
      <c r="X531" s="1918"/>
      <c r="Y531" s="1918"/>
      <c r="Z531" s="1918"/>
      <c r="AA531" s="1918"/>
      <c r="AB531" s="1918"/>
      <c r="AC531" s="1918"/>
      <c r="AD531" s="1918"/>
      <c r="AE531" s="1918"/>
    </row>
    <row r="532" spans="1:31" ht="15.75" customHeight="1">
      <c r="A532" s="1918"/>
      <c r="B532" s="1918"/>
      <c r="C532" s="1918"/>
      <c r="D532" s="1918"/>
      <c r="E532" s="1918"/>
      <c r="F532" s="1918"/>
      <c r="G532" s="1918"/>
      <c r="H532" s="1918"/>
      <c r="I532" s="1918"/>
      <c r="J532" s="1918"/>
      <c r="K532" s="1918"/>
      <c r="L532" s="1918"/>
      <c r="M532" s="1918"/>
      <c r="N532" s="1918"/>
      <c r="O532" s="1918"/>
      <c r="P532" s="1918"/>
      <c r="Q532" s="1918"/>
      <c r="R532" s="1918"/>
      <c r="S532" s="1918"/>
      <c r="T532" s="1918"/>
      <c r="U532" s="1918"/>
      <c r="V532" s="1918"/>
      <c r="W532" s="1918"/>
      <c r="X532" s="1918"/>
      <c r="Y532" s="1918"/>
      <c r="Z532" s="1918"/>
      <c r="AA532" s="1918"/>
      <c r="AB532" s="1918"/>
      <c r="AC532" s="1918"/>
      <c r="AD532" s="1918"/>
      <c r="AE532" s="1918"/>
    </row>
    <row r="533" spans="1:31" ht="15.75" customHeight="1">
      <c r="A533" s="1918"/>
      <c r="B533" s="1918"/>
      <c r="C533" s="1918"/>
      <c r="D533" s="1918"/>
      <c r="E533" s="1918"/>
      <c r="F533" s="1918"/>
      <c r="G533" s="1918"/>
      <c r="H533" s="1918"/>
      <c r="I533" s="1918"/>
      <c r="J533" s="1918"/>
      <c r="K533" s="1918"/>
      <c r="L533" s="1918"/>
      <c r="M533" s="1918"/>
      <c r="N533" s="1918"/>
      <c r="O533" s="1918"/>
      <c r="P533" s="1918"/>
      <c r="Q533" s="1918"/>
      <c r="R533" s="1918"/>
      <c r="S533" s="1918"/>
      <c r="T533" s="1918"/>
      <c r="U533" s="1918"/>
      <c r="V533" s="1918"/>
      <c r="W533" s="1918"/>
      <c r="X533" s="1918"/>
      <c r="Y533" s="1918"/>
      <c r="Z533" s="1918"/>
      <c r="AA533" s="1918"/>
      <c r="AB533" s="1918"/>
      <c r="AC533" s="1918"/>
      <c r="AD533" s="1918"/>
      <c r="AE533" s="1918"/>
    </row>
    <row r="534" spans="1:31" ht="15.75" customHeight="1">
      <c r="A534" s="1918"/>
      <c r="B534" s="1918"/>
      <c r="C534" s="1918"/>
      <c r="D534" s="1918"/>
      <c r="E534" s="1918"/>
      <c r="F534" s="1918"/>
      <c r="G534" s="1918"/>
      <c r="H534" s="1918"/>
      <c r="I534" s="1918"/>
      <c r="J534" s="1918"/>
      <c r="K534" s="1918"/>
      <c r="L534" s="1918"/>
      <c r="M534" s="1918"/>
      <c r="N534" s="1918"/>
      <c r="O534" s="1918"/>
      <c r="P534" s="1918"/>
      <c r="Q534" s="1918"/>
      <c r="R534" s="1918"/>
      <c r="S534" s="1918"/>
      <c r="T534" s="1918"/>
      <c r="U534" s="1918"/>
      <c r="V534" s="1918"/>
      <c r="W534" s="1918"/>
      <c r="X534" s="1918"/>
      <c r="Y534" s="1918"/>
      <c r="Z534" s="1918"/>
      <c r="AA534" s="1918"/>
      <c r="AB534" s="1918"/>
      <c r="AC534" s="1918"/>
      <c r="AD534" s="1918"/>
      <c r="AE534" s="1918"/>
    </row>
    <row r="535" spans="1:31" ht="15.75" customHeight="1">
      <c r="A535" s="1918"/>
      <c r="B535" s="1918"/>
      <c r="C535" s="1918"/>
      <c r="D535" s="1918"/>
      <c r="E535" s="1918"/>
      <c r="F535" s="1918"/>
      <c r="G535" s="1918"/>
      <c r="H535" s="1918"/>
      <c r="I535" s="1918"/>
      <c r="J535" s="1918"/>
      <c r="K535" s="1918"/>
      <c r="L535" s="1918"/>
      <c r="M535" s="1918"/>
      <c r="N535" s="1918"/>
      <c r="O535" s="1918"/>
      <c r="P535" s="1918"/>
      <c r="Q535" s="1918"/>
      <c r="R535" s="1918"/>
      <c r="S535" s="1918"/>
      <c r="T535" s="1918"/>
      <c r="U535" s="1918"/>
      <c r="V535" s="1918"/>
      <c r="W535" s="1918"/>
      <c r="X535" s="1918"/>
      <c r="Y535" s="1918"/>
      <c r="Z535" s="1918"/>
      <c r="AA535" s="1918"/>
      <c r="AB535" s="1918"/>
      <c r="AC535" s="1918"/>
      <c r="AD535" s="1918"/>
      <c r="AE535" s="1918"/>
    </row>
    <row r="536" spans="1:31" ht="15.75" customHeight="1">
      <c r="A536" s="1918"/>
      <c r="B536" s="1918"/>
      <c r="C536" s="1918"/>
      <c r="D536" s="1918"/>
      <c r="E536" s="1918"/>
      <c r="F536" s="1918"/>
      <c r="G536" s="1918"/>
      <c r="H536" s="1918"/>
      <c r="I536" s="1918"/>
      <c r="J536" s="1918"/>
      <c r="K536" s="1918"/>
      <c r="L536" s="1918"/>
      <c r="M536" s="1918"/>
      <c r="N536" s="1918"/>
      <c r="O536" s="1918"/>
      <c r="P536" s="1918"/>
      <c r="Q536" s="1918"/>
      <c r="R536" s="1918"/>
      <c r="S536" s="1918"/>
      <c r="T536" s="1918"/>
      <c r="U536" s="1918"/>
      <c r="V536" s="1918"/>
      <c r="W536" s="1918"/>
      <c r="X536" s="1918"/>
      <c r="Y536" s="1918"/>
      <c r="Z536" s="1918"/>
      <c r="AA536" s="1918"/>
      <c r="AB536" s="1918"/>
      <c r="AC536" s="1918"/>
      <c r="AD536" s="1918"/>
      <c r="AE536" s="1918"/>
    </row>
    <row r="537" spans="1:31" ht="15.75" customHeight="1">
      <c r="A537" s="1918"/>
      <c r="B537" s="1918"/>
      <c r="C537" s="1918"/>
      <c r="D537" s="1918"/>
      <c r="E537" s="1918"/>
      <c r="F537" s="1918"/>
      <c r="G537" s="1918"/>
      <c r="H537" s="1918"/>
      <c r="I537" s="1918"/>
      <c r="J537" s="1918"/>
      <c r="K537" s="1918"/>
      <c r="L537" s="1918"/>
      <c r="M537" s="1918"/>
      <c r="N537" s="1918"/>
      <c r="O537" s="1918"/>
      <c r="P537" s="1918"/>
      <c r="Q537" s="1918"/>
      <c r="R537" s="1918"/>
      <c r="S537" s="1918"/>
      <c r="T537" s="1918"/>
      <c r="U537" s="1918"/>
      <c r="V537" s="1918"/>
      <c r="W537" s="1918"/>
      <c r="X537" s="1918"/>
      <c r="Y537" s="1918"/>
      <c r="Z537" s="1918"/>
      <c r="AA537" s="1918"/>
      <c r="AB537" s="1918"/>
      <c r="AC537" s="1918"/>
      <c r="AD537" s="1918"/>
      <c r="AE537" s="1918"/>
    </row>
    <row r="538" spans="1:31" ht="15.75" customHeight="1">
      <c r="A538" s="1918"/>
      <c r="B538" s="1918"/>
      <c r="C538" s="1918"/>
      <c r="D538" s="1918"/>
      <c r="E538" s="1918"/>
      <c r="F538" s="1918"/>
      <c r="G538" s="1918"/>
      <c r="H538" s="1918"/>
      <c r="I538" s="1918"/>
      <c r="J538" s="1918"/>
      <c r="K538" s="1918"/>
      <c r="L538" s="1918"/>
      <c r="M538" s="1918"/>
      <c r="N538" s="1918"/>
      <c r="O538" s="1918"/>
      <c r="P538" s="1918"/>
      <c r="Q538" s="1918"/>
      <c r="R538" s="1918"/>
      <c r="S538" s="1918"/>
      <c r="T538" s="1918"/>
      <c r="U538" s="1918"/>
      <c r="V538" s="1918"/>
      <c r="W538" s="1918"/>
      <c r="X538" s="1918"/>
      <c r="Y538" s="1918"/>
      <c r="Z538" s="1918"/>
      <c r="AA538" s="1918"/>
      <c r="AB538" s="1918"/>
      <c r="AC538" s="1918"/>
      <c r="AD538" s="1918"/>
      <c r="AE538" s="1918"/>
    </row>
    <row r="539" spans="1:31" ht="15.75" customHeight="1">
      <c r="A539" s="1918"/>
      <c r="B539" s="1918"/>
      <c r="C539" s="1918"/>
      <c r="D539" s="1918"/>
      <c r="E539" s="1918"/>
      <c r="F539" s="1918"/>
      <c r="G539" s="1918"/>
      <c r="H539" s="1918"/>
      <c r="I539" s="1918"/>
      <c r="J539" s="1918"/>
      <c r="K539" s="1918"/>
      <c r="L539" s="1918"/>
      <c r="M539" s="1918"/>
      <c r="N539" s="1918"/>
      <c r="O539" s="1918"/>
      <c r="P539" s="1918"/>
      <c r="Q539" s="1918"/>
      <c r="R539" s="1918"/>
      <c r="S539" s="1918"/>
      <c r="T539" s="1918"/>
      <c r="U539" s="1918"/>
      <c r="V539" s="1918"/>
      <c r="W539" s="1918"/>
      <c r="X539" s="1918"/>
      <c r="Y539" s="1918"/>
      <c r="Z539" s="1918"/>
      <c r="AA539" s="1918"/>
      <c r="AB539" s="1918"/>
      <c r="AC539" s="1918"/>
      <c r="AD539" s="1918"/>
      <c r="AE539" s="1918"/>
    </row>
    <row r="540" spans="1:31" ht="15.75" customHeight="1">
      <c r="A540" s="1918"/>
      <c r="B540" s="1918"/>
      <c r="C540" s="1918"/>
      <c r="D540" s="1918"/>
      <c r="E540" s="1918"/>
      <c r="F540" s="1918"/>
      <c r="G540" s="1918"/>
      <c r="H540" s="1918"/>
      <c r="I540" s="1918"/>
      <c r="J540" s="1918"/>
      <c r="K540" s="1918"/>
      <c r="L540" s="1918"/>
      <c r="M540" s="1918"/>
      <c r="N540" s="1918"/>
      <c r="O540" s="1918"/>
      <c r="P540" s="1918"/>
      <c r="Q540" s="1918"/>
      <c r="R540" s="1918"/>
      <c r="S540" s="1918"/>
      <c r="T540" s="1918"/>
      <c r="U540" s="1918"/>
      <c r="V540" s="1918"/>
      <c r="W540" s="1918"/>
      <c r="X540" s="1918"/>
      <c r="Y540" s="1918"/>
      <c r="Z540" s="1918"/>
      <c r="AA540" s="1918"/>
      <c r="AB540" s="1918"/>
      <c r="AC540" s="1918"/>
      <c r="AD540" s="1918"/>
      <c r="AE540" s="1918"/>
    </row>
    <row r="541" spans="1:31" ht="15.75" customHeight="1">
      <c r="A541" s="1918"/>
      <c r="B541" s="1918"/>
      <c r="C541" s="1918"/>
      <c r="D541" s="1918"/>
      <c r="E541" s="1918"/>
      <c r="F541" s="1918"/>
      <c r="G541" s="1918"/>
      <c r="H541" s="1918"/>
      <c r="I541" s="1918"/>
      <c r="J541" s="1918"/>
      <c r="K541" s="1918"/>
      <c r="L541" s="1918"/>
      <c r="M541" s="1918"/>
      <c r="N541" s="1918"/>
      <c r="O541" s="1918"/>
      <c r="P541" s="1918"/>
      <c r="Q541" s="1918"/>
      <c r="R541" s="1918"/>
      <c r="S541" s="1918"/>
      <c r="T541" s="1918"/>
      <c r="U541" s="1918"/>
      <c r="V541" s="1918"/>
      <c r="W541" s="1918"/>
      <c r="X541" s="1918"/>
      <c r="Y541" s="1918"/>
      <c r="Z541" s="1918"/>
      <c r="AA541" s="1918"/>
      <c r="AB541" s="1918"/>
      <c r="AC541" s="1918"/>
      <c r="AD541" s="1918"/>
      <c r="AE541" s="1918"/>
    </row>
    <row r="542" spans="1:31" ht="15.75" customHeight="1">
      <c r="A542" s="1918"/>
      <c r="B542" s="1918"/>
      <c r="C542" s="1918"/>
      <c r="D542" s="1918"/>
      <c r="E542" s="1918"/>
      <c r="F542" s="1918"/>
      <c r="G542" s="1918"/>
      <c r="H542" s="1918"/>
      <c r="I542" s="1918"/>
      <c r="J542" s="1918"/>
      <c r="K542" s="1918"/>
      <c r="L542" s="1918"/>
      <c r="M542" s="1918"/>
      <c r="N542" s="1918"/>
      <c r="O542" s="1918"/>
      <c r="P542" s="1918"/>
      <c r="Q542" s="1918"/>
      <c r="R542" s="1918"/>
      <c r="S542" s="1918"/>
      <c r="T542" s="1918"/>
      <c r="U542" s="1918"/>
      <c r="V542" s="1918"/>
      <c r="W542" s="1918"/>
      <c r="X542" s="1918"/>
      <c r="Y542" s="1918"/>
      <c r="Z542" s="1918"/>
      <c r="AA542" s="1918"/>
      <c r="AB542" s="1918"/>
      <c r="AC542" s="1918"/>
      <c r="AD542" s="1918"/>
      <c r="AE542" s="1918"/>
    </row>
    <row r="543" spans="1:31" ht="15.75" customHeight="1">
      <c r="A543" s="1918"/>
      <c r="B543" s="1918"/>
      <c r="C543" s="1918"/>
      <c r="D543" s="1918"/>
      <c r="E543" s="1918"/>
      <c r="F543" s="1918"/>
      <c r="G543" s="1918"/>
      <c r="H543" s="1918"/>
      <c r="I543" s="1918"/>
      <c r="J543" s="1918"/>
      <c r="K543" s="1918"/>
      <c r="L543" s="1918"/>
      <c r="M543" s="1918"/>
      <c r="N543" s="1918"/>
      <c r="O543" s="1918"/>
      <c r="P543" s="1918"/>
      <c r="Q543" s="1918"/>
      <c r="R543" s="1918"/>
      <c r="S543" s="1918"/>
      <c r="T543" s="1918"/>
      <c r="U543" s="1918"/>
      <c r="V543" s="1918"/>
      <c r="W543" s="1918"/>
      <c r="X543" s="1918"/>
      <c r="Y543" s="1918"/>
      <c r="Z543" s="1918"/>
      <c r="AA543" s="1918"/>
      <c r="AB543" s="1918"/>
      <c r="AC543" s="1918"/>
      <c r="AD543" s="1918"/>
      <c r="AE543" s="1918"/>
    </row>
    <row r="544" spans="1:31" ht="15.75" customHeight="1">
      <c r="A544" s="1918"/>
      <c r="B544" s="1918"/>
      <c r="C544" s="1918"/>
      <c r="D544" s="1918"/>
      <c r="E544" s="1918"/>
      <c r="F544" s="1918"/>
      <c r="G544" s="1918"/>
      <c r="H544" s="1918"/>
      <c r="I544" s="1918"/>
      <c r="J544" s="1918"/>
      <c r="K544" s="1918"/>
      <c r="L544" s="1918"/>
      <c r="M544" s="1918"/>
      <c r="N544" s="1918"/>
      <c r="O544" s="1918"/>
      <c r="P544" s="1918"/>
      <c r="Q544" s="1918"/>
      <c r="R544" s="1918"/>
      <c r="S544" s="1918"/>
      <c r="T544" s="1918"/>
      <c r="U544" s="1918"/>
      <c r="V544" s="1918"/>
      <c r="W544" s="1918"/>
      <c r="X544" s="1918"/>
      <c r="Y544" s="1918"/>
      <c r="Z544" s="1918"/>
      <c r="AA544" s="1918"/>
      <c r="AB544" s="1918"/>
      <c r="AC544" s="1918"/>
      <c r="AD544" s="1918"/>
      <c r="AE544" s="1918"/>
    </row>
    <row r="545" spans="1:31" ht="15.75" customHeight="1">
      <c r="A545" s="1918"/>
      <c r="B545" s="1918"/>
      <c r="C545" s="1918"/>
      <c r="D545" s="1918"/>
      <c r="E545" s="1918"/>
      <c r="F545" s="1918"/>
      <c r="G545" s="1918"/>
      <c r="H545" s="1918"/>
      <c r="I545" s="1918"/>
      <c r="J545" s="1918"/>
      <c r="K545" s="1918"/>
      <c r="L545" s="1918"/>
      <c r="M545" s="1918"/>
      <c r="N545" s="1918"/>
      <c r="O545" s="1918"/>
      <c r="P545" s="1918"/>
      <c r="Q545" s="1918"/>
      <c r="R545" s="1918"/>
      <c r="S545" s="1918"/>
      <c r="T545" s="1918"/>
      <c r="U545" s="1918"/>
      <c r="V545" s="1918"/>
      <c r="W545" s="1918"/>
      <c r="X545" s="1918"/>
      <c r="Y545" s="1918"/>
      <c r="Z545" s="1918"/>
      <c r="AA545" s="1918"/>
      <c r="AB545" s="1918"/>
      <c r="AC545" s="1918"/>
      <c r="AD545" s="1918"/>
      <c r="AE545" s="1918"/>
    </row>
    <row r="546" spans="1:31" ht="15.75" customHeight="1">
      <c r="A546" s="1918"/>
      <c r="B546" s="1918"/>
      <c r="C546" s="1918"/>
      <c r="D546" s="1918"/>
      <c r="E546" s="1918"/>
      <c r="F546" s="1918"/>
      <c r="G546" s="1918"/>
      <c r="H546" s="1918"/>
      <c r="I546" s="1918"/>
      <c r="J546" s="1918"/>
      <c r="K546" s="1918"/>
      <c r="L546" s="1918"/>
      <c r="M546" s="1918"/>
      <c r="N546" s="1918"/>
      <c r="O546" s="1918"/>
      <c r="P546" s="1918"/>
      <c r="Q546" s="1918"/>
      <c r="R546" s="1918"/>
      <c r="S546" s="1918"/>
      <c r="T546" s="1918"/>
      <c r="U546" s="1918"/>
      <c r="V546" s="1918"/>
      <c r="W546" s="1918"/>
      <c r="X546" s="1918"/>
      <c r="Y546" s="1918"/>
      <c r="Z546" s="1918"/>
      <c r="AA546" s="1918"/>
      <c r="AB546" s="1918"/>
      <c r="AC546" s="1918"/>
      <c r="AD546" s="1918"/>
      <c r="AE546" s="1918"/>
    </row>
    <row r="547" spans="1:31" ht="15.75" customHeight="1">
      <c r="A547" s="1918"/>
      <c r="B547" s="1918"/>
      <c r="C547" s="1918"/>
      <c r="D547" s="1918"/>
      <c r="E547" s="1918"/>
      <c r="F547" s="1918"/>
      <c r="G547" s="1918"/>
      <c r="H547" s="1918"/>
      <c r="I547" s="1918"/>
      <c r="J547" s="1918"/>
      <c r="K547" s="1918"/>
      <c r="L547" s="1918"/>
      <c r="M547" s="1918"/>
      <c r="N547" s="1918"/>
      <c r="O547" s="1918"/>
      <c r="P547" s="1918"/>
      <c r="Q547" s="1918"/>
      <c r="R547" s="1918"/>
      <c r="S547" s="1918"/>
      <c r="T547" s="1918"/>
      <c r="U547" s="1918"/>
      <c r="V547" s="1918"/>
      <c r="W547" s="1918"/>
      <c r="X547" s="1918"/>
      <c r="Y547" s="1918"/>
      <c r="Z547" s="1918"/>
      <c r="AA547" s="1918"/>
      <c r="AB547" s="1918"/>
      <c r="AC547" s="1918"/>
      <c r="AD547" s="1918"/>
      <c r="AE547" s="1918"/>
    </row>
    <row r="548" spans="1:31" ht="15.75" customHeight="1">
      <c r="A548" s="1918"/>
      <c r="B548" s="1918"/>
      <c r="C548" s="1918"/>
      <c r="D548" s="1918"/>
      <c r="E548" s="1918"/>
      <c r="F548" s="1918"/>
      <c r="G548" s="1918"/>
      <c r="H548" s="1918"/>
      <c r="I548" s="1918"/>
      <c r="J548" s="1918"/>
      <c r="K548" s="1918"/>
      <c r="L548" s="1918"/>
      <c r="M548" s="1918"/>
      <c r="N548" s="1918"/>
      <c r="O548" s="1918"/>
      <c r="P548" s="1918"/>
      <c r="Q548" s="1918"/>
      <c r="R548" s="1918"/>
      <c r="S548" s="1918"/>
      <c r="T548" s="1918"/>
      <c r="U548" s="1918"/>
      <c r="V548" s="1918"/>
      <c r="W548" s="1918"/>
      <c r="X548" s="1918"/>
      <c r="Y548" s="1918"/>
      <c r="Z548" s="1918"/>
      <c r="AA548" s="1918"/>
      <c r="AB548" s="1918"/>
      <c r="AC548" s="1918"/>
      <c r="AD548" s="1918"/>
      <c r="AE548" s="1918"/>
    </row>
    <row r="549" spans="1:31" ht="15.75" customHeight="1">
      <c r="A549" s="1918"/>
      <c r="B549" s="1918"/>
      <c r="C549" s="1918"/>
      <c r="D549" s="1918"/>
      <c r="E549" s="1918"/>
      <c r="F549" s="1918"/>
      <c r="G549" s="1918"/>
      <c r="H549" s="1918"/>
      <c r="I549" s="1918"/>
      <c r="J549" s="1918"/>
      <c r="K549" s="1918"/>
      <c r="L549" s="1918"/>
      <c r="M549" s="1918"/>
      <c r="N549" s="1918"/>
      <c r="O549" s="1918"/>
      <c r="P549" s="1918"/>
      <c r="Q549" s="1918"/>
      <c r="R549" s="1918"/>
      <c r="S549" s="1918"/>
      <c r="T549" s="1918"/>
      <c r="U549" s="1918"/>
      <c r="V549" s="1918"/>
      <c r="W549" s="1918"/>
      <c r="X549" s="1918"/>
      <c r="Y549" s="1918"/>
      <c r="Z549" s="1918"/>
      <c r="AA549" s="1918"/>
      <c r="AB549" s="1918"/>
      <c r="AC549" s="1918"/>
      <c r="AD549" s="1918"/>
      <c r="AE549" s="1918"/>
    </row>
    <row r="550" spans="1:31" ht="15.75" customHeight="1">
      <c r="A550" s="1918"/>
      <c r="B550" s="1918"/>
      <c r="C550" s="1918"/>
      <c r="D550" s="1918"/>
      <c r="E550" s="1918"/>
      <c r="F550" s="1918"/>
      <c r="G550" s="1918"/>
      <c r="H550" s="1918"/>
      <c r="I550" s="1918"/>
      <c r="J550" s="1918"/>
      <c r="K550" s="1918"/>
      <c r="L550" s="1918"/>
      <c r="M550" s="1918"/>
      <c r="N550" s="1918"/>
      <c r="O550" s="1918"/>
      <c r="P550" s="1918"/>
      <c r="Q550" s="1918"/>
      <c r="R550" s="1918"/>
      <c r="S550" s="1918"/>
      <c r="T550" s="1918"/>
      <c r="U550" s="1918"/>
      <c r="V550" s="1918"/>
      <c r="W550" s="1918"/>
      <c r="X550" s="1918"/>
      <c r="Y550" s="1918"/>
      <c r="Z550" s="1918"/>
      <c r="AA550" s="1918"/>
      <c r="AB550" s="1918"/>
      <c r="AC550" s="1918"/>
      <c r="AD550" s="1918"/>
      <c r="AE550" s="1918"/>
    </row>
    <row r="551" spans="1:31" ht="15.75" customHeight="1">
      <c r="A551" s="1918"/>
      <c r="B551" s="1918"/>
      <c r="C551" s="1918"/>
      <c r="D551" s="1918"/>
      <c r="E551" s="1918"/>
      <c r="F551" s="1918"/>
      <c r="G551" s="1918"/>
      <c r="H551" s="1918"/>
      <c r="I551" s="1918"/>
      <c r="J551" s="1918"/>
      <c r="K551" s="1918"/>
      <c r="L551" s="1918"/>
      <c r="M551" s="1918"/>
      <c r="N551" s="1918"/>
      <c r="O551" s="1918"/>
      <c r="P551" s="1918"/>
      <c r="Q551" s="1918"/>
      <c r="R551" s="1918"/>
      <c r="S551" s="1918"/>
      <c r="T551" s="1918"/>
      <c r="U551" s="1918"/>
      <c r="V551" s="1918"/>
      <c r="W551" s="1918"/>
      <c r="X551" s="1918"/>
      <c r="Y551" s="1918"/>
      <c r="Z551" s="1918"/>
      <c r="AA551" s="1918"/>
      <c r="AB551" s="1918"/>
      <c r="AC551" s="1918"/>
      <c r="AD551" s="1918"/>
      <c r="AE551" s="1918"/>
    </row>
    <row r="552" spans="1:31" ht="15.75" customHeight="1">
      <c r="A552" s="1918"/>
      <c r="B552" s="1918"/>
      <c r="C552" s="1918"/>
      <c r="D552" s="1918"/>
      <c r="E552" s="1918"/>
      <c r="F552" s="1918"/>
      <c r="G552" s="1918"/>
      <c r="H552" s="1918"/>
      <c r="I552" s="1918"/>
      <c r="J552" s="1918"/>
      <c r="K552" s="1918"/>
      <c r="L552" s="1918"/>
      <c r="M552" s="1918"/>
      <c r="N552" s="1918"/>
      <c r="O552" s="1918"/>
      <c r="P552" s="1918"/>
      <c r="Q552" s="1918"/>
      <c r="R552" s="1918"/>
      <c r="S552" s="1918"/>
      <c r="T552" s="1918"/>
      <c r="U552" s="1918"/>
      <c r="V552" s="1918"/>
      <c r="W552" s="1918"/>
      <c r="X552" s="1918"/>
      <c r="Y552" s="1918"/>
      <c r="Z552" s="1918"/>
      <c r="AA552" s="1918"/>
      <c r="AB552" s="1918"/>
      <c r="AC552" s="1918"/>
      <c r="AD552" s="1918"/>
      <c r="AE552" s="1918"/>
    </row>
    <row r="553" spans="1:31" ht="15.75" customHeight="1">
      <c r="A553" s="1918"/>
      <c r="B553" s="1918"/>
      <c r="C553" s="1918"/>
      <c r="D553" s="1918"/>
      <c r="E553" s="1918"/>
      <c r="F553" s="1918"/>
      <c r="G553" s="1918"/>
      <c r="H553" s="1918"/>
      <c r="I553" s="1918"/>
      <c r="J553" s="1918"/>
      <c r="K553" s="1918"/>
      <c r="L553" s="1918"/>
      <c r="M553" s="1918"/>
      <c r="N553" s="1918"/>
      <c r="O553" s="1918"/>
      <c r="P553" s="1918"/>
      <c r="Q553" s="1918"/>
      <c r="R553" s="1918"/>
      <c r="S553" s="1918"/>
      <c r="T553" s="1918"/>
      <c r="U553" s="1918"/>
      <c r="V553" s="1918"/>
      <c r="W553" s="1918"/>
      <c r="X553" s="1918"/>
      <c r="Y553" s="1918"/>
      <c r="Z553" s="1918"/>
      <c r="AA553" s="1918"/>
      <c r="AB553" s="1918"/>
      <c r="AC553" s="1918"/>
      <c r="AD553" s="1918"/>
      <c r="AE553" s="1918"/>
    </row>
    <row r="554" spans="1:31" ht="15.75" customHeight="1">
      <c r="A554" s="1918"/>
      <c r="B554" s="1918"/>
      <c r="C554" s="1918"/>
      <c r="D554" s="1918"/>
      <c r="E554" s="1918"/>
      <c r="F554" s="1918"/>
      <c r="G554" s="1918"/>
      <c r="H554" s="1918"/>
      <c r="I554" s="1918"/>
      <c r="J554" s="1918"/>
      <c r="K554" s="1918"/>
      <c r="L554" s="1918"/>
      <c r="M554" s="1918"/>
      <c r="N554" s="1918"/>
      <c r="O554" s="1918"/>
      <c r="P554" s="1918"/>
      <c r="Q554" s="1918"/>
      <c r="R554" s="1918"/>
      <c r="S554" s="1918"/>
      <c r="T554" s="1918"/>
      <c r="U554" s="1918"/>
      <c r="V554" s="1918"/>
      <c r="W554" s="1918"/>
      <c r="X554" s="1918"/>
      <c r="Y554" s="1918"/>
      <c r="Z554" s="1918"/>
      <c r="AA554" s="1918"/>
      <c r="AB554" s="1918"/>
      <c r="AC554" s="1918"/>
      <c r="AD554" s="1918"/>
      <c r="AE554" s="1918"/>
    </row>
    <row r="555" spans="1:31" ht="15.75" customHeight="1">
      <c r="A555" s="1918"/>
      <c r="B555" s="1918"/>
      <c r="C555" s="1918"/>
      <c r="D555" s="1918"/>
      <c r="E555" s="1918"/>
      <c r="F555" s="1918"/>
      <c r="G555" s="1918"/>
      <c r="H555" s="1918"/>
      <c r="I555" s="1918"/>
      <c r="J555" s="1918"/>
      <c r="K555" s="1918"/>
      <c r="L555" s="1918"/>
      <c r="M555" s="1918"/>
      <c r="N555" s="1918"/>
      <c r="O555" s="1918"/>
      <c r="P555" s="1918"/>
      <c r="Q555" s="1918"/>
      <c r="R555" s="1918"/>
      <c r="S555" s="1918"/>
      <c r="T555" s="1918"/>
      <c r="U555" s="1918"/>
      <c r="V555" s="1918"/>
      <c r="W555" s="1918"/>
      <c r="X555" s="1918"/>
      <c r="Y555" s="1918"/>
      <c r="Z555" s="1918"/>
      <c r="AA555" s="1918"/>
      <c r="AB555" s="1918"/>
      <c r="AC555" s="1918"/>
      <c r="AD555" s="1918"/>
      <c r="AE555" s="1918"/>
    </row>
    <row r="556" spans="1:31" ht="15.75" customHeight="1">
      <c r="A556" s="1918"/>
      <c r="B556" s="1918"/>
      <c r="C556" s="1918"/>
      <c r="D556" s="1918"/>
      <c r="E556" s="1918"/>
      <c r="F556" s="1918"/>
      <c r="G556" s="1918"/>
      <c r="H556" s="1918"/>
      <c r="I556" s="1918"/>
      <c r="J556" s="1918"/>
      <c r="K556" s="1918"/>
      <c r="L556" s="1918"/>
      <c r="M556" s="1918"/>
      <c r="N556" s="1918"/>
      <c r="O556" s="1918"/>
      <c r="P556" s="1918"/>
      <c r="Q556" s="1918"/>
      <c r="R556" s="1918"/>
      <c r="S556" s="1918"/>
      <c r="T556" s="1918"/>
      <c r="U556" s="1918"/>
      <c r="V556" s="1918"/>
      <c r="W556" s="1918"/>
      <c r="X556" s="1918"/>
      <c r="Y556" s="1918"/>
      <c r="Z556" s="1918"/>
      <c r="AA556" s="1918"/>
      <c r="AB556" s="1918"/>
      <c r="AC556" s="1918"/>
      <c r="AD556" s="1918"/>
      <c r="AE556" s="1918"/>
    </row>
    <row r="557" spans="1:31" ht="15.75" customHeight="1">
      <c r="A557" s="1918"/>
      <c r="B557" s="1918"/>
      <c r="C557" s="1918"/>
      <c r="D557" s="1918"/>
      <c r="E557" s="1918"/>
      <c r="F557" s="1918"/>
      <c r="G557" s="1918"/>
      <c r="H557" s="1918"/>
      <c r="I557" s="1918"/>
      <c r="J557" s="1918"/>
      <c r="K557" s="1918"/>
      <c r="L557" s="1918"/>
      <c r="M557" s="1918"/>
      <c r="N557" s="1918"/>
      <c r="O557" s="1918"/>
      <c r="P557" s="1918"/>
      <c r="Q557" s="1918"/>
      <c r="R557" s="1918"/>
      <c r="S557" s="1918"/>
      <c r="T557" s="1918"/>
      <c r="U557" s="1918"/>
      <c r="V557" s="1918"/>
      <c r="W557" s="1918"/>
      <c r="X557" s="1918"/>
      <c r="Y557" s="1918"/>
      <c r="Z557" s="1918"/>
      <c r="AA557" s="1918"/>
      <c r="AB557" s="1918"/>
      <c r="AC557" s="1918"/>
      <c r="AD557" s="1918"/>
      <c r="AE557" s="1918"/>
    </row>
    <row r="558" spans="1:31" ht="15.75" customHeight="1">
      <c r="A558" s="1918"/>
      <c r="B558" s="1918"/>
      <c r="C558" s="1918"/>
      <c r="D558" s="1918"/>
      <c r="E558" s="1918"/>
      <c r="F558" s="1918"/>
      <c r="G558" s="1918"/>
      <c r="H558" s="1918"/>
      <c r="I558" s="1918"/>
      <c r="J558" s="1918"/>
      <c r="K558" s="1918"/>
      <c r="L558" s="1918"/>
      <c r="M558" s="1918"/>
      <c r="N558" s="1918"/>
      <c r="O558" s="1918"/>
      <c r="P558" s="1918"/>
      <c r="Q558" s="1918"/>
      <c r="R558" s="1918"/>
      <c r="S558" s="1918"/>
      <c r="T558" s="1918"/>
      <c r="U558" s="1918"/>
      <c r="V558" s="1918"/>
      <c r="W558" s="1918"/>
      <c r="X558" s="1918"/>
      <c r="Y558" s="1918"/>
      <c r="Z558" s="1918"/>
      <c r="AA558" s="1918"/>
      <c r="AB558" s="1918"/>
      <c r="AC558" s="1918"/>
      <c r="AD558" s="1918"/>
      <c r="AE558" s="1918"/>
    </row>
    <row r="559" spans="1:31" ht="15.75" customHeight="1">
      <c r="A559" s="1918"/>
      <c r="B559" s="1918"/>
      <c r="C559" s="1918"/>
      <c r="D559" s="1918"/>
      <c r="E559" s="1918"/>
      <c r="F559" s="1918"/>
      <c r="G559" s="1918"/>
      <c r="H559" s="1918"/>
      <c r="I559" s="1918"/>
      <c r="J559" s="1918"/>
      <c r="K559" s="1918"/>
      <c r="L559" s="1918"/>
      <c r="M559" s="1918"/>
      <c r="N559" s="1918"/>
      <c r="O559" s="1918"/>
      <c r="P559" s="1918"/>
      <c r="Q559" s="1918"/>
      <c r="R559" s="1918"/>
      <c r="S559" s="1918"/>
      <c r="T559" s="1918"/>
      <c r="U559" s="1918"/>
      <c r="V559" s="1918"/>
      <c r="W559" s="1918"/>
      <c r="X559" s="1918"/>
      <c r="Y559" s="1918"/>
      <c r="Z559" s="1918"/>
      <c r="AA559" s="1918"/>
      <c r="AB559" s="1918"/>
      <c r="AC559" s="1918"/>
      <c r="AD559" s="1918"/>
      <c r="AE559" s="1918"/>
    </row>
    <row r="560" spans="1:31" ht="15.75" customHeight="1">
      <c r="A560" s="1918"/>
      <c r="B560" s="1918"/>
      <c r="C560" s="1918"/>
      <c r="D560" s="1918"/>
      <c r="E560" s="1918"/>
      <c r="F560" s="1918"/>
      <c r="G560" s="1918"/>
      <c r="H560" s="1918"/>
      <c r="I560" s="1918"/>
      <c r="J560" s="1918"/>
      <c r="K560" s="1918"/>
      <c r="L560" s="1918"/>
      <c r="M560" s="1918"/>
      <c r="N560" s="1918"/>
      <c r="O560" s="1918"/>
      <c r="P560" s="1918"/>
      <c r="Q560" s="1918"/>
      <c r="R560" s="1918"/>
      <c r="S560" s="1918"/>
      <c r="T560" s="1918"/>
      <c r="U560" s="1918"/>
      <c r="V560" s="1918"/>
      <c r="W560" s="1918"/>
      <c r="X560" s="1918"/>
      <c r="Y560" s="1918"/>
      <c r="Z560" s="1918"/>
      <c r="AA560" s="1918"/>
      <c r="AB560" s="1918"/>
      <c r="AC560" s="1918"/>
      <c r="AD560" s="1918"/>
      <c r="AE560" s="1918"/>
    </row>
    <row r="561" spans="1:31" ht="15.75" customHeight="1">
      <c r="A561" s="1918"/>
      <c r="B561" s="1918"/>
      <c r="C561" s="1918"/>
      <c r="D561" s="1918"/>
      <c r="E561" s="1918"/>
      <c r="F561" s="1918"/>
      <c r="G561" s="1918"/>
      <c r="H561" s="1918"/>
      <c r="I561" s="1918"/>
      <c r="J561" s="1918"/>
      <c r="K561" s="1918"/>
      <c r="L561" s="1918"/>
      <c r="M561" s="1918"/>
      <c r="N561" s="1918"/>
      <c r="O561" s="1918"/>
      <c r="P561" s="1918"/>
      <c r="Q561" s="1918"/>
      <c r="R561" s="1918"/>
      <c r="S561" s="1918"/>
      <c r="T561" s="1918"/>
      <c r="U561" s="1918"/>
      <c r="V561" s="1918"/>
      <c r="W561" s="1918"/>
      <c r="X561" s="1918"/>
      <c r="Y561" s="1918"/>
      <c r="Z561" s="1918"/>
      <c r="AA561" s="1918"/>
      <c r="AB561" s="1918"/>
      <c r="AC561" s="1918"/>
      <c r="AD561" s="1918"/>
      <c r="AE561" s="1918"/>
    </row>
    <row r="562" spans="1:31" ht="15.75" customHeight="1">
      <c r="A562" s="1918"/>
      <c r="B562" s="1918"/>
      <c r="C562" s="1918"/>
      <c r="D562" s="1918"/>
      <c r="E562" s="1918"/>
      <c r="F562" s="1918"/>
      <c r="G562" s="1918"/>
      <c r="H562" s="1918"/>
      <c r="I562" s="1918"/>
      <c r="J562" s="1918"/>
      <c r="K562" s="1918"/>
      <c r="L562" s="1918"/>
      <c r="M562" s="1918"/>
      <c r="N562" s="1918"/>
      <c r="O562" s="1918"/>
      <c r="P562" s="1918"/>
      <c r="Q562" s="1918"/>
      <c r="R562" s="1918"/>
      <c r="S562" s="1918"/>
      <c r="T562" s="1918"/>
      <c r="U562" s="1918"/>
      <c r="V562" s="1918"/>
      <c r="W562" s="1918"/>
      <c r="X562" s="1918"/>
      <c r="Y562" s="1918"/>
      <c r="Z562" s="1918"/>
      <c r="AA562" s="1918"/>
      <c r="AB562" s="1918"/>
      <c r="AC562" s="1918"/>
      <c r="AD562" s="1918"/>
      <c r="AE562" s="1918"/>
    </row>
    <row r="563" spans="1:31" ht="15.75" customHeight="1">
      <c r="A563" s="1918"/>
      <c r="B563" s="1918"/>
      <c r="C563" s="1918"/>
      <c r="D563" s="1918"/>
      <c r="E563" s="1918"/>
      <c r="F563" s="1918"/>
      <c r="G563" s="1918"/>
      <c r="H563" s="1918"/>
      <c r="I563" s="1918"/>
      <c r="J563" s="1918"/>
      <c r="K563" s="1918"/>
      <c r="L563" s="1918"/>
      <c r="M563" s="1918"/>
      <c r="N563" s="1918"/>
      <c r="O563" s="1918"/>
      <c r="P563" s="1918"/>
      <c r="Q563" s="1918"/>
      <c r="R563" s="1918"/>
      <c r="S563" s="1918"/>
      <c r="T563" s="1918"/>
      <c r="U563" s="1918"/>
      <c r="V563" s="1918"/>
      <c r="W563" s="1918"/>
      <c r="X563" s="1918"/>
      <c r="Y563" s="1918"/>
      <c r="Z563" s="1918"/>
      <c r="AA563" s="1918"/>
      <c r="AB563" s="1918"/>
      <c r="AC563" s="1918"/>
      <c r="AD563" s="1918"/>
      <c r="AE563" s="1918"/>
    </row>
    <row r="564" spans="1:31" ht="15.75" customHeight="1">
      <c r="A564" s="1918"/>
      <c r="B564" s="1918"/>
      <c r="C564" s="1918"/>
      <c r="D564" s="1918"/>
      <c r="E564" s="1918"/>
      <c r="F564" s="1918"/>
      <c r="G564" s="1918"/>
      <c r="H564" s="1918"/>
      <c r="I564" s="1918"/>
      <c r="J564" s="1918"/>
      <c r="K564" s="1918"/>
      <c r="L564" s="1918"/>
      <c r="M564" s="1918"/>
      <c r="N564" s="1918"/>
      <c r="O564" s="1918"/>
      <c r="P564" s="1918"/>
      <c r="Q564" s="1918"/>
      <c r="R564" s="1918"/>
      <c r="S564" s="1918"/>
      <c r="T564" s="1918"/>
      <c r="U564" s="1918"/>
      <c r="V564" s="1918"/>
      <c r="W564" s="1918"/>
      <c r="X564" s="1918"/>
      <c r="Y564" s="1918"/>
      <c r="Z564" s="1918"/>
      <c r="AA564" s="1918"/>
      <c r="AB564" s="1918"/>
      <c r="AC564" s="1918"/>
      <c r="AD564" s="1918"/>
      <c r="AE564" s="1918"/>
    </row>
    <row r="565" spans="1:31" ht="15.75" customHeight="1">
      <c r="A565" s="1918"/>
      <c r="B565" s="1918"/>
      <c r="C565" s="1918"/>
      <c r="D565" s="1918"/>
      <c r="E565" s="1918"/>
      <c r="F565" s="1918"/>
      <c r="G565" s="1918"/>
      <c r="H565" s="1918"/>
      <c r="I565" s="1918"/>
      <c r="J565" s="1918"/>
      <c r="K565" s="1918"/>
      <c r="L565" s="1918"/>
      <c r="M565" s="1918"/>
      <c r="N565" s="1918"/>
      <c r="O565" s="1918"/>
      <c r="P565" s="1918"/>
      <c r="Q565" s="1918"/>
      <c r="R565" s="1918"/>
      <c r="S565" s="1918"/>
      <c r="T565" s="1918"/>
      <c r="U565" s="1918"/>
      <c r="V565" s="1918"/>
      <c r="W565" s="1918"/>
      <c r="X565" s="1918"/>
      <c r="Y565" s="1918"/>
      <c r="Z565" s="1918"/>
      <c r="AA565" s="1918"/>
      <c r="AB565" s="1918"/>
      <c r="AC565" s="1918"/>
      <c r="AD565" s="1918"/>
      <c r="AE565" s="1918"/>
    </row>
    <row r="566" spans="1:31" ht="15.75" customHeight="1">
      <c r="A566" s="1918"/>
      <c r="B566" s="1918"/>
      <c r="C566" s="1918"/>
      <c r="D566" s="1918"/>
      <c r="E566" s="1918"/>
      <c r="F566" s="1918"/>
      <c r="G566" s="1918"/>
      <c r="H566" s="1918"/>
      <c r="I566" s="1918"/>
      <c r="J566" s="1918"/>
      <c r="K566" s="1918"/>
      <c r="L566" s="1918"/>
      <c r="M566" s="1918"/>
      <c r="N566" s="1918"/>
      <c r="O566" s="1918"/>
      <c r="P566" s="1918"/>
      <c r="Q566" s="1918"/>
      <c r="R566" s="1918"/>
      <c r="S566" s="1918"/>
      <c r="T566" s="1918"/>
      <c r="U566" s="1918"/>
      <c r="V566" s="1918"/>
      <c r="W566" s="1918"/>
      <c r="X566" s="1918"/>
      <c r="Y566" s="1918"/>
      <c r="Z566" s="1918"/>
      <c r="AA566" s="1918"/>
      <c r="AB566" s="1918"/>
      <c r="AC566" s="1918"/>
      <c r="AD566" s="1918"/>
      <c r="AE566" s="1918"/>
    </row>
    <row r="567" spans="1:31" ht="15.75" customHeight="1">
      <c r="A567" s="1918"/>
      <c r="B567" s="1918"/>
      <c r="C567" s="1918"/>
      <c r="D567" s="1918"/>
      <c r="E567" s="1918"/>
      <c r="F567" s="1918"/>
      <c r="G567" s="1918"/>
      <c r="H567" s="1918"/>
      <c r="I567" s="1918"/>
      <c r="J567" s="1918"/>
      <c r="K567" s="1918"/>
      <c r="L567" s="1918"/>
      <c r="M567" s="1918"/>
      <c r="N567" s="1918"/>
      <c r="O567" s="1918"/>
      <c r="P567" s="1918"/>
      <c r="Q567" s="1918"/>
      <c r="R567" s="1918"/>
      <c r="S567" s="1918"/>
      <c r="T567" s="1918"/>
      <c r="U567" s="1918"/>
      <c r="V567" s="1918"/>
      <c r="W567" s="1918"/>
      <c r="X567" s="1918"/>
      <c r="Y567" s="1918"/>
      <c r="Z567" s="1918"/>
      <c r="AA567" s="1918"/>
      <c r="AB567" s="1918"/>
      <c r="AC567" s="1918"/>
      <c r="AD567" s="1918"/>
      <c r="AE567" s="1918"/>
    </row>
    <row r="568" spans="1:31" ht="15.75" customHeight="1">
      <c r="A568" s="1918"/>
      <c r="B568" s="1918"/>
      <c r="C568" s="1918"/>
      <c r="D568" s="1918"/>
      <c r="E568" s="1918"/>
      <c r="F568" s="1918"/>
      <c r="G568" s="1918"/>
      <c r="H568" s="1918"/>
      <c r="I568" s="1918"/>
      <c r="J568" s="1918"/>
      <c r="K568" s="1918"/>
      <c r="L568" s="1918"/>
      <c r="M568" s="1918"/>
      <c r="N568" s="1918"/>
      <c r="O568" s="1918"/>
      <c r="P568" s="1918"/>
      <c r="Q568" s="1918"/>
      <c r="R568" s="1918"/>
      <c r="S568" s="1918"/>
      <c r="T568" s="1918"/>
      <c r="U568" s="1918"/>
      <c r="V568" s="1918"/>
      <c r="W568" s="1918"/>
      <c r="X568" s="1918"/>
      <c r="Y568" s="1918"/>
      <c r="Z568" s="1918"/>
      <c r="AA568" s="1918"/>
      <c r="AB568" s="1918"/>
      <c r="AC568" s="1918"/>
      <c r="AD568" s="1918"/>
      <c r="AE568" s="1918"/>
    </row>
    <row r="569" spans="1:31" ht="15.75" customHeight="1">
      <c r="A569" s="1918"/>
      <c r="B569" s="1918"/>
      <c r="C569" s="1918"/>
      <c r="D569" s="1918"/>
      <c r="E569" s="1918"/>
      <c r="F569" s="1918"/>
      <c r="G569" s="1918"/>
      <c r="H569" s="1918"/>
      <c r="I569" s="1918"/>
      <c r="J569" s="1918"/>
      <c r="K569" s="1918"/>
      <c r="L569" s="1918"/>
      <c r="M569" s="1918"/>
      <c r="N569" s="1918"/>
      <c r="O569" s="1918"/>
      <c r="P569" s="1918"/>
      <c r="Q569" s="1918"/>
      <c r="R569" s="1918"/>
      <c r="S569" s="1918"/>
      <c r="T569" s="1918"/>
      <c r="U569" s="1918"/>
      <c r="V569" s="1918"/>
      <c r="W569" s="1918"/>
      <c r="X569" s="1918"/>
      <c r="Y569" s="1918"/>
      <c r="Z569" s="1918"/>
      <c r="AA569" s="1918"/>
      <c r="AB569" s="1918"/>
      <c r="AC569" s="1918"/>
      <c r="AD569" s="1918"/>
      <c r="AE569" s="1918"/>
    </row>
    <row r="570" spans="1:31" ht="15.75" customHeight="1">
      <c r="A570" s="1918"/>
      <c r="B570" s="1918"/>
      <c r="C570" s="1918"/>
      <c r="D570" s="1918"/>
      <c r="E570" s="1918"/>
      <c r="F570" s="1918"/>
      <c r="G570" s="1918"/>
      <c r="H570" s="1918"/>
      <c r="I570" s="1918"/>
      <c r="J570" s="1918"/>
      <c r="K570" s="1918"/>
      <c r="L570" s="1918"/>
      <c r="M570" s="1918"/>
      <c r="N570" s="1918"/>
      <c r="O570" s="1918"/>
      <c r="P570" s="1918"/>
      <c r="Q570" s="1918"/>
      <c r="R570" s="1918"/>
      <c r="S570" s="1918"/>
      <c r="T570" s="1918"/>
      <c r="U570" s="1918"/>
      <c r="V570" s="1918"/>
      <c r="W570" s="1918"/>
      <c r="X570" s="1918"/>
      <c r="Y570" s="1918"/>
      <c r="Z570" s="1918"/>
      <c r="AA570" s="1918"/>
      <c r="AB570" s="1918"/>
      <c r="AC570" s="1918"/>
      <c r="AD570" s="1918"/>
      <c r="AE570" s="1918"/>
    </row>
    <row r="571" spans="1:31" ht="15.75" customHeight="1">
      <c r="A571" s="1918"/>
      <c r="B571" s="1918"/>
      <c r="C571" s="1918"/>
      <c r="D571" s="1918"/>
      <c r="E571" s="1918"/>
      <c r="F571" s="1918"/>
      <c r="G571" s="1918"/>
      <c r="H571" s="1918"/>
      <c r="I571" s="1918"/>
      <c r="J571" s="1918"/>
      <c r="K571" s="1918"/>
      <c r="L571" s="1918"/>
      <c r="M571" s="1918"/>
      <c r="N571" s="1918"/>
      <c r="O571" s="1918"/>
      <c r="P571" s="1918"/>
      <c r="Q571" s="1918"/>
      <c r="R571" s="1918"/>
      <c r="S571" s="1918"/>
      <c r="T571" s="1918"/>
      <c r="U571" s="1918"/>
      <c r="V571" s="1918"/>
      <c r="W571" s="1918"/>
      <c r="X571" s="1918"/>
      <c r="Y571" s="1918"/>
      <c r="Z571" s="1918"/>
      <c r="AA571" s="1918"/>
      <c r="AB571" s="1918"/>
      <c r="AC571" s="1918"/>
      <c r="AD571" s="1918"/>
      <c r="AE571" s="1918"/>
    </row>
    <row r="572" spans="1:31" ht="15.75" customHeight="1">
      <c r="A572" s="1918"/>
      <c r="B572" s="1918"/>
      <c r="C572" s="1918"/>
      <c r="D572" s="1918"/>
      <c r="E572" s="1918"/>
      <c r="F572" s="1918"/>
      <c r="G572" s="1918"/>
      <c r="H572" s="1918"/>
      <c r="I572" s="1918"/>
      <c r="J572" s="1918"/>
      <c r="K572" s="1918"/>
      <c r="L572" s="1918"/>
      <c r="M572" s="1918"/>
      <c r="N572" s="1918"/>
      <c r="O572" s="1918"/>
      <c r="P572" s="1918"/>
      <c r="Q572" s="1918"/>
      <c r="R572" s="1918"/>
      <c r="S572" s="1918"/>
      <c r="T572" s="1918"/>
      <c r="U572" s="1918"/>
      <c r="V572" s="1918"/>
      <c r="W572" s="1918"/>
      <c r="X572" s="1918"/>
      <c r="Y572" s="1918"/>
      <c r="Z572" s="1918"/>
      <c r="AA572" s="1918"/>
      <c r="AB572" s="1918"/>
      <c r="AC572" s="1918"/>
      <c r="AD572" s="1918"/>
      <c r="AE572" s="1918"/>
    </row>
    <row r="573" spans="1:31" ht="15.75" customHeight="1">
      <c r="A573" s="1918"/>
      <c r="B573" s="1918"/>
      <c r="C573" s="1918"/>
      <c r="D573" s="1918"/>
      <c r="E573" s="1918"/>
      <c r="F573" s="1918"/>
      <c r="G573" s="1918"/>
      <c r="H573" s="1918"/>
      <c r="I573" s="1918"/>
      <c r="J573" s="1918"/>
      <c r="K573" s="1918"/>
      <c r="L573" s="1918"/>
      <c r="M573" s="1918"/>
      <c r="N573" s="1918"/>
      <c r="O573" s="1918"/>
      <c r="P573" s="1918"/>
      <c r="Q573" s="1918"/>
      <c r="R573" s="1918"/>
      <c r="S573" s="1918"/>
      <c r="T573" s="1918"/>
      <c r="U573" s="1918"/>
      <c r="V573" s="1918"/>
      <c r="W573" s="1918"/>
      <c r="X573" s="1918"/>
      <c r="Y573" s="1918"/>
      <c r="Z573" s="1918"/>
      <c r="AA573" s="1918"/>
      <c r="AB573" s="1918"/>
      <c r="AC573" s="1918"/>
      <c r="AD573" s="1918"/>
      <c r="AE573" s="1918"/>
    </row>
    <row r="574" spans="1:31" ht="15.75" customHeight="1">
      <c r="A574" s="1918"/>
      <c r="B574" s="1918"/>
      <c r="C574" s="1918"/>
      <c r="D574" s="1918"/>
      <c r="E574" s="1918"/>
      <c r="F574" s="1918"/>
      <c r="G574" s="1918"/>
      <c r="H574" s="1918"/>
      <c r="I574" s="1918"/>
      <c r="J574" s="1918"/>
      <c r="K574" s="1918"/>
      <c r="L574" s="1918"/>
      <c r="M574" s="1918"/>
      <c r="N574" s="1918"/>
      <c r="O574" s="1918"/>
      <c r="P574" s="1918"/>
      <c r="Q574" s="1918"/>
      <c r="R574" s="1918"/>
      <c r="S574" s="1918"/>
      <c r="T574" s="1918"/>
      <c r="U574" s="1918"/>
      <c r="V574" s="1918"/>
      <c r="W574" s="1918"/>
      <c r="X574" s="1918"/>
      <c r="Y574" s="1918"/>
      <c r="Z574" s="1918"/>
      <c r="AA574" s="1918"/>
      <c r="AB574" s="1918"/>
      <c r="AC574" s="1918"/>
      <c r="AD574" s="1918"/>
      <c r="AE574" s="1918"/>
    </row>
    <row r="575" spans="1:31" ht="15.75" customHeight="1">
      <c r="A575" s="1918"/>
      <c r="B575" s="1918"/>
      <c r="C575" s="1918"/>
      <c r="D575" s="1918"/>
      <c r="E575" s="1918"/>
      <c r="F575" s="1918"/>
      <c r="G575" s="1918"/>
      <c r="H575" s="1918"/>
      <c r="I575" s="1918"/>
      <c r="J575" s="1918"/>
      <c r="K575" s="1918"/>
      <c r="L575" s="1918"/>
      <c r="M575" s="1918"/>
      <c r="N575" s="1918"/>
      <c r="O575" s="1918"/>
      <c r="P575" s="1918"/>
      <c r="Q575" s="1918"/>
      <c r="R575" s="1918"/>
      <c r="S575" s="1918"/>
      <c r="T575" s="1918"/>
      <c r="U575" s="1918"/>
      <c r="V575" s="1918"/>
      <c r="W575" s="1918"/>
      <c r="X575" s="1918"/>
      <c r="Y575" s="1918"/>
      <c r="Z575" s="1918"/>
      <c r="AA575" s="1918"/>
      <c r="AB575" s="1918"/>
      <c r="AC575" s="1918"/>
      <c r="AD575" s="1918"/>
      <c r="AE575" s="1918"/>
    </row>
    <row r="576" spans="1:31" ht="15.75" customHeight="1">
      <c r="A576" s="1918"/>
      <c r="B576" s="1918"/>
      <c r="C576" s="1918"/>
      <c r="D576" s="1918"/>
      <c r="E576" s="1918"/>
      <c r="F576" s="1918"/>
      <c r="G576" s="1918"/>
      <c r="H576" s="1918"/>
      <c r="I576" s="1918"/>
      <c r="J576" s="1918"/>
      <c r="K576" s="1918"/>
      <c r="L576" s="1918"/>
      <c r="M576" s="1918"/>
      <c r="N576" s="1918"/>
      <c r="O576" s="1918"/>
      <c r="P576" s="1918"/>
      <c r="Q576" s="1918"/>
      <c r="R576" s="1918"/>
      <c r="S576" s="1918"/>
      <c r="T576" s="1918"/>
      <c r="U576" s="1918"/>
      <c r="V576" s="1918"/>
      <c r="W576" s="1918"/>
      <c r="X576" s="1918"/>
      <c r="Y576" s="1918"/>
      <c r="Z576" s="1918"/>
      <c r="AA576" s="1918"/>
      <c r="AB576" s="1918"/>
      <c r="AC576" s="1918"/>
      <c r="AD576" s="1918"/>
      <c r="AE576" s="1918"/>
    </row>
    <row r="577" spans="1:31" ht="15.75" customHeight="1">
      <c r="A577" s="1918"/>
      <c r="B577" s="1918"/>
      <c r="C577" s="1918"/>
      <c r="D577" s="1918"/>
      <c r="E577" s="1918"/>
      <c r="F577" s="1918"/>
      <c r="G577" s="1918"/>
      <c r="H577" s="1918"/>
      <c r="I577" s="1918"/>
      <c r="J577" s="1918"/>
      <c r="K577" s="1918"/>
      <c r="L577" s="1918"/>
      <c r="M577" s="1918"/>
      <c r="N577" s="1918"/>
      <c r="O577" s="1918"/>
      <c r="P577" s="1918"/>
      <c r="Q577" s="1918"/>
      <c r="R577" s="1918"/>
      <c r="S577" s="1918"/>
      <c r="T577" s="1918"/>
      <c r="U577" s="1918"/>
      <c r="V577" s="1918"/>
      <c r="W577" s="1918"/>
      <c r="X577" s="1918"/>
      <c r="Y577" s="1918"/>
      <c r="Z577" s="1918"/>
      <c r="AA577" s="1918"/>
      <c r="AB577" s="1918"/>
      <c r="AC577" s="1918"/>
      <c r="AD577" s="1918"/>
      <c r="AE577" s="1918"/>
    </row>
    <row r="578" spans="1:31" ht="15.75" customHeight="1">
      <c r="A578" s="1918"/>
      <c r="B578" s="1918"/>
      <c r="C578" s="1918"/>
      <c r="D578" s="1918"/>
      <c r="E578" s="1918"/>
      <c r="F578" s="1918"/>
      <c r="G578" s="1918"/>
      <c r="H578" s="1918"/>
      <c r="I578" s="1918"/>
      <c r="J578" s="1918"/>
      <c r="K578" s="1918"/>
      <c r="L578" s="1918"/>
      <c r="M578" s="1918"/>
      <c r="N578" s="1918"/>
      <c r="O578" s="1918"/>
      <c r="P578" s="1918"/>
      <c r="Q578" s="1918"/>
      <c r="R578" s="1918"/>
      <c r="S578" s="1918"/>
      <c r="T578" s="1918"/>
      <c r="U578" s="1918"/>
      <c r="V578" s="1918"/>
      <c r="W578" s="1918"/>
      <c r="X578" s="1918"/>
      <c r="Y578" s="1918"/>
      <c r="Z578" s="1918"/>
      <c r="AA578" s="1918"/>
      <c r="AB578" s="1918"/>
      <c r="AC578" s="1918"/>
      <c r="AD578" s="1918"/>
      <c r="AE578" s="1918"/>
    </row>
    <row r="579" spans="1:31" ht="15.75" customHeight="1">
      <c r="A579" s="1918"/>
      <c r="B579" s="1918"/>
      <c r="C579" s="1918"/>
      <c r="D579" s="1918"/>
      <c r="E579" s="1918"/>
      <c r="F579" s="1918"/>
      <c r="G579" s="1918"/>
      <c r="H579" s="1918"/>
      <c r="I579" s="1918"/>
      <c r="J579" s="1918"/>
      <c r="K579" s="1918"/>
      <c r="L579" s="1918"/>
      <c r="M579" s="1918"/>
      <c r="N579" s="1918"/>
      <c r="O579" s="1918"/>
      <c r="P579" s="1918"/>
      <c r="Q579" s="1918"/>
      <c r="R579" s="1918"/>
      <c r="S579" s="1918"/>
      <c r="T579" s="1918"/>
      <c r="U579" s="1918"/>
      <c r="V579" s="1918"/>
      <c r="W579" s="1918"/>
      <c r="X579" s="1918"/>
      <c r="Y579" s="1918"/>
      <c r="Z579" s="1918"/>
      <c r="AA579" s="1918"/>
      <c r="AB579" s="1918"/>
      <c r="AC579" s="1918"/>
      <c r="AD579" s="1918"/>
      <c r="AE579" s="1918"/>
    </row>
    <row r="580" spans="1:31" ht="15.75" customHeight="1">
      <c r="A580" s="1918"/>
      <c r="B580" s="1918"/>
      <c r="C580" s="1918"/>
      <c r="D580" s="1918"/>
      <c r="E580" s="1918"/>
      <c r="F580" s="1918"/>
      <c r="G580" s="1918"/>
      <c r="H580" s="1918"/>
      <c r="I580" s="1918"/>
      <c r="J580" s="1918"/>
      <c r="K580" s="1918"/>
      <c r="L580" s="1918"/>
      <c r="M580" s="1918"/>
      <c r="N580" s="1918"/>
      <c r="O580" s="1918"/>
      <c r="P580" s="1918"/>
      <c r="Q580" s="1918"/>
      <c r="R580" s="1918"/>
      <c r="S580" s="1918"/>
      <c r="T580" s="1918"/>
      <c r="U580" s="1918"/>
      <c r="V580" s="1918"/>
      <c r="W580" s="1918"/>
      <c r="X580" s="1918"/>
      <c r="Y580" s="1918"/>
      <c r="Z580" s="1918"/>
      <c r="AA580" s="1918"/>
      <c r="AB580" s="1918"/>
      <c r="AC580" s="1918"/>
      <c r="AD580" s="1918"/>
      <c r="AE580" s="1918"/>
    </row>
    <row r="581" spans="1:31" ht="15.75" customHeight="1">
      <c r="A581" s="1918"/>
      <c r="B581" s="1918"/>
      <c r="C581" s="1918"/>
      <c r="D581" s="1918"/>
      <c r="E581" s="1918"/>
      <c r="F581" s="1918"/>
      <c r="G581" s="1918"/>
      <c r="H581" s="1918"/>
      <c r="I581" s="1918"/>
      <c r="J581" s="1918"/>
      <c r="K581" s="1918"/>
      <c r="L581" s="1918"/>
      <c r="M581" s="1918"/>
      <c r="N581" s="1918"/>
      <c r="O581" s="1918"/>
      <c r="P581" s="1918"/>
      <c r="Q581" s="1918"/>
      <c r="R581" s="1918"/>
      <c r="S581" s="1918"/>
      <c r="T581" s="1918"/>
      <c r="U581" s="1918"/>
      <c r="V581" s="1918"/>
      <c r="W581" s="1918"/>
      <c r="X581" s="1918"/>
      <c r="Y581" s="1918"/>
      <c r="Z581" s="1918"/>
      <c r="AA581" s="1918"/>
      <c r="AB581" s="1918"/>
      <c r="AC581" s="1918"/>
      <c r="AD581" s="1918"/>
      <c r="AE581" s="1918"/>
    </row>
    <row r="582" spans="1:31" ht="15.75" customHeight="1">
      <c r="A582" s="1918"/>
      <c r="B582" s="1918"/>
      <c r="C582" s="1918"/>
      <c r="D582" s="1918"/>
      <c r="E582" s="1918"/>
      <c r="F582" s="1918"/>
      <c r="G582" s="1918"/>
      <c r="H582" s="1918"/>
      <c r="I582" s="1918"/>
      <c r="J582" s="1918"/>
      <c r="K582" s="1918"/>
      <c r="L582" s="1918"/>
      <c r="M582" s="1918"/>
      <c r="N582" s="1918"/>
      <c r="O582" s="1918"/>
      <c r="P582" s="1918"/>
      <c r="Q582" s="1918"/>
      <c r="R582" s="1918"/>
      <c r="S582" s="1918"/>
      <c r="T582" s="1918"/>
      <c r="U582" s="1918"/>
      <c r="V582" s="1918"/>
      <c r="W582" s="1918"/>
      <c r="X582" s="1918"/>
      <c r="Y582" s="1918"/>
      <c r="Z582" s="1918"/>
      <c r="AA582" s="1918"/>
      <c r="AB582" s="1918"/>
      <c r="AC582" s="1918"/>
      <c r="AD582" s="1918"/>
      <c r="AE582" s="1918"/>
    </row>
    <row r="583" spans="1:31" ht="15.75" customHeight="1">
      <c r="A583" s="1918"/>
      <c r="B583" s="1918"/>
      <c r="C583" s="1918"/>
      <c r="D583" s="1918"/>
      <c r="E583" s="1918"/>
      <c r="F583" s="1918"/>
      <c r="G583" s="1918"/>
      <c r="H583" s="1918"/>
      <c r="I583" s="1918"/>
      <c r="J583" s="1918"/>
      <c r="K583" s="1918"/>
      <c r="L583" s="1918"/>
      <c r="M583" s="1918"/>
      <c r="N583" s="1918"/>
      <c r="O583" s="1918"/>
      <c r="P583" s="1918"/>
      <c r="Q583" s="1918"/>
      <c r="R583" s="1918"/>
      <c r="S583" s="1918"/>
      <c r="T583" s="1918"/>
      <c r="U583" s="1918"/>
      <c r="V583" s="1918"/>
      <c r="W583" s="1918"/>
      <c r="X583" s="1918"/>
      <c r="Y583" s="1918"/>
      <c r="Z583" s="1918"/>
      <c r="AA583" s="1918"/>
      <c r="AB583" s="1918"/>
      <c r="AC583" s="1918"/>
      <c r="AD583" s="1918"/>
      <c r="AE583" s="1918"/>
    </row>
    <row r="584" spans="1:31" ht="15.75" customHeight="1">
      <c r="A584" s="1918"/>
      <c r="B584" s="1918"/>
      <c r="C584" s="1918"/>
      <c r="D584" s="1918"/>
      <c r="E584" s="1918"/>
      <c r="F584" s="1918"/>
      <c r="G584" s="1918"/>
      <c r="H584" s="1918"/>
      <c r="I584" s="1918"/>
      <c r="J584" s="1918"/>
      <c r="K584" s="1918"/>
      <c r="L584" s="1918"/>
      <c r="M584" s="1918"/>
      <c r="N584" s="1918"/>
      <c r="O584" s="1918"/>
      <c r="P584" s="1918"/>
      <c r="Q584" s="1918"/>
      <c r="R584" s="1918"/>
      <c r="S584" s="1918"/>
      <c r="T584" s="1918"/>
      <c r="U584" s="1918"/>
      <c r="V584" s="1918"/>
      <c r="W584" s="1918"/>
      <c r="X584" s="1918"/>
      <c r="Y584" s="1918"/>
      <c r="Z584" s="1918"/>
      <c r="AA584" s="1918"/>
      <c r="AB584" s="1918"/>
      <c r="AC584" s="1918"/>
      <c r="AD584" s="1918"/>
      <c r="AE584" s="1918"/>
    </row>
    <row r="585" spans="1:31" ht="15.75" customHeight="1">
      <c r="A585" s="1918"/>
      <c r="B585" s="1918"/>
      <c r="C585" s="1918"/>
      <c r="D585" s="1918"/>
      <c r="E585" s="1918"/>
      <c r="F585" s="1918"/>
      <c r="G585" s="1918"/>
      <c r="H585" s="1918"/>
      <c r="I585" s="1918"/>
      <c r="J585" s="1918"/>
      <c r="K585" s="1918"/>
      <c r="L585" s="1918"/>
      <c r="M585" s="1918"/>
      <c r="N585" s="1918"/>
      <c r="O585" s="1918"/>
      <c r="P585" s="1918"/>
      <c r="Q585" s="1918"/>
      <c r="R585" s="1918"/>
      <c r="S585" s="1918"/>
      <c r="T585" s="1918"/>
      <c r="U585" s="1918"/>
      <c r="V585" s="1918"/>
      <c r="W585" s="1918"/>
      <c r="X585" s="1918"/>
      <c r="Y585" s="1918"/>
      <c r="Z585" s="1918"/>
      <c r="AA585" s="1918"/>
      <c r="AB585" s="1918"/>
      <c r="AC585" s="1918"/>
      <c r="AD585" s="1918"/>
      <c r="AE585" s="1918"/>
    </row>
    <row r="586" spans="1:31" ht="15.75" customHeight="1">
      <c r="A586" s="1918"/>
      <c r="B586" s="1918"/>
      <c r="C586" s="1918"/>
      <c r="D586" s="1918"/>
      <c r="E586" s="1918"/>
      <c r="F586" s="1918"/>
      <c r="G586" s="1918"/>
      <c r="H586" s="1918"/>
      <c r="I586" s="1918"/>
      <c r="J586" s="1918"/>
      <c r="K586" s="1918"/>
      <c r="L586" s="1918"/>
      <c r="M586" s="1918"/>
      <c r="N586" s="1918"/>
      <c r="O586" s="1918"/>
      <c r="P586" s="1918"/>
      <c r="Q586" s="1918"/>
      <c r="R586" s="1918"/>
      <c r="S586" s="1918"/>
      <c r="T586" s="1918"/>
      <c r="U586" s="1918"/>
      <c r="V586" s="1918"/>
      <c r="W586" s="1918"/>
      <c r="X586" s="1918"/>
      <c r="Y586" s="1918"/>
      <c r="Z586" s="1918"/>
      <c r="AA586" s="1918"/>
      <c r="AB586" s="1918"/>
      <c r="AC586" s="1918"/>
      <c r="AD586" s="1918"/>
      <c r="AE586" s="1918"/>
    </row>
    <row r="587" spans="1:31" ht="15.75" customHeight="1">
      <c r="A587" s="1918"/>
      <c r="B587" s="1918"/>
      <c r="C587" s="1918"/>
      <c r="D587" s="1918"/>
      <c r="E587" s="1918"/>
      <c r="F587" s="1918"/>
      <c r="G587" s="1918"/>
      <c r="H587" s="1918"/>
      <c r="I587" s="1918"/>
      <c r="J587" s="1918"/>
      <c r="K587" s="1918"/>
      <c r="L587" s="1918"/>
      <c r="M587" s="1918"/>
      <c r="N587" s="1918"/>
      <c r="O587" s="1918"/>
      <c r="P587" s="1918"/>
      <c r="Q587" s="1918"/>
      <c r="R587" s="1918"/>
      <c r="S587" s="1918"/>
      <c r="T587" s="1918"/>
      <c r="U587" s="1918"/>
      <c r="V587" s="1918"/>
      <c r="W587" s="1918"/>
      <c r="X587" s="1918"/>
      <c r="Y587" s="1918"/>
      <c r="Z587" s="1918"/>
      <c r="AA587" s="1918"/>
      <c r="AB587" s="1918"/>
      <c r="AC587" s="1918"/>
      <c r="AD587" s="1918"/>
      <c r="AE587" s="1918"/>
    </row>
    <row r="588" spans="1:31" ht="15.75" customHeight="1">
      <c r="A588" s="1918"/>
      <c r="B588" s="1918"/>
      <c r="C588" s="1918"/>
      <c r="D588" s="1918"/>
      <c r="E588" s="1918"/>
      <c r="F588" s="1918"/>
      <c r="G588" s="1918"/>
      <c r="H588" s="1918"/>
      <c r="I588" s="1918"/>
      <c r="J588" s="1918"/>
      <c r="K588" s="1918"/>
      <c r="L588" s="1918"/>
      <c r="M588" s="1918"/>
      <c r="N588" s="1918"/>
      <c r="O588" s="1918"/>
      <c r="P588" s="1918"/>
      <c r="Q588" s="1918"/>
      <c r="R588" s="1918"/>
      <c r="S588" s="1918"/>
      <c r="T588" s="1918"/>
      <c r="U588" s="1918"/>
      <c r="V588" s="1918"/>
      <c r="W588" s="1918"/>
      <c r="X588" s="1918"/>
      <c r="Y588" s="1918"/>
      <c r="Z588" s="1918"/>
      <c r="AA588" s="1918"/>
      <c r="AB588" s="1918"/>
      <c r="AC588" s="1918"/>
      <c r="AD588" s="1918"/>
      <c r="AE588" s="1918"/>
    </row>
    <row r="589" spans="1:31" ht="15.75" customHeight="1">
      <c r="A589" s="1918"/>
      <c r="B589" s="1918"/>
      <c r="C589" s="1918"/>
      <c r="D589" s="1918"/>
      <c r="E589" s="1918"/>
      <c r="F589" s="1918"/>
      <c r="G589" s="1918"/>
      <c r="H589" s="1918"/>
      <c r="I589" s="1918"/>
      <c r="J589" s="1918"/>
      <c r="K589" s="1918"/>
      <c r="L589" s="1918"/>
      <c r="M589" s="1918"/>
      <c r="N589" s="1918"/>
      <c r="O589" s="1918"/>
      <c r="P589" s="1918"/>
      <c r="Q589" s="1918"/>
      <c r="R589" s="1918"/>
      <c r="S589" s="1918"/>
      <c r="T589" s="1918"/>
      <c r="U589" s="1918"/>
      <c r="V589" s="1918"/>
      <c r="W589" s="1918"/>
      <c r="X589" s="1918"/>
      <c r="Y589" s="1918"/>
      <c r="Z589" s="1918"/>
      <c r="AA589" s="1918"/>
      <c r="AB589" s="1918"/>
      <c r="AC589" s="1918"/>
      <c r="AD589" s="1918"/>
      <c r="AE589" s="1918"/>
    </row>
    <row r="590" spans="1:31" ht="15.75" customHeight="1">
      <c r="A590" s="1918"/>
      <c r="B590" s="1918"/>
      <c r="C590" s="1918"/>
      <c r="D590" s="1918"/>
      <c r="E590" s="1918"/>
      <c r="F590" s="1918"/>
      <c r="G590" s="1918"/>
      <c r="H590" s="1918"/>
      <c r="I590" s="1918"/>
      <c r="J590" s="1918"/>
      <c r="K590" s="1918"/>
      <c r="L590" s="1918"/>
      <c r="M590" s="1918"/>
      <c r="N590" s="1918"/>
      <c r="O590" s="1918"/>
      <c r="P590" s="1918"/>
      <c r="Q590" s="1918"/>
      <c r="R590" s="1918"/>
      <c r="S590" s="1918"/>
      <c r="T590" s="1918"/>
      <c r="U590" s="1918"/>
      <c r="V590" s="1918"/>
      <c r="W590" s="1918"/>
      <c r="X590" s="1918"/>
      <c r="Y590" s="1918"/>
      <c r="Z590" s="1918"/>
      <c r="AA590" s="1918"/>
      <c r="AB590" s="1918"/>
      <c r="AC590" s="1918"/>
      <c r="AD590" s="1918"/>
      <c r="AE590" s="1918"/>
    </row>
    <row r="591" spans="1:31" ht="15.75" customHeight="1">
      <c r="A591" s="1918"/>
      <c r="B591" s="1918"/>
      <c r="C591" s="1918"/>
      <c r="D591" s="1918"/>
      <c r="E591" s="1918"/>
      <c r="F591" s="1918"/>
      <c r="G591" s="1918"/>
      <c r="H591" s="1918"/>
      <c r="I591" s="1918"/>
      <c r="J591" s="1918"/>
      <c r="K591" s="1918"/>
      <c r="L591" s="1918"/>
      <c r="M591" s="1918"/>
      <c r="N591" s="1918"/>
      <c r="O591" s="1918"/>
      <c r="P591" s="1918"/>
      <c r="Q591" s="1918"/>
      <c r="R591" s="1918"/>
      <c r="S591" s="1918"/>
      <c r="T591" s="1918"/>
      <c r="U591" s="1918"/>
      <c r="V591" s="1918"/>
      <c r="W591" s="1918"/>
      <c r="X591" s="1918"/>
      <c r="Y591" s="1918"/>
      <c r="Z591" s="1918"/>
      <c r="AA591" s="1918"/>
      <c r="AB591" s="1918"/>
      <c r="AC591" s="1918"/>
      <c r="AD591" s="1918"/>
      <c r="AE591" s="1918"/>
    </row>
    <row r="592" spans="1:31" ht="15.75" customHeight="1">
      <c r="A592" s="1918"/>
      <c r="B592" s="1918"/>
      <c r="C592" s="1918"/>
      <c r="D592" s="1918"/>
      <c r="E592" s="1918"/>
      <c r="F592" s="1918"/>
      <c r="G592" s="1918"/>
      <c r="H592" s="1918"/>
      <c r="I592" s="1918"/>
      <c r="J592" s="1918"/>
      <c r="K592" s="1918"/>
      <c r="L592" s="1918"/>
      <c r="M592" s="1918"/>
      <c r="N592" s="1918"/>
      <c r="O592" s="1918"/>
      <c r="P592" s="1918"/>
      <c r="Q592" s="1918"/>
      <c r="R592" s="1918"/>
      <c r="S592" s="1918"/>
      <c r="T592" s="1918"/>
      <c r="U592" s="1918"/>
      <c r="V592" s="1918"/>
      <c r="W592" s="1918"/>
      <c r="X592" s="1918"/>
      <c r="Y592" s="1918"/>
      <c r="Z592" s="1918"/>
      <c r="AA592" s="1918"/>
      <c r="AB592" s="1918"/>
      <c r="AC592" s="1918"/>
      <c r="AD592" s="1918"/>
      <c r="AE592" s="1918"/>
    </row>
    <row r="593" spans="1:31" ht="15.75" customHeight="1">
      <c r="A593" s="1918"/>
      <c r="B593" s="1918"/>
      <c r="C593" s="1918"/>
      <c r="D593" s="1918"/>
      <c r="E593" s="1918"/>
      <c r="F593" s="1918"/>
      <c r="G593" s="1918"/>
      <c r="H593" s="1918"/>
      <c r="I593" s="1918"/>
      <c r="J593" s="1918"/>
      <c r="K593" s="1918"/>
      <c r="L593" s="1918"/>
      <c r="M593" s="1918"/>
      <c r="N593" s="1918"/>
      <c r="O593" s="1918"/>
      <c r="P593" s="1918"/>
      <c r="Q593" s="1918"/>
      <c r="R593" s="1918"/>
      <c r="S593" s="1918"/>
      <c r="T593" s="1918"/>
      <c r="U593" s="1918"/>
      <c r="V593" s="1918"/>
      <c r="W593" s="1918"/>
      <c r="X593" s="1918"/>
      <c r="Y593" s="1918"/>
      <c r="Z593" s="1918"/>
      <c r="AA593" s="1918"/>
      <c r="AB593" s="1918"/>
      <c r="AC593" s="1918"/>
      <c r="AD593" s="1918"/>
      <c r="AE593" s="1918"/>
    </row>
    <row r="594" spans="1:31" ht="15.75" customHeight="1">
      <c r="A594" s="1918"/>
      <c r="B594" s="1918"/>
      <c r="C594" s="1918"/>
      <c r="D594" s="1918"/>
      <c r="E594" s="1918"/>
      <c r="F594" s="1918"/>
      <c r="G594" s="1918"/>
      <c r="H594" s="1918"/>
      <c r="I594" s="1918"/>
      <c r="J594" s="1918"/>
      <c r="K594" s="1918"/>
      <c r="L594" s="1918"/>
      <c r="M594" s="1918"/>
      <c r="N594" s="1918"/>
      <c r="O594" s="1918"/>
      <c r="P594" s="1918"/>
      <c r="Q594" s="1918"/>
      <c r="R594" s="1918"/>
      <c r="S594" s="1918"/>
      <c r="T594" s="1918"/>
      <c r="U594" s="1918"/>
      <c r="V594" s="1918"/>
      <c r="W594" s="1918"/>
      <c r="X594" s="1918"/>
      <c r="Y594" s="1918"/>
      <c r="Z594" s="1918"/>
      <c r="AA594" s="1918"/>
      <c r="AB594" s="1918"/>
      <c r="AC594" s="1918"/>
      <c r="AD594" s="1918"/>
      <c r="AE594" s="1918"/>
    </row>
    <row r="595" spans="1:31" ht="15.75" customHeight="1">
      <c r="A595" s="1918"/>
      <c r="B595" s="1918"/>
      <c r="C595" s="1918"/>
      <c r="D595" s="1918"/>
      <c r="E595" s="1918"/>
      <c r="F595" s="1918"/>
      <c r="G595" s="1918"/>
      <c r="H595" s="1918"/>
      <c r="I595" s="1918"/>
      <c r="J595" s="1918"/>
      <c r="K595" s="1918"/>
      <c r="L595" s="1918"/>
      <c r="M595" s="1918"/>
      <c r="N595" s="1918"/>
      <c r="O595" s="1918"/>
      <c r="P595" s="1918"/>
      <c r="Q595" s="1918"/>
      <c r="R595" s="1918"/>
      <c r="S595" s="1918"/>
      <c r="T595" s="1918"/>
      <c r="U595" s="1918"/>
      <c r="V595" s="1918"/>
      <c r="W595" s="1918"/>
      <c r="X595" s="1918"/>
      <c r="Y595" s="1918"/>
      <c r="Z595" s="1918"/>
      <c r="AA595" s="1918"/>
      <c r="AB595" s="1918"/>
      <c r="AC595" s="1918"/>
      <c r="AD595" s="1918"/>
      <c r="AE595" s="1918"/>
    </row>
    <row r="596" spans="1:31" ht="15.75" customHeight="1">
      <c r="A596" s="1918"/>
      <c r="B596" s="1918"/>
      <c r="C596" s="1918"/>
      <c r="D596" s="1918"/>
      <c r="E596" s="1918"/>
      <c r="F596" s="1918"/>
      <c r="G596" s="1918"/>
      <c r="H596" s="1918"/>
      <c r="I596" s="1918"/>
      <c r="J596" s="1918"/>
      <c r="K596" s="1918"/>
      <c r="L596" s="1918"/>
      <c r="M596" s="1918"/>
      <c r="N596" s="1918"/>
      <c r="O596" s="1918"/>
      <c r="P596" s="1918"/>
      <c r="Q596" s="1918"/>
      <c r="R596" s="1918"/>
      <c r="S596" s="1918"/>
      <c r="T596" s="1918"/>
      <c r="U596" s="1918"/>
      <c r="V596" s="1918"/>
      <c r="W596" s="1918"/>
      <c r="X596" s="1918"/>
      <c r="Y596" s="1918"/>
      <c r="Z596" s="1918"/>
      <c r="AA596" s="1918"/>
      <c r="AB596" s="1918"/>
      <c r="AC596" s="1918"/>
      <c r="AD596" s="1918"/>
      <c r="AE596" s="1918"/>
    </row>
    <row r="597" spans="1:31" ht="15.75" customHeight="1">
      <c r="A597" s="1918"/>
      <c r="B597" s="1918"/>
      <c r="C597" s="1918"/>
      <c r="D597" s="1918"/>
      <c r="E597" s="1918"/>
      <c r="F597" s="1918"/>
      <c r="G597" s="1918"/>
      <c r="H597" s="1918"/>
      <c r="I597" s="1918"/>
      <c r="J597" s="1918"/>
      <c r="K597" s="1918"/>
      <c r="L597" s="1918"/>
      <c r="M597" s="1918"/>
      <c r="N597" s="1918"/>
      <c r="O597" s="1918"/>
      <c r="P597" s="1918"/>
      <c r="Q597" s="1918"/>
      <c r="R597" s="1918"/>
      <c r="S597" s="1918"/>
      <c r="T597" s="1918"/>
      <c r="U597" s="1918"/>
      <c r="V597" s="1918"/>
      <c r="W597" s="1918"/>
      <c r="X597" s="1918"/>
      <c r="Y597" s="1918"/>
      <c r="Z597" s="1918"/>
      <c r="AA597" s="1918"/>
      <c r="AB597" s="1918"/>
      <c r="AC597" s="1918"/>
      <c r="AD597" s="1918"/>
      <c r="AE597" s="1918"/>
    </row>
    <row r="598" spans="1:31" ht="15.75" customHeight="1">
      <c r="A598" s="1918"/>
      <c r="B598" s="1918"/>
      <c r="C598" s="1918"/>
      <c r="D598" s="1918"/>
      <c r="E598" s="1918"/>
      <c r="F598" s="1918"/>
      <c r="G598" s="1918"/>
      <c r="H598" s="1918"/>
      <c r="I598" s="1918"/>
      <c r="J598" s="1918"/>
      <c r="K598" s="1918"/>
      <c r="L598" s="1918"/>
      <c r="M598" s="1918"/>
      <c r="N598" s="1918"/>
      <c r="O598" s="1918"/>
      <c r="P598" s="1918"/>
      <c r="Q598" s="1918"/>
      <c r="R598" s="1918"/>
      <c r="S598" s="1918"/>
      <c r="T598" s="1918"/>
      <c r="U598" s="1918"/>
      <c r="V598" s="1918"/>
      <c r="W598" s="1918"/>
      <c r="X598" s="1918"/>
      <c r="Y598" s="1918"/>
      <c r="Z598" s="1918"/>
      <c r="AA598" s="1918"/>
      <c r="AB598" s="1918"/>
      <c r="AC598" s="1918"/>
      <c r="AD598" s="1918"/>
      <c r="AE598" s="1918"/>
    </row>
    <row r="599" spans="1:31" ht="15.75" customHeight="1">
      <c r="A599" s="1918"/>
      <c r="B599" s="1918"/>
      <c r="C599" s="1918"/>
      <c r="D599" s="1918"/>
      <c r="E599" s="1918"/>
      <c r="F599" s="1918"/>
      <c r="G599" s="1918"/>
      <c r="H599" s="1918"/>
      <c r="I599" s="1918"/>
      <c r="J599" s="1918"/>
      <c r="K599" s="1918"/>
      <c r="L599" s="1918"/>
      <c r="M599" s="1918"/>
      <c r="N599" s="1918"/>
      <c r="O599" s="1918"/>
      <c r="P599" s="1918"/>
      <c r="Q599" s="1918"/>
      <c r="R599" s="1918"/>
      <c r="S599" s="1918"/>
      <c r="T599" s="1918"/>
      <c r="U599" s="1918"/>
      <c r="V599" s="1918"/>
      <c r="W599" s="1918"/>
      <c r="X599" s="1918"/>
      <c r="Y599" s="1918"/>
      <c r="Z599" s="1918"/>
      <c r="AA599" s="1918"/>
      <c r="AB599" s="1918"/>
      <c r="AC599" s="1918"/>
      <c r="AD599" s="1918"/>
      <c r="AE599" s="1918"/>
    </row>
    <row r="600" spans="1:31" ht="15.75" customHeight="1">
      <c r="A600" s="1918"/>
      <c r="B600" s="1918"/>
      <c r="C600" s="1918"/>
      <c r="D600" s="1918"/>
      <c r="E600" s="1918"/>
      <c r="F600" s="1918"/>
      <c r="G600" s="1918"/>
      <c r="H600" s="1918"/>
      <c r="I600" s="1918"/>
      <c r="J600" s="1918"/>
      <c r="K600" s="1918"/>
      <c r="L600" s="1918"/>
      <c r="M600" s="1918"/>
      <c r="N600" s="1918"/>
      <c r="O600" s="1918"/>
      <c r="P600" s="1918"/>
      <c r="Q600" s="1918"/>
      <c r="R600" s="1918"/>
      <c r="S600" s="1918"/>
      <c r="T600" s="1918"/>
      <c r="U600" s="1918"/>
      <c r="V600" s="1918"/>
      <c r="W600" s="1918"/>
      <c r="X600" s="1918"/>
      <c r="Y600" s="1918"/>
      <c r="Z600" s="1918"/>
      <c r="AA600" s="1918"/>
      <c r="AB600" s="1918"/>
      <c r="AC600" s="1918"/>
      <c r="AD600" s="1918"/>
      <c r="AE600" s="1918"/>
    </row>
    <row r="601" spans="1:31" ht="15.75" customHeight="1">
      <c r="A601" s="1918"/>
      <c r="B601" s="1918"/>
      <c r="C601" s="1918"/>
      <c r="D601" s="1918"/>
      <c r="E601" s="1918"/>
      <c r="F601" s="1918"/>
      <c r="G601" s="1918"/>
      <c r="H601" s="1918"/>
      <c r="I601" s="1918"/>
      <c r="J601" s="1918"/>
      <c r="K601" s="1918"/>
      <c r="L601" s="1918"/>
      <c r="M601" s="1918"/>
      <c r="N601" s="1918"/>
      <c r="O601" s="1918"/>
      <c r="P601" s="1918"/>
      <c r="Q601" s="1918"/>
      <c r="R601" s="1918"/>
      <c r="S601" s="1918"/>
      <c r="T601" s="1918"/>
      <c r="U601" s="1918"/>
      <c r="V601" s="1918"/>
      <c r="W601" s="1918"/>
      <c r="X601" s="1918"/>
      <c r="Y601" s="1918"/>
      <c r="Z601" s="1918"/>
      <c r="AA601" s="1918"/>
      <c r="AB601" s="1918"/>
      <c r="AC601" s="1918"/>
      <c r="AD601" s="1918"/>
      <c r="AE601" s="1918"/>
    </row>
    <row r="602" spans="1:31" ht="15.75" customHeight="1">
      <c r="A602" s="1918"/>
      <c r="B602" s="1918"/>
      <c r="C602" s="1918"/>
      <c r="D602" s="1918"/>
      <c r="E602" s="1918"/>
      <c r="F602" s="1918"/>
      <c r="G602" s="1918"/>
      <c r="H602" s="1918"/>
      <c r="I602" s="1918"/>
      <c r="J602" s="1918"/>
      <c r="K602" s="1918"/>
      <c r="L602" s="1918"/>
      <c r="M602" s="1918"/>
      <c r="N602" s="1918"/>
      <c r="O602" s="1918"/>
      <c r="P602" s="1918"/>
      <c r="Q602" s="1918"/>
      <c r="R602" s="1918"/>
      <c r="S602" s="1918"/>
      <c r="T602" s="1918"/>
      <c r="U602" s="1918"/>
      <c r="V602" s="1918"/>
      <c r="W602" s="1918"/>
      <c r="X602" s="1918"/>
      <c r="Y602" s="1918"/>
      <c r="Z602" s="1918"/>
      <c r="AA602" s="1918"/>
      <c r="AB602" s="1918"/>
      <c r="AC602" s="1918"/>
      <c r="AD602" s="1918"/>
      <c r="AE602" s="1918"/>
    </row>
    <row r="603" spans="1:31" ht="15.75" customHeight="1">
      <c r="A603" s="1918"/>
      <c r="B603" s="1918"/>
      <c r="C603" s="1918"/>
      <c r="D603" s="1918"/>
      <c r="E603" s="1918"/>
      <c r="F603" s="1918"/>
      <c r="G603" s="1918"/>
      <c r="H603" s="1918"/>
      <c r="I603" s="1918"/>
      <c r="J603" s="1918"/>
      <c r="K603" s="1918"/>
      <c r="L603" s="1918"/>
      <c r="M603" s="1918"/>
      <c r="N603" s="1918"/>
      <c r="O603" s="1918"/>
      <c r="P603" s="1918"/>
      <c r="Q603" s="1918"/>
      <c r="R603" s="1918"/>
      <c r="S603" s="1918"/>
      <c r="T603" s="1918"/>
      <c r="U603" s="1918"/>
      <c r="V603" s="1918"/>
      <c r="W603" s="1918"/>
      <c r="X603" s="1918"/>
      <c r="Y603" s="1918"/>
      <c r="Z603" s="1918"/>
      <c r="AA603" s="1918"/>
      <c r="AB603" s="1918"/>
      <c r="AC603" s="1918"/>
      <c r="AD603" s="1918"/>
      <c r="AE603" s="1918"/>
    </row>
    <row r="604" spans="1:31" ht="15.75" customHeight="1">
      <c r="A604" s="1918"/>
      <c r="B604" s="1918"/>
      <c r="C604" s="1918"/>
      <c r="D604" s="1918"/>
      <c r="E604" s="1918"/>
      <c r="F604" s="1918"/>
      <c r="G604" s="1918"/>
      <c r="H604" s="1918"/>
      <c r="I604" s="1918"/>
      <c r="J604" s="1918"/>
      <c r="K604" s="1918"/>
      <c r="L604" s="1918"/>
      <c r="M604" s="1918"/>
      <c r="N604" s="1918"/>
      <c r="O604" s="1918"/>
      <c r="P604" s="1918"/>
      <c r="Q604" s="1918"/>
      <c r="R604" s="1918"/>
      <c r="S604" s="1918"/>
      <c r="T604" s="1918"/>
      <c r="U604" s="1918"/>
      <c r="V604" s="1918"/>
      <c r="W604" s="1918"/>
      <c r="X604" s="1918"/>
      <c r="Y604" s="1918"/>
      <c r="Z604" s="1918"/>
      <c r="AA604" s="1918"/>
      <c r="AB604" s="1918"/>
      <c r="AC604" s="1918"/>
      <c r="AD604" s="1918"/>
      <c r="AE604" s="1918"/>
    </row>
    <row r="605" spans="1:31" ht="15.75" customHeight="1">
      <c r="A605" s="1918"/>
      <c r="B605" s="1918"/>
      <c r="C605" s="1918"/>
      <c r="D605" s="1918"/>
      <c r="E605" s="1918"/>
      <c r="F605" s="1918"/>
      <c r="G605" s="1918"/>
      <c r="H605" s="1918"/>
      <c r="I605" s="1918"/>
      <c r="J605" s="1918"/>
      <c r="K605" s="1918"/>
      <c r="L605" s="1918"/>
      <c r="M605" s="1918"/>
      <c r="N605" s="1918"/>
      <c r="O605" s="1918"/>
      <c r="P605" s="1918"/>
      <c r="Q605" s="1918"/>
      <c r="R605" s="1918"/>
      <c r="S605" s="1918"/>
      <c r="T605" s="1918"/>
      <c r="U605" s="1918"/>
      <c r="V605" s="1918"/>
      <c r="W605" s="1918"/>
      <c r="X605" s="1918"/>
      <c r="Y605" s="1918"/>
      <c r="Z605" s="1918"/>
      <c r="AA605" s="1918"/>
      <c r="AB605" s="1918"/>
      <c r="AC605" s="1918"/>
      <c r="AD605" s="1918"/>
      <c r="AE605" s="1918"/>
    </row>
    <row r="606" spans="1:31" ht="15.75" customHeight="1">
      <c r="A606" s="1918"/>
      <c r="B606" s="1918"/>
      <c r="C606" s="1918"/>
      <c r="D606" s="1918"/>
      <c r="E606" s="1918"/>
      <c r="F606" s="1918"/>
      <c r="G606" s="1918"/>
      <c r="H606" s="1918"/>
      <c r="I606" s="1918"/>
      <c r="J606" s="1918"/>
      <c r="K606" s="1918"/>
      <c r="L606" s="1918"/>
      <c r="M606" s="1918"/>
      <c r="N606" s="1918"/>
      <c r="O606" s="1918"/>
      <c r="P606" s="1918"/>
      <c r="Q606" s="1918"/>
      <c r="R606" s="1918"/>
      <c r="S606" s="1918"/>
      <c r="T606" s="1918"/>
      <c r="U606" s="1918"/>
      <c r="V606" s="1918"/>
      <c r="W606" s="1918"/>
      <c r="X606" s="1918"/>
      <c r="Y606" s="1918"/>
      <c r="Z606" s="1918"/>
      <c r="AA606" s="1918"/>
      <c r="AB606" s="1918"/>
      <c r="AC606" s="1918"/>
      <c r="AD606" s="1918"/>
      <c r="AE606" s="1918"/>
    </row>
    <row r="607" spans="1:31" ht="15.75" customHeight="1">
      <c r="A607" s="1918"/>
      <c r="B607" s="1918"/>
      <c r="C607" s="1918"/>
      <c r="D607" s="1918"/>
      <c r="E607" s="1918"/>
      <c r="F607" s="1918"/>
      <c r="G607" s="1918"/>
      <c r="H607" s="1918"/>
      <c r="I607" s="1918"/>
      <c r="J607" s="1918"/>
      <c r="K607" s="1918"/>
      <c r="L607" s="1918"/>
      <c r="M607" s="1918"/>
      <c r="N607" s="1918"/>
      <c r="O607" s="1918"/>
      <c r="P607" s="1918"/>
      <c r="Q607" s="1918"/>
      <c r="R607" s="1918"/>
      <c r="S607" s="1918"/>
      <c r="T607" s="1918"/>
      <c r="U607" s="1918"/>
      <c r="V607" s="1918"/>
      <c r="W607" s="1918"/>
      <c r="X607" s="1918"/>
      <c r="Y607" s="1918"/>
      <c r="Z607" s="1918"/>
      <c r="AA607" s="1918"/>
      <c r="AB607" s="1918"/>
      <c r="AC607" s="1918"/>
      <c r="AD607" s="1918"/>
      <c r="AE607" s="1918"/>
    </row>
    <row r="608" spans="1:31" ht="15.75" customHeight="1">
      <c r="A608" s="1918"/>
      <c r="B608" s="1918"/>
      <c r="C608" s="1918"/>
      <c r="D608" s="1918"/>
      <c r="E608" s="1918"/>
      <c r="F608" s="1918"/>
      <c r="G608" s="1918"/>
      <c r="H608" s="1918"/>
      <c r="I608" s="1918"/>
      <c r="J608" s="1918"/>
      <c r="K608" s="1918"/>
      <c r="L608" s="1918"/>
      <c r="M608" s="1918"/>
      <c r="N608" s="1918"/>
      <c r="O608" s="1918"/>
      <c r="P608" s="1918"/>
      <c r="Q608" s="1918"/>
      <c r="R608" s="1918"/>
      <c r="S608" s="1918"/>
      <c r="T608" s="1918"/>
      <c r="U608" s="1918"/>
      <c r="V608" s="1918"/>
      <c r="W608" s="1918"/>
      <c r="X608" s="1918"/>
      <c r="Y608" s="1918"/>
      <c r="Z608" s="1918"/>
      <c r="AA608" s="1918"/>
      <c r="AB608" s="1918"/>
      <c r="AC608" s="1918"/>
      <c r="AD608" s="1918"/>
      <c r="AE608" s="1918"/>
    </row>
    <row r="609" spans="1:31" ht="15.75" customHeight="1">
      <c r="A609" s="1918"/>
      <c r="B609" s="1918"/>
      <c r="C609" s="1918"/>
      <c r="D609" s="1918"/>
      <c r="E609" s="1918"/>
      <c r="F609" s="1918"/>
      <c r="G609" s="1918"/>
      <c r="H609" s="1918"/>
      <c r="I609" s="1918"/>
      <c r="J609" s="1918"/>
      <c r="K609" s="1918"/>
      <c r="L609" s="1918"/>
      <c r="M609" s="1918"/>
      <c r="N609" s="1918"/>
      <c r="O609" s="1918"/>
      <c r="P609" s="1918"/>
      <c r="Q609" s="1918"/>
      <c r="R609" s="1918"/>
      <c r="S609" s="1918"/>
      <c r="T609" s="1918"/>
      <c r="U609" s="1918"/>
      <c r="V609" s="1918"/>
      <c r="W609" s="1918"/>
      <c r="X609" s="1918"/>
      <c r="Y609" s="1918"/>
      <c r="Z609" s="1918"/>
      <c r="AA609" s="1918"/>
      <c r="AB609" s="1918"/>
      <c r="AC609" s="1918"/>
      <c r="AD609" s="1918"/>
      <c r="AE609" s="1918"/>
    </row>
    <row r="610" spans="1:31" ht="15.75" customHeight="1">
      <c r="A610" s="1918"/>
      <c r="B610" s="1918"/>
      <c r="C610" s="1918"/>
      <c r="D610" s="1918"/>
      <c r="E610" s="1918"/>
      <c r="F610" s="1918"/>
      <c r="G610" s="1918"/>
      <c r="H610" s="1918"/>
      <c r="I610" s="1918"/>
      <c r="J610" s="1918"/>
      <c r="K610" s="1918"/>
      <c r="L610" s="1918"/>
      <c r="M610" s="1918"/>
      <c r="N610" s="1918"/>
      <c r="O610" s="1918"/>
      <c r="P610" s="1918"/>
      <c r="Q610" s="1918"/>
      <c r="R610" s="1918"/>
      <c r="S610" s="1918"/>
      <c r="T610" s="1918"/>
      <c r="U610" s="1918"/>
      <c r="V610" s="1918"/>
      <c r="W610" s="1918"/>
      <c r="X610" s="1918"/>
      <c r="Y610" s="1918"/>
      <c r="Z610" s="1918"/>
      <c r="AA610" s="1918"/>
      <c r="AB610" s="1918"/>
      <c r="AC610" s="1918"/>
      <c r="AD610" s="1918"/>
      <c r="AE610" s="1918"/>
    </row>
    <row r="611" spans="1:31" ht="15.75" customHeight="1">
      <c r="A611" s="1918"/>
      <c r="B611" s="1918"/>
      <c r="C611" s="1918"/>
      <c r="D611" s="1918"/>
      <c r="E611" s="1918"/>
      <c r="F611" s="1918"/>
      <c r="G611" s="1918"/>
      <c r="H611" s="1918"/>
      <c r="I611" s="1918"/>
      <c r="J611" s="1918"/>
      <c r="K611" s="1918"/>
      <c r="L611" s="1918"/>
      <c r="M611" s="1918"/>
      <c r="N611" s="1918"/>
      <c r="O611" s="1918"/>
      <c r="P611" s="1918"/>
      <c r="Q611" s="1918"/>
      <c r="R611" s="1918"/>
      <c r="S611" s="1918"/>
      <c r="T611" s="1918"/>
      <c r="U611" s="1918"/>
      <c r="V611" s="1918"/>
      <c r="W611" s="1918"/>
      <c r="X611" s="1918"/>
      <c r="Y611" s="1918"/>
      <c r="Z611" s="1918"/>
      <c r="AA611" s="1918"/>
      <c r="AB611" s="1918"/>
      <c r="AC611" s="1918"/>
      <c r="AD611" s="1918"/>
      <c r="AE611" s="1918"/>
    </row>
    <row r="612" spans="1:31" ht="15.75" customHeight="1">
      <c r="A612" s="1918"/>
      <c r="B612" s="1918"/>
      <c r="C612" s="1918"/>
      <c r="D612" s="1918"/>
      <c r="E612" s="1918"/>
      <c r="F612" s="1918"/>
      <c r="G612" s="1918"/>
      <c r="H612" s="1918"/>
      <c r="I612" s="1918"/>
      <c r="J612" s="1918"/>
      <c r="K612" s="1918"/>
      <c r="L612" s="1918"/>
      <c r="M612" s="1918"/>
      <c r="N612" s="1918"/>
      <c r="O612" s="1918"/>
      <c r="P612" s="1918"/>
      <c r="Q612" s="1918"/>
      <c r="R612" s="1918"/>
      <c r="S612" s="1918"/>
      <c r="T612" s="1918"/>
      <c r="U612" s="1918"/>
      <c r="V612" s="1918"/>
      <c r="W612" s="1918"/>
      <c r="X612" s="1918"/>
      <c r="Y612" s="1918"/>
      <c r="Z612" s="1918"/>
      <c r="AA612" s="1918"/>
      <c r="AB612" s="1918"/>
      <c r="AC612" s="1918"/>
      <c r="AD612" s="1918"/>
      <c r="AE612" s="1918"/>
    </row>
    <row r="613" spans="1:31" ht="15.75" customHeight="1">
      <c r="A613" s="1918"/>
      <c r="B613" s="1918"/>
      <c r="C613" s="1918"/>
      <c r="D613" s="1918"/>
      <c r="E613" s="1918"/>
      <c r="F613" s="1918"/>
      <c r="G613" s="1918"/>
      <c r="H613" s="1918"/>
      <c r="I613" s="1918"/>
      <c r="J613" s="1918"/>
      <c r="K613" s="1918"/>
      <c r="L613" s="1918"/>
      <c r="M613" s="1918"/>
      <c r="N613" s="1918"/>
      <c r="O613" s="1918"/>
      <c r="P613" s="1918"/>
      <c r="Q613" s="1918"/>
      <c r="R613" s="1918"/>
      <c r="S613" s="1918"/>
      <c r="T613" s="1918"/>
      <c r="U613" s="1918"/>
      <c r="V613" s="1918"/>
      <c r="W613" s="1918"/>
      <c r="X613" s="1918"/>
      <c r="Y613" s="1918"/>
      <c r="Z613" s="1918"/>
      <c r="AA613" s="1918"/>
      <c r="AB613" s="1918"/>
      <c r="AC613" s="1918"/>
      <c r="AD613" s="1918"/>
      <c r="AE613" s="1918"/>
    </row>
    <row r="614" spans="1:31" ht="15.75" customHeight="1">
      <c r="A614" s="1918"/>
      <c r="B614" s="1918"/>
      <c r="C614" s="1918"/>
      <c r="D614" s="1918"/>
      <c r="E614" s="1918"/>
      <c r="F614" s="1918"/>
      <c r="G614" s="1918"/>
      <c r="H614" s="1918"/>
      <c r="I614" s="1918"/>
      <c r="J614" s="1918"/>
      <c r="K614" s="1918"/>
      <c r="L614" s="1918"/>
      <c r="M614" s="1918"/>
      <c r="N614" s="1918"/>
      <c r="O614" s="1918"/>
      <c r="P614" s="1918"/>
      <c r="Q614" s="1918"/>
      <c r="R614" s="1918"/>
      <c r="S614" s="1918"/>
      <c r="T614" s="1918"/>
      <c r="U614" s="1918"/>
      <c r="V614" s="1918"/>
      <c r="W614" s="1918"/>
      <c r="X614" s="1918"/>
      <c r="Y614" s="1918"/>
      <c r="Z614" s="1918"/>
      <c r="AA614" s="1918"/>
      <c r="AB614" s="1918"/>
      <c r="AC614" s="1918"/>
      <c r="AD614" s="1918"/>
      <c r="AE614" s="1918"/>
    </row>
    <row r="615" spans="1:31" ht="15.75" customHeight="1">
      <c r="A615" s="1918"/>
      <c r="B615" s="1918"/>
      <c r="C615" s="1918"/>
      <c r="D615" s="1918"/>
      <c r="E615" s="1918"/>
      <c r="F615" s="1918"/>
      <c r="G615" s="1918"/>
      <c r="H615" s="1918"/>
      <c r="I615" s="1918"/>
      <c r="J615" s="1918"/>
      <c r="K615" s="1918"/>
      <c r="L615" s="1918"/>
      <c r="M615" s="1918"/>
      <c r="N615" s="1918"/>
      <c r="O615" s="1918"/>
      <c r="P615" s="1918"/>
      <c r="Q615" s="1918"/>
      <c r="R615" s="1918"/>
      <c r="S615" s="1918"/>
      <c r="T615" s="1918"/>
      <c r="U615" s="1918"/>
      <c r="V615" s="1918"/>
      <c r="W615" s="1918"/>
      <c r="X615" s="1918"/>
      <c r="Y615" s="1918"/>
      <c r="Z615" s="1918"/>
      <c r="AA615" s="1918"/>
      <c r="AB615" s="1918"/>
      <c r="AC615" s="1918"/>
      <c r="AD615" s="1918"/>
      <c r="AE615" s="1918"/>
    </row>
    <row r="616" spans="1:31" ht="15.75" customHeight="1">
      <c r="A616" s="1918"/>
      <c r="B616" s="1918"/>
      <c r="C616" s="1918"/>
      <c r="D616" s="1918"/>
      <c r="E616" s="1918"/>
      <c r="F616" s="1918"/>
      <c r="G616" s="1918"/>
      <c r="H616" s="1918"/>
      <c r="I616" s="1918"/>
      <c r="J616" s="1918"/>
      <c r="K616" s="1918"/>
      <c r="L616" s="1918"/>
      <c r="M616" s="1918"/>
      <c r="N616" s="1918"/>
      <c r="O616" s="1918"/>
      <c r="P616" s="1918"/>
      <c r="Q616" s="1918"/>
      <c r="R616" s="1918"/>
      <c r="S616" s="1918"/>
      <c r="T616" s="1918"/>
      <c r="U616" s="1918"/>
      <c r="V616" s="1918"/>
      <c r="W616" s="1918"/>
      <c r="X616" s="1918"/>
      <c r="Y616" s="1918"/>
      <c r="Z616" s="1918"/>
      <c r="AA616" s="1918"/>
      <c r="AB616" s="1918"/>
      <c r="AC616" s="1918"/>
      <c r="AD616" s="1918"/>
      <c r="AE616" s="1918"/>
    </row>
    <row r="617" spans="1:31" ht="15.75" customHeight="1">
      <c r="A617" s="1918"/>
      <c r="B617" s="1918"/>
      <c r="C617" s="1918"/>
      <c r="D617" s="1918"/>
      <c r="E617" s="1918"/>
      <c r="F617" s="1918"/>
      <c r="G617" s="1918"/>
      <c r="H617" s="1918"/>
      <c r="I617" s="1918"/>
      <c r="J617" s="1918"/>
      <c r="K617" s="1918"/>
      <c r="L617" s="1918"/>
      <c r="M617" s="1918"/>
      <c r="N617" s="1918"/>
      <c r="O617" s="1918"/>
      <c r="P617" s="1918"/>
      <c r="Q617" s="1918"/>
      <c r="R617" s="1918"/>
      <c r="S617" s="1918"/>
      <c r="T617" s="1918"/>
      <c r="U617" s="1918"/>
      <c r="V617" s="1918"/>
      <c r="W617" s="1918"/>
      <c r="X617" s="1918"/>
      <c r="Y617" s="1918"/>
      <c r="Z617" s="1918"/>
      <c r="AA617" s="1918"/>
      <c r="AB617" s="1918"/>
      <c r="AC617" s="1918"/>
      <c r="AD617" s="1918"/>
      <c r="AE617" s="1918"/>
    </row>
    <row r="618" spans="1:31" ht="15.75" customHeight="1">
      <c r="A618" s="1918"/>
      <c r="B618" s="1918"/>
      <c r="C618" s="1918"/>
      <c r="D618" s="1918"/>
      <c r="E618" s="1918"/>
      <c r="F618" s="1918"/>
      <c r="G618" s="1918"/>
      <c r="H618" s="1918"/>
      <c r="I618" s="1918"/>
      <c r="J618" s="1918"/>
      <c r="K618" s="1918"/>
      <c r="L618" s="1918"/>
      <c r="M618" s="1918"/>
      <c r="N618" s="1918"/>
      <c r="O618" s="1918"/>
      <c r="P618" s="1918"/>
      <c r="Q618" s="1918"/>
      <c r="R618" s="1918"/>
      <c r="S618" s="1918"/>
      <c r="T618" s="1918"/>
      <c r="U618" s="1918"/>
      <c r="V618" s="1918"/>
      <c r="W618" s="1918"/>
      <c r="X618" s="1918"/>
      <c r="Y618" s="1918"/>
      <c r="Z618" s="1918"/>
      <c r="AA618" s="1918"/>
      <c r="AB618" s="1918"/>
      <c r="AC618" s="1918"/>
      <c r="AD618" s="1918"/>
      <c r="AE618" s="1918"/>
    </row>
    <row r="619" spans="1:31" ht="15.75" customHeight="1">
      <c r="A619" s="1918"/>
      <c r="B619" s="1918"/>
      <c r="C619" s="1918"/>
      <c r="D619" s="1918"/>
      <c r="E619" s="1918"/>
      <c r="F619" s="1918"/>
      <c r="G619" s="1918"/>
      <c r="H619" s="1918"/>
      <c r="I619" s="1918"/>
      <c r="J619" s="1918"/>
      <c r="K619" s="1918"/>
      <c r="L619" s="1918"/>
      <c r="M619" s="1918"/>
      <c r="N619" s="1918"/>
      <c r="O619" s="1918"/>
      <c r="P619" s="1918"/>
      <c r="Q619" s="1918"/>
      <c r="R619" s="1918"/>
      <c r="S619" s="1918"/>
      <c r="T619" s="1918"/>
      <c r="U619" s="1918"/>
      <c r="V619" s="1918"/>
      <c r="W619" s="1918"/>
      <c r="X619" s="1918"/>
      <c r="Y619" s="1918"/>
      <c r="Z619" s="1918"/>
      <c r="AA619" s="1918"/>
      <c r="AB619" s="1918"/>
      <c r="AC619" s="1918"/>
      <c r="AD619" s="1918"/>
      <c r="AE619" s="1918"/>
    </row>
    <row r="620" spans="1:31" ht="15.75" customHeight="1">
      <c r="A620" s="1918"/>
      <c r="B620" s="1918"/>
      <c r="C620" s="1918"/>
      <c r="D620" s="1918"/>
      <c r="E620" s="1918"/>
      <c r="F620" s="1918"/>
      <c r="G620" s="1918"/>
      <c r="H620" s="1918"/>
      <c r="I620" s="1918"/>
      <c r="J620" s="1918"/>
      <c r="K620" s="1918"/>
      <c r="L620" s="1918"/>
      <c r="M620" s="1918"/>
      <c r="N620" s="1918"/>
      <c r="O620" s="1918"/>
      <c r="P620" s="1918"/>
      <c r="Q620" s="1918"/>
      <c r="R620" s="1918"/>
      <c r="S620" s="1918"/>
      <c r="T620" s="1918"/>
      <c r="U620" s="1918"/>
      <c r="V620" s="1918"/>
      <c r="W620" s="1918"/>
      <c r="X620" s="1918"/>
      <c r="Y620" s="1918"/>
      <c r="Z620" s="1918"/>
      <c r="AA620" s="1918"/>
      <c r="AB620" s="1918"/>
      <c r="AC620" s="1918"/>
      <c r="AD620" s="1918"/>
      <c r="AE620" s="1918"/>
    </row>
    <row r="621" spans="1:31" ht="15.75" customHeight="1">
      <c r="A621" s="1918"/>
      <c r="B621" s="1918"/>
      <c r="C621" s="1918"/>
      <c r="D621" s="1918"/>
      <c r="E621" s="1918"/>
      <c r="F621" s="1918"/>
      <c r="G621" s="1918"/>
      <c r="H621" s="1918"/>
      <c r="I621" s="1918"/>
      <c r="J621" s="1918"/>
      <c r="K621" s="1918"/>
      <c r="L621" s="1918"/>
      <c r="M621" s="1918"/>
      <c r="N621" s="1918"/>
      <c r="O621" s="1918"/>
      <c r="P621" s="1918"/>
      <c r="Q621" s="1918"/>
      <c r="R621" s="1918"/>
      <c r="S621" s="1918"/>
      <c r="T621" s="1918"/>
      <c r="U621" s="1918"/>
      <c r="V621" s="1918"/>
      <c r="W621" s="1918"/>
      <c r="X621" s="1918"/>
      <c r="Y621" s="1918"/>
      <c r="Z621" s="1918"/>
      <c r="AA621" s="1918"/>
      <c r="AB621" s="1918"/>
      <c r="AC621" s="1918"/>
      <c r="AD621" s="1918"/>
      <c r="AE621" s="1918"/>
    </row>
    <row r="622" spans="1:31" ht="15.75" customHeight="1">
      <c r="A622" s="1918"/>
      <c r="B622" s="1918"/>
      <c r="C622" s="1918"/>
      <c r="D622" s="1918"/>
      <c r="E622" s="1918"/>
      <c r="F622" s="1918"/>
      <c r="G622" s="1918"/>
      <c r="H622" s="1918"/>
      <c r="I622" s="1918"/>
      <c r="J622" s="1918"/>
      <c r="K622" s="1918"/>
      <c r="L622" s="1918"/>
      <c r="M622" s="1918"/>
      <c r="N622" s="1918"/>
      <c r="O622" s="1918"/>
      <c r="P622" s="1918"/>
      <c r="Q622" s="1918"/>
      <c r="R622" s="1918"/>
      <c r="S622" s="1918"/>
      <c r="T622" s="1918"/>
      <c r="U622" s="1918"/>
      <c r="V622" s="1918"/>
      <c r="W622" s="1918"/>
      <c r="X622" s="1918"/>
      <c r="Y622" s="1918"/>
      <c r="Z622" s="1918"/>
      <c r="AA622" s="1918"/>
      <c r="AB622" s="1918"/>
      <c r="AC622" s="1918"/>
      <c r="AD622" s="1918"/>
      <c r="AE622" s="1918"/>
    </row>
    <row r="623" spans="1:31" ht="15.75" customHeight="1">
      <c r="A623" s="1918"/>
      <c r="B623" s="1918"/>
      <c r="C623" s="1918"/>
      <c r="D623" s="1918"/>
      <c r="E623" s="1918"/>
      <c r="F623" s="1918"/>
      <c r="G623" s="1918"/>
      <c r="H623" s="1918"/>
      <c r="I623" s="1918"/>
      <c r="J623" s="1918"/>
      <c r="K623" s="1918"/>
      <c r="L623" s="1918"/>
      <c r="M623" s="1918"/>
      <c r="N623" s="1918"/>
      <c r="O623" s="1918"/>
      <c r="P623" s="1918"/>
      <c r="Q623" s="1918"/>
      <c r="R623" s="1918"/>
      <c r="S623" s="1918"/>
      <c r="T623" s="1918"/>
      <c r="U623" s="1918"/>
      <c r="V623" s="1918"/>
      <c r="W623" s="1918"/>
      <c r="X623" s="1918"/>
      <c r="Y623" s="1918"/>
      <c r="Z623" s="1918"/>
      <c r="AA623" s="1918"/>
      <c r="AB623" s="1918"/>
      <c r="AC623" s="1918"/>
      <c r="AD623" s="1918"/>
      <c r="AE623" s="1918"/>
    </row>
    <row r="624" spans="1:31" ht="15.75" customHeight="1">
      <c r="A624" s="1918"/>
      <c r="B624" s="1918"/>
      <c r="C624" s="1918"/>
      <c r="D624" s="1918"/>
      <c r="E624" s="1918"/>
      <c r="F624" s="1918"/>
      <c r="G624" s="1918"/>
      <c r="H624" s="1918"/>
      <c r="I624" s="1918"/>
      <c r="J624" s="1918"/>
      <c r="K624" s="1918"/>
      <c r="L624" s="1918"/>
      <c r="M624" s="1918"/>
      <c r="N624" s="1918"/>
      <c r="O624" s="1918"/>
      <c r="P624" s="1918"/>
      <c r="Q624" s="1918"/>
      <c r="R624" s="1918"/>
      <c r="S624" s="1918"/>
      <c r="T624" s="1918"/>
      <c r="U624" s="1918"/>
      <c r="V624" s="1918"/>
      <c r="W624" s="1918"/>
      <c r="X624" s="1918"/>
      <c r="Y624" s="1918"/>
      <c r="Z624" s="1918"/>
      <c r="AA624" s="1918"/>
      <c r="AB624" s="1918"/>
      <c r="AC624" s="1918"/>
      <c r="AD624" s="1918"/>
      <c r="AE624" s="1918"/>
    </row>
    <row r="625" spans="1:31" ht="15.75" customHeight="1">
      <c r="A625" s="1918"/>
      <c r="B625" s="1918"/>
      <c r="C625" s="1918"/>
      <c r="D625" s="1918"/>
      <c r="E625" s="1918"/>
      <c r="F625" s="1918"/>
      <c r="G625" s="1918"/>
      <c r="H625" s="1918"/>
      <c r="I625" s="1918"/>
      <c r="J625" s="1918"/>
      <c r="K625" s="1918"/>
      <c r="L625" s="1918"/>
      <c r="M625" s="1918"/>
      <c r="N625" s="1918"/>
      <c r="O625" s="1918"/>
      <c r="P625" s="1918"/>
      <c r="Q625" s="1918"/>
      <c r="R625" s="1918"/>
      <c r="S625" s="1918"/>
      <c r="T625" s="1918"/>
      <c r="U625" s="1918"/>
      <c r="V625" s="1918"/>
      <c r="W625" s="1918"/>
      <c r="X625" s="1918"/>
      <c r="Y625" s="1918"/>
      <c r="Z625" s="1918"/>
      <c r="AA625" s="1918"/>
      <c r="AB625" s="1918"/>
      <c r="AC625" s="1918"/>
      <c r="AD625" s="1918"/>
      <c r="AE625" s="1918"/>
    </row>
    <row r="626" spans="1:31" ht="15.75" customHeight="1">
      <c r="A626" s="1918"/>
      <c r="B626" s="1918"/>
      <c r="C626" s="1918"/>
      <c r="D626" s="1918"/>
      <c r="E626" s="1918"/>
      <c r="F626" s="1918"/>
      <c r="G626" s="1918"/>
      <c r="H626" s="1918"/>
      <c r="I626" s="1918"/>
      <c r="J626" s="1918"/>
      <c r="K626" s="1918"/>
      <c r="L626" s="1918"/>
      <c r="M626" s="1918"/>
      <c r="N626" s="1918"/>
      <c r="O626" s="1918"/>
      <c r="P626" s="1918"/>
      <c r="Q626" s="1918"/>
      <c r="R626" s="1918"/>
      <c r="S626" s="1918"/>
      <c r="T626" s="1918"/>
      <c r="U626" s="1918"/>
      <c r="V626" s="1918"/>
      <c r="W626" s="1918"/>
      <c r="X626" s="1918"/>
      <c r="Y626" s="1918"/>
      <c r="Z626" s="1918"/>
      <c r="AA626" s="1918"/>
      <c r="AB626" s="1918"/>
      <c r="AC626" s="1918"/>
      <c r="AD626" s="1918"/>
      <c r="AE626" s="1918"/>
    </row>
    <row r="627" spans="1:31" ht="15.75" customHeight="1">
      <c r="A627" s="1918"/>
      <c r="B627" s="1918"/>
      <c r="C627" s="1918"/>
      <c r="D627" s="1918"/>
      <c r="E627" s="1918"/>
      <c r="F627" s="1918"/>
      <c r="G627" s="1918"/>
      <c r="H627" s="1918"/>
      <c r="I627" s="1918"/>
      <c r="J627" s="1918"/>
      <c r="K627" s="1918"/>
      <c r="L627" s="1918"/>
      <c r="M627" s="1918"/>
      <c r="N627" s="1918"/>
      <c r="O627" s="1918"/>
      <c r="P627" s="1918"/>
      <c r="Q627" s="1918"/>
      <c r="R627" s="1918"/>
      <c r="S627" s="1918"/>
      <c r="T627" s="1918"/>
      <c r="U627" s="1918"/>
      <c r="V627" s="1918"/>
      <c r="W627" s="1918"/>
      <c r="X627" s="1918"/>
      <c r="Y627" s="1918"/>
      <c r="Z627" s="1918"/>
      <c r="AA627" s="1918"/>
      <c r="AB627" s="1918"/>
      <c r="AC627" s="1918"/>
      <c r="AD627" s="1918"/>
      <c r="AE627" s="1918"/>
    </row>
    <row r="628" spans="1:31" ht="15.75" customHeight="1">
      <c r="A628" s="1918"/>
      <c r="B628" s="1918"/>
      <c r="C628" s="1918"/>
      <c r="D628" s="1918"/>
      <c r="E628" s="1918"/>
      <c r="F628" s="1918"/>
      <c r="G628" s="1918"/>
      <c r="H628" s="1918"/>
      <c r="I628" s="1918"/>
      <c r="J628" s="1918"/>
      <c r="K628" s="1918"/>
      <c r="L628" s="1918"/>
      <c r="M628" s="1918"/>
      <c r="N628" s="1918"/>
      <c r="O628" s="1918"/>
      <c r="P628" s="1918"/>
      <c r="Q628" s="1918"/>
      <c r="R628" s="1918"/>
      <c r="S628" s="1918"/>
      <c r="T628" s="1918"/>
      <c r="U628" s="1918"/>
      <c r="V628" s="1918"/>
      <c r="W628" s="1918"/>
      <c r="X628" s="1918"/>
      <c r="Y628" s="1918"/>
      <c r="Z628" s="1918"/>
      <c r="AA628" s="1918"/>
      <c r="AB628" s="1918"/>
      <c r="AC628" s="1918"/>
      <c r="AD628" s="1918"/>
      <c r="AE628" s="1918"/>
    </row>
    <row r="629" spans="1:31" ht="15.75" customHeight="1">
      <c r="A629" s="1918"/>
      <c r="B629" s="1918"/>
      <c r="C629" s="1918"/>
      <c r="D629" s="1918"/>
      <c r="E629" s="1918"/>
      <c r="F629" s="1918"/>
      <c r="G629" s="1918"/>
      <c r="H629" s="1918"/>
      <c r="I629" s="1918"/>
      <c r="J629" s="1918"/>
      <c r="K629" s="1918"/>
      <c r="L629" s="1918"/>
      <c r="M629" s="1918"/>
      <c r="N629" s="1918"/>
      <c r="O629" s="1918"/>
      <c r="P629" s="1918"/>
      <c r="Q629" s="1918"/>
      <c r="R629" s="1918"/>
      <c r="S629" s="1918"/>
      <c r="T629" s="1918"/>
      <c r="U629" s="1918"/>
      <c r="V629" s="1918"/>
      <c r="W629" s="1918"/>
      <c r="X629" s="1918"/>
      <c r="Y629" s="1918"/>
      <c r="Z629" s="1918"/>
      <c r="AA629" s="1918"/>
      <c r="AB629" s="1918"/>
      <c r="AC629" s="1918"/>
      <c r="AD629" s="1918"/>
      <c r="AE629" s="1918"/>
    </row>
    <row r="630" spans="1:31" ht="15.75" customHeight="1">
      <c r="A630" s="1918"/>
      <c r="B630" s="1918"/>
      <c r="C630" s="1918"/>
      <c r="D630" s="1918"/>
      <c r="E630" s="1918"/>
      <c r="F630" s="1918"/>
      <c r="G630" s="1918"/>
      <c r="H630" s="1918"/>
      <c r="I630" s="1918"/>
      <c r="J630" s="1918"/>
      <c r="K630" s="1918"/>
      <c r="L630" s="1918"/>
      <c r="M630" s="1918"/>
      <c r="N630" s="1918"/>
      <c r="O630" s="1918"/>
      <c r="P630" s="1918"/>
      <c r="Q630" s="1918"/>
      <c r="R630" s="1918"/>
      <c r="S630" s="1918"/>
      <c r="T630" s="1918"/>
      <c r="U630" s="1918"/>
      <c r="V630" s="1918"/>
      <c r="W630" s="1918"/>
      <c r="X630" s="1918"/>
      <c r="Y630" s="1918"/>
      <c r="Z630" s="1918"/>
      <c r="AA630" s="1918"/>
      <c r="AB630" s="1918"/>
      <c r="AC630" s="1918"/>
      <c r="AD630" s="1918"/>
      <c r="AE630" s="1918"/>
    </row>
    <row r="631" spans="1:31" ht="15.75" customHeight="1">
      <c r="A631" s="1918"/>
      <c r="B631" s="1918"/>
      <c r="C631" s="1918"/>
      <c r="D631" s="1918"/>
      <c r="E631" s="1918"/>
      <c r="F631" s="1918"/>
      <c r="G631" s="1918"/>
      <c r="H631" s="1918"/>
      <c r="I631" s="1918"/>
      <c r="J631" s="1918"/>
      <c r="K631" s="1918"/>
      <c r="L631" s="1918"/>
      <c r="M631" s="1918"/>
      <c r="N631" s="1918"/>
      <c r="O631" s="1918"/>
      <c r="P631" s="1918"/>
      <c r="Q631" s="1918"/>
      <c r="R631" s="1918"/>
      <c r="S631" s="1918"/>
      <c r="T631" s="1918"/>
      <c r="U631" s="1918"/>
      <c r="V631" s="1918"/>
      <c r="W631" s="1918"/>
      <c r="X631" s="1918"/>
      <c r="Y631" s="1918"/>
      <c r="Z631" s="1918"/>
      <c r="AA631" s="1918"/>
      <c r="AB631" s="1918"/>
      <c r="AC631" s="1918"/>
      <c r="AD631" s="1918"/>
      <c r="AE631" s="1918"/>
    </row>
    <row r="632" spans="1:31" ht="15.75" customHeight="1">
      <c r="A632" s="1918"/>
      <c r="B632" s="1918"/>
      <c r="C632" s="1918"/>
      <c r="D632" s="1918"/>
      <c r="E632" s="1918"/>
      <c r="F632" s="1918"/>
      <c r="G632" s="1918"/>
      <c r="H632" s="1918"/>
      <c r="I632" s="1918"/>
      <c r="J632" s="1918"/>
      <c r="K632" s="1918"/>
      <c r="L632" s="1918"/>
      <c r="M632" s="1918"/>
      <c r="N632" s="1918"/>
      <c r="O632" s="1918"/>
      <c r="P632" s="1918"/>
      <c r="Q632" s="1918"/>
      <c r="R632" s="1918"/>
      <c r="S632" s="1918"/>
      <c r="T632" s="1918"/>
      <c r="U632" s="1918"/>
      <c r="V632" s="1918"/>
      <c r="W632" s="1918"/>
      <c r="X632" s="1918"/>
      <c r="Y632" s="1918"/>
      <c r="Z632" s="1918"/>
      <c r="AA632" s="1918"/>
      <c r="AB632" s="1918"/>
      <c r="AC632" s="1918"/>
      <c r="AD632" s="1918"/>
      <c r="AE632" s="1918"/>
    </row>
    <row r="633" spans="1:31" ht="15.75" customHeight="1">
      <c r="A633" s="1918"/>
      <c r="B633" s="1918"/>
      <c r="C633" s="1918"/>
      <c r="D633" s="1918"/>
      <c r="E633" s="1918"/>
      <c r="F633" s="1918"/>
      <c r="G633" s="1918"/>
      <c r="H633" s="1918"/>
      <c r="I633" s="1918"/>
      <c r="J633" s="1918"/>
      <c r="K633" s="1918"/>
      <c r="L633" s="1918"/>
      <c r="M633" s="1918"/>
      <c r="N633" s="1918"/>
      <c r="O633" s="1918"/>
      <c r="P633" s="1918"/>
      <c r="Q633" s="1918"/>
      <c r="R633" s="1918"/>
      <c r="S633" s="1918"/>
      <c r="T633" s="1918"/>
      <c r="U633" s="1918"/>
      <c r="V633" s="1918"/>
      <c r="W633" s="1918"/>
      <c r="X633" s="1918"/>
      <c r="Y633" s="1918"/>
      <c r="Z633" s="1918"/>
      <c r="AA633" s="1918"/>
      <c r="AB633" s="1918"/>
      <c r="AC633" s="1918"/>
      <c r="AD633" s="1918"/>
      <c r="AE633" s="1918"/>
    </row>
    <row r="634" spans="1:31" ht="15.75" customHeight="1">
      <c r="A634" s="1918"/>
      <c r="B634" s="1918"/>
      <c r="C634" s="1918"/>
      <c r="D634" s="1918"/>
      <c r="E634" s="1918"/>
      <c r="F634" s="1918"/>
      <c r="G634" s="1918"/>
      <c r="H634" s="1918"/>
      <c r="I634" s="1918"/>
      <c r="J634" s="1918"/>
      <c r="K634" s="1918"/>
      <c r="L634" s="1918"/>
      <c r="M634" s="1918"/>
      <c r="N634" s="1918"/>
      <c r="O634" s="1918"/>
      <c r="P634" s="1918"/>
      <c r="Q634" s="1918"/>
      <c r="R634" s="1918"/>
      <c r="S634" s="1918"/>
      <c r="T634" s="1918"/>
      <c r="U634" s="1918"/>
      <c r="V634" s="1918"/>
      <c r="W634" s="1918"/>
      <c r="X634" s="1918"/>
      <c r="Y634" s="1918"/>
      <c r="Z634" s="1918"/>
      <c r="AA634" s="1918"/>
      <c r="AB634" s="1918"/>
      <c r="AC634" s="1918"/>
      <c r="AD634" s="1918"/>
      <c r="AE634" s="1918"/>
    </row>
    <row r="635" spans="1:31" ht="15.75" customHeight="1">
      <c r="A635" s="1918"/>
      <c r="B635" s="1918"/>
      <c r="C635" s="1918"/>
      <c r="D635" s="1918"/>
      <c r="E635" s="1918"/>
      <c r="F635" s="1918"/>
      <c r="G635" s="1918"/>
      <c r="H635" s="1918"/>
      <c r="I635" s="1918"/>
      <c r="J635" s="1918"/>
      <c r="K635" s="1918"/>
      <c r="L635" s="1918"/>
      <c r="M635" s="1918"/>
      <c r="N635" s="1918"/>
      <c r="O635" s="1918"/>
      <c r="P635" s="1918"/>
      <c r="Q635" s="1918"/>
      <c r="R635" s="1918"/>
      <c r="S635" s="1918"/>
      <c r="T635" s="1918"/>
      <c r="U635" s="1918"/>
      <c r="V635" s="1918"/>
      <c r="W635" s="1918"/>
      <c r="X635" s="1918"/>
      <c r="Y635" s="1918"/>
      <c r="Z635" s="1918"/>
      <c r="AA635" s="1918"/>
      <c r="AB635" s="1918"/>
      <c r="AC635" s="1918"/>
      <c r="AD635" s="1918"/>
      <c r="AE635" s="1918"/>
    </row>
    <row r="636" spans="1:31" ht="15.75" customHeight="1">
      <c r="A636" s="1918"/>
      <c r="B636" s="1918"/>
      <c r="C636" s="1918"/>
      <c r="D636" s="1918"/>
      <c r="E636" s="1918"/>
      <c r="F636" s="1918"/>
      <c r="G636" s="1918"/>
      <c r="H636" s="1918"/>
      <c r="I636" s="1918"/>
      <c r="J636" s="1918"/>
      <c r="K636" s="1918"/>
      <c r="L636" s="1918"/>
      <c r="M636" s="1918"/>
      <c r="N636" s="1918"/>
      <c r="O636" s="1918"/>
      <c r="P636" s="1918"/>
      <c r="Q636" s="1918"/>
      <c r="R636" s="1918"/>
      <c r="S636" s="1918"/>
      <c r="T636" s="1918"/>
      <c r="U636" s="1918"/>
      <c r="V636" s="1918"/>
      <c r="W636" s="1918"/>
      <c r="X636" s="1918"/>
      <c r="Y636" s="1918"/>
      <c r="Z636" s="1918"/>
      <c r="AA636" s="1918"/>
      <c r="AB636" s="1918"/>
      <c r="AC636" s="1918"/>
      <c r="AD636" s="1918"/>
      <c r="AE636" s="1918"/>
    </row>
    <row r="637" spans="1:31" ht="15.75" customHeight="1">
      <c r="A637" s="1918"/>
      <c r="B637" s="1918"/>
      <c r="C637" s="1918"/>
      <c r="D637" s="1918"/>
      <c r="E637" s="1918"/>
      <c r="F637" s="1918"/>
      <c r="G637" s="1918"/>
      <c r="H637" s="1918"/>
      <c r="I637" s="1918"/>
      <c r="J637" s="1918"/>
      <c r="K637" s="1918"/>
      <c r="L637" s="1918"/>
      <c r="M637" s="1918"/>
      <c r="N637" s="1918"/>
      <c r="O637" s="1918"/>
      <c r="P637" s="1918"/>
      <c r="Q637" s="1918"/>
      <c r="R637" s="1918"/>
      <c r="S637" s="1918"/>
      <c r="T637" s="1918"/>
      <c r="U637" s="1918"/>
      <c r="V637" s="1918"/>
      <c r="W637" s="1918"/>
      <c r="X637" s="1918"/>
      <c r="Y637" s="1918"/>
      <c r="Z637" s="1918"/>
      <c r="AA637" s="1918"/>
      <c r="AB637" s="1918"/>
      <c r="AC637" s="1918"/>
      <c r="AD637" s="1918"/>
      <c r="AE637" s="1918"/>
    </row>
    <row r="638" spans="1:31" ht="15.75" customHeight="1">
      <c r="A638" s="1918"/>
      <c r="B638" s="1918"/>
      <c r="C638" s="1918"/>
      <c r="D638" s="1918"/>
      <c r="E638" s="1918"/>
      <c r="F638" s="1918"/>
      <c r="G638" s="1918"/>
      <c r="H638" s="1918"/>
      <c r="I638" s="1918"/>
      <c r="J638" s="1918"/>
      <c r="K638" s="1918"/>
      <c r="L638" s="1918"/>
      <c r="M638" s="1918"/>
      <c r="N638" s="1918"/>
      <c r="O638" s="1918"/>
      <c r="P638" s="1918"/>
      <c r="Q638" s="1918"/>
      <c r="R638" s="1918"/>
      <c r="S638" s="1918"/>
      <c r="T638" s="1918"/>
      <c r="U638" s="1918"/>
      <c r="V638" s="1918"/>
      <c r="W638" s="1918"/>
      <c r="X638" s="1918"/>
      <c r="Y638" s="1918"/>
      <c r="Z638" s="1918"/>
      <c r="AA638" s="1918"/>
      <c r="AB638" s="1918"/>
      <c r="AC638" s="1918"/>
      <c r="AD638" s="1918"/>
      <c r="AE638" s="1918"/>
    </row>
    <row r="639" spans="1:31" ht="15.75" customHeight="1">
      <c r="A639" s="1918"/>
      <c r="B639" s="1918"/>
      <c r="C639" s="1918"/>
      <c r="D639" s="1918"/>
      <c r="E639" s="1918"/>
      <c r="F639" s="1918"/>
      <c r="G639" s="1918"/>
      <c r="H639" s="1918"/>
      <c r="I639" s="1918"/>
      <c r="J639" s="1918"/>
      <c r="K639" s="1918"/>
      <c r="L639" s="1918"/>
      <c r="M639" s="1918"/>
      <c r="N639" s="1918"/>
      <c r="O639" s="1918"/>
      <c r="P639" s="1918"/>
      <c r="Q639" s="1918"/>
      <c r="R639" s="1918"/>
      <c r="S639" s="1918"/>
      <c r="T639" s="1918"/>
      <c r="U639" s="1918"/>
      <c r="V639" s="1918"/>
      <c r="W639" s="1918"/>
      <c r="X639" s="1918"/>
      <c r="Y639" s="1918"/>
      <c r="Z639" s="1918"/>
      <c r="AA639" s="1918"/>
      <c r="AB639" s="1918"/>
      <c r="AC639" s="1918"/>
      <c r="AD639" s="1918"/>
      <c r="AE639" s="1918"/>
    </row>
    <row r="640" spans="1:31" ht="15.75" customHeight="1">
      <c r="A640" s="1918"/>
      <c r="B640" s="1918"/>
      <c r="C640" s="1918"/>
      <c r="D640" s="1918"/>
      <c r="E640" s="1918"/>
      <c r="F640" s="1918"/>
      <c r="G640" s="1918"/>
      <c r="H640" s="1918"/>
      <c r="I640" s="1918"/>
      <c r="J640" s="1918"/>
      <c r="K640" s="1918"/>
      <c r="L640" s="1918"/>
      <c r="M640" s="1918"/>
      <c r="N640" s="1918"/>
      <c r="O640" s="1918"/>
      <c r="P640" s="1918"/>
      <c r="Q640" s="1918"/>
      <c r="R640" s="1918"/>
      <c r="S640" s="1918"/>
      <c r="T640" s="1918"/>
      <c r="U640" s="1918"/>
      <c r="V640" s="1918"/>
      <c r="W640" s="1918"/>
      <c r="X640" s="1918"/>
      <c r="Y640" s="1918"/>
      <c r="Z640" s="1918"/>
      <c r="AA640" s="1918"/>
      <c r="AB640" s="1918"/>
      <c r="AC640" s="1918"/>
      <c r="AD640" s="1918"/>
      <c r="AE640" s="1918"/>
    </row>
    <row r="641" spans="1:31" ht="15.75" customHeight="1">
      <c r="A641" s="1918"/>
      <c r="B641" s="1918"/>
      <c r="C641" s="1918"/>
      <c r="D641" s="1918"/>
      <c r="E641" s="1918"/>
      <c r="F641" s="1918"/>
      <c r="G641" s="1918"/>
      <c r="H641" s="1918"/>
      <c r="I641" s="1918"/>
      <c r="J641" s="1918"/>
      <c r="K641" s="1918"/>
      <c r="L641" s="1918"/>
      <c r="M641" s="1918"/>
      <c r="N641" s="1918"/>
      <c r="O641" s="1918"/>
      <c r="P641" s="1918"/>
      <c r="Q641" s="1918"/>
      <c r="R641" s="1918"/>
      <c r="S641" s="1918"/>
      <c r="T641" s="1918"/>
      <c r="U641" s="1918"/>
      <c r="V641" s="1918"/>
      <c r="W641" s="1918"/>
      <c r="X641" s="1918"/>
      <c r="Y641" s="1918"/>
      <c r="Z641" s="1918"/>
      <c r="AA641" s="1918"/>
      <c r="AB641" s="1918"/>
      <c r="AC641" s="1918"/>
      <c r="AD641" s="1918"/>
      <c r="AE641" s="1918"/>
    </row>
    <row r="642" spans="1:31" ht="15.75" customHeight="1">
      <c r="A642" s="1918"/>
      <c r="B642" s="1918"/>
      <c r="C642" s="1918"/>
      <c r="D642" s="1918"/>
      <c r="E642" s="1918"/>
      <c r="F642" s="1918"/>
      <c r="G642" s="1918"/>
      <c r="H642" s="1918"/>
      <c r="I642" s="1918"/>
      <c r="J642" s="1918"/>
      <c r="K642" s="1918"/>
      <c r="L642" s="1918"/>
      <c r="M642" s="1918"/>
      <c r="N642" s="1918"/>
      <c r="O642" s="1918"/>
      <c r="P642" s="1918"/>
      <c r="Q642" s="1918"/>
      <c r="R642" s="1918"/>
      <c r="S642" s="1918"/>
      <c r="T642" s="1918"/>
      <c r="U642" s="1918"/>
      <c r="V642" s="1918"/>
      <c r="W642" s="1918"/>
      <c r="X642" s="1918"/>
      <c r="Y642" s="1918"/>
      <c r="Z642" s="1918"/>
      <c r="AA642" s="1918"/>
      <c r="AB642" s="1918"/>
      <c r="AC642" s="1918"/>
      <c r="AD642" s="1918"/>
      <c r="AE642" s="1918"/>
    </row>
    <row r="643" spans="1:31" ht="15.75" customHeight="1">
      <c r="A643" s="1918"/>
      <c r="B643" s="1918"/>
      <c r="C643" s="1918"/>
      <c r="D643" s="1918"/>
      <c r="E643" s="1918"/>
      <c r="F643" s="1918"/>
      <c r="G643" s="1918"/>
      <c r="H643" s="1918"/>
      <c r="I643" s="1918"/>
      <c r="J643" s="1918"/>
      <c r="K643" s="1918"/>
      <c r="L643" s="1918"/>
      <c r="M643" s="1918"/>
      <c r="N643" s="1918"/>
      <c r="O643" s="1918"/>
      <c r="P643" s="1918"/>
      <c r="Q643" s="1918"/>
      <c r="R643" s="1918"/>
      <c r="S643" s="1918"/>
      <c r="T643" s="1918"/>
      <c r="U643" s="1918"/>
      <c r="V643" s="1918"/>
      <c r="W643" s="1918"/>
      <c r="X643" s="1918"/>
      <c r="Y643" s="1918"/>
      <c r="Z643" s="1918"/>
      <c r="AA643" s="1918"/>
      <c r="AB643" s="1918"/>
      <c r="AC643" s="1918"/>
      <c r="AD643" s="1918"/>
      <c r="AE643" s="1918"/>
    </row>
    <row r="644" spans="1:31" ht="15.75" customHeight="1">
      <c r="A644" s="1918"/>
      <c r="B644" s="1918"/>
      <c r="C644" s="1918"/>
      <c r="D644" s="1918"/>
      <c r="E644" s="1918"/>
      <c r="F644" s="1918"/>
      <c r="G644" s="1918"/>
      <c r="H644" s="1918"/>
      <c r="I644" s="1918"/>
      <c r="J644" s="1918"/>
      <c r="K644" s="1918"/>
      <c r="L644" s="1918"/>
      <c r="M644" s="1918"/>
      <c r="N644" s="1918"/>
      <c r="O644" s="1918"/>
      <c r="P644" s="1918"/>
      <c r="Q644" s="1918"/>
      <c r="R644" s="1918"/>
      <c r="S644" s="1918"/>
      <c r="T644" s="1918"/>
      <c r="U644" s="1918"/>
      <c r="V644" s="1918"/>
      <c r="W644" s="1918"/>
      <c r="X644" s="1918"/>
      <c r="Y644" s="1918"/>
      <c r="Z644" s="1918"/>
      <c r="AA644" s="1918"/>
      <c r="AB644" s="1918"/>
      <c r="AC644" s="1918"/>
      <c r="AD644" s="1918"/>
      <c r="AE644" s="1918"/>
    </row>
    <row r="645" spans="1:31" ht="15.75" customHeight="1">
      <c r="A645" s="1918"/>
      <c r="B645" s="1918"/>
      <c r="C645" s="1918"/>
      <c r="D645" s="1918"/>
      <c r="E645" s="1918"/>
      <c r="F645" s="1918"/>
      <c r="G645" s="1918"/>
      <c r="H645" s="1918"/>
      <c r="I645" s="1918"/>
      <c r="J645" s="1918"/>
      <c r="K645" s="1918"/>
      <c r="L645" s="1918"/>
      <c r="M645" s="1918"/>
      <c r="N645" s="1918"/>
      <c r="O645" s="1918"/>
      <c r="P645" s="1918"/>
      <c r="Q645" s="1918"/>
      <c r="R645" s="1918"/>
      <c r="S645" s="1918"/>
      <c r="T645" s="1918"/>
      <c r="U645" s="1918"/>
      <c r="V645" s="1918"/>
      <c r="W645" s="1918"/>
      <c r="X645" s="1918"/>
      <c r="Y645" s="1918"/>
      <c r="Z645" s="1918"/>
      <c r="AA645" s="1918"/>
      <c r="AB645" s="1918"/>
      <c r="AC645" s="1918"/>
      <c r="AD645" s="1918"/>
      <c r="AE645" s="1918"/>
    </row>
    <row r="646" spans="1:31" ht="15.75" customHeight="1">
      <c r="A646" s="1918"/>
      <c r="B646" s="1918"/>
      <c r="C646" s="1918"/>
      <c r="D646" s="1918"/>
      <c r="E646" s="1918"/>
      <c r="F646" s="1918"/>
      <c r="G646" s="1918"/>
      <c r="H646" s="1918"/>
      <c r="I646" s="1918"/>
      <c r="J646" s="1918"/>
      <c r="K646" s="1918"/>
      <c r="L646" s="1918"/>
      <c r="M646" s="1918"/>
      <c r="N646" s="1918"/>
      <c r="O646" s="1918"/>
      <c r="P646" s="1918"/>
      <c r="Q646" s="1918"/>
      <c r="R646" s="1918"/>
      <c r="S646" s="1918"/>
      <c r="T646" s="1918"/>
      <c r="U646" s="1918"/>
      <c r="V646" s="1918"/>
      <c r="W646" s="1918"/>
      <c r="X646" s="1918"/>
      <c r="Y646" s="1918"/>
      <c r="Z646" s="1918"/>
      <c r="AA646" s="1918"/>
      <c r="AB646" s="1918"/>
      <c r="AC646" s="1918"/>
      <c r="AD646" s="1918"/>
      <c r="AE646" s="1918"/>
    </row>
    <row r="647" spans="1:31" ht="15.75" customHeight="1">
      <c r="A647" s="1918"/>
      <c r="B647" s="1918"/>
      <c r="C647" s="1918"/>
      <c r="D647" s="1918"/>
      <c r="E647" s="1918"/>
      <c r="F647" s="1918"/>
      <c r="G647" s="1918"/>
      <c r="H647" s="1918"/>
      <c r="I647" s="1918"/>
      <c r="J647" s="1918"/>
      <c r="K647" s="1918"/>
      <c r="L647" s="1918"/>
      <c r="M647" s="1918"/>
      <c r="N647" s="1918"/>
      <c r="O647" s="1918"/>
      <c r="P647" s="1918"/>
      <c r="Q647" s="1918"/>
      <c r="R647" s="1918"/>
      <c r="S647" s="1918"/>
      <c r="T647" s="1918"/>
      <c r="U647" s="1918"/>
      <c r="V647" s="1918"/>
      <c r="W647" s="1918"/>
      <c r="X647" s="1918"/>
      <c r="Y647" s="1918"/>
      <c r="Z647" s="1918"/>
      <c r="AA647" s="1918"/>
      <c r="AB647" s="1918"/>
      <c r="AC647" s="1918"/>
      <c r="AD647" s="1918"/>
      <c r="AE647" s="1918"/>
    </row>
    <row r="648" spans="1:31" ht="15.75" customHeight="1">
      <c r="A648" s="1918"/>
      <c r="B648" s="1918"/>
      <c r="C648" s="1918"/>
      <c r="D648" s="1918"/>
      <c r="E648" s="1918"/>
      <c r="F648" s="1918"/>
      <c r="G648" s="1918"/>
      <c r="H648" s="1918"/>
      <c r="I648" s="1918"/>
      <c r="J648" s="1918"/>
      <c r="K648" s="1918"/>
      <c r="L648" s="1918"/>
      <c r="M648" s="1918"/>
      <c r="N648" s="1918"/>
      <c r="O648" s="1918"/>
      <c r="P648" s="1918"/>
      <c r="Q648" s="1918"/>
      <c r="R648" s="1918"/>
      <c r="S648" s="1918"/>
      <c r="T648" s="1918"/>
      <c r="U648" s="1918"/>
      <c r="V648" s="1918"/>
      <c r="W648" s="1918"/>
      <c r="X648" s="1918"/>
      <c r="Y648" s="1918"/>
      <c r="Z648" s="1918"/>
      <c r="AA648" s="1918"/>
      <c r="AB648" s="1918"/>
      <c r="AC648" s="1918"/>
      <c r="AD648" s="1918"/>
      <c r="AE648" s="1918"/>
    </row>
    <row r="649" spans="1:31" ht="15.75" customHeight="1">
      <c r="A649" s="1918"/>
      <c r="B649" s="1918"/>
      <c r="C649" s="1918"/>
      <c r="D649" s="1918"/>
      <c r="E649" s="1918"/>
      <c r="F649" s="1918"/>
      <c r="G649" s="1918"/>
      <c r="H649" s="1918"/>
      <c r="I649" s="1918"/>
      <c r="J649" s="1918"/>
      <c r="K649" s="1918"/>
      <c r="L649" s="1918"/>
      <c r="M649" s="1918"/>
      <c r="N649" s="1918"/>
      <c r="O649" s="1918"/>
      <c r="P649" s="1918"/>
      <c r="Q649" s="1918"/>
      <c r="R649" s="1918"/>
      <c r="S649" s="1918"/>
      <c r="T649" s="1918"/>
      <c r="U649" s="1918"/>
      <c r="V649" s="1918"/>
      <c r="W649" s="1918"/>
      <c r="X649" s="1918"/>
      <c r="Y649" s="1918"/>
      <c r="Z649" s="1918"/>
      <c r="AA649" s="1918"/>
      <c r="AB649" s="1918"/>
      <c r="AC649" s="1918"/>
      <c r="AD649" s="1918"/>
      <c r="AE649" s="1918"/>
    </row>
    <row r="650" spans="1:31" ht="15.75" customHeight="1">
      <c r="A650" s="1918"/>
      <c r="B650" s="1918"/>
      <c r="C650" s="1918"/>
      <c r="D650" s="1918"/>
      <c r="E650" s="1918"/>
      <c r="F650" s="1918"/>
      <c r="G650" s="1918"/>
      <c r="H650" s="1918"/>
      <c r="I650" s="1918"/>
      <c r="J650" s="1918"/>
      <c r="K650" s="1918"/>
      <c r="L650" s="1918"/>
      <c r="M650" s="1918"/>
      <c r="N650" s="1918"/>
      <c r="O650" s="1918"/>
      <c r="P650" s="1918"/>
      <c r="Q650" s="1918"/>
      <c r="R650" s="1918"/>
      <c r="S650" s="1918"/>
      <c r="T650" s="1918"/>
      <c r="U650" s="1918"/>
      <c r="V650" s="1918"/>
      <c r="W650" s="1918"/>
      <c r="X650" s="1918"/>
      <c r="Y650" s="1918"/>
      <c r="Z650" s="1918"/>
      <c r="AA650" s="1918"/>
      <c r="AB650" s="1918"/>
      <c r="AC650" s="1918"/>
      <c r="AD650" s="1918"/>
      <c r="AE650" s="1918"/>
    </row>
    <row r="651" spans="1:31" ht="15.75" customHeight="1">
      <c r="A651" s="1918"/>
      <c r="B651" s="1918"/>
      <c r="C651" s="1918"/>
      <c r="D651" s="1918"/>
      <c r="E651" s="1918"/>
      <c r="F651" s="1918"/>
      <c r="G651" s="1918"/>
      <c r="H651" s="1918"/>
      <c r="I651" s="1918"/>
      <c r="J651" s="1918"/>
      <c r="K651" s="1918"/>
      <c r="L651" s="1918"/>
      <c r="M651" s="1918"/>
      <c r="N651" s="1918"/>
      <c r="O651" s="1918"/>
      <c r="P651" s="1918"/>
      <c r="Q651" s="1918"/>
      <c r="R651" s="1918"/>
      <c r="S651" s="1918"/>
      <c r="T651" s="1918"/>
      <c r="U651" s="1918"/>
      <c r="V651" s="1918"/>
      <c r="W651" s="1918"/>
      <c r="X651" s="1918"/>
      <c r="Y651" s="1918"/>
      <c r="Z651" s="1918"/>
      <c r="AA651" s="1918"/>
      <c r="AB651" s="1918"/>
      <c r="AC651" s="1918"/>
      <c r="AD651" s="1918"/>
      <c r="AE651" s="1918"/>
    </row>
    <row r="652" spans="1:31" ht="15.75" customHeight="1">
      <c r="A652" s="1918"/>
      <c r="B652" s="1918"/>
      <c r="C652" s="1918"/>
      <c r="D652" s="1918"/>
      <c r="E652" s="1918"/>
      <c r="F652" s="1918"/>
      <c r="G652" s="1918"/>
      <c r="H652" s="1918"/>
      <c r="I652" s="1918"/>
      <c r="J652" s="1918"/>
      <c r="K652" s="1918"/>
      <c r="L652" s="1918"/>
      <c r="M652" s="1918"/>
      <c r="N652" s="1918"/>
      <c r="O652" s="1918"/>
      <c r="P652" s="1918"/>
      <c r="Q652" s="1918"/>
      <c r="R652" s="1918"/>
      <c r="S652" s="1918"/>
      <c r="T652" s="1918"/>
      <c r="U652" s="1918"/>
      <c r="V652" s="1918"/>
      <c r="W652" s="1918"/>
      <c r="X652" s="1918"/>
      <c r="Y652" s="1918"/>
      <c r="Z652" s="1918"/>
      <c r="AA652" s="1918"/>
      <c r="AB652" s="1918"/>
      <c r="AC652" s="1918"/>
      <c r="AD652" s="1918"/>
      <c r="AE652" s="1918"/>
    </row>
    <row r="653" spans="1:31" ht="15.75" customHeight="1">
      <c r="A653" s="1918"/>
      <c r="B653" s="1918"/>
      <c r="C653" s="1918"/>
      <c r="D653" s="1918"/>
      <c r="E653" s="1918"/>
      <c r="F653" s="1918"/>
      <c r="G653" s="1918"/>
      <c r="H653" s="1918"/>
      <c r="I653" s="1918"/>
      <c r="J653" s="1918"/>
      <c r="K653" s="1918"/>
      <c r="L653" s="1918"/>
      <c r="M653" s="1918"/>
      <c r="N653" s="1918"/>
      <c r="O653" s="1918"/>
      <c r="P653" s="1918"/>
      <c r="Q653" s="1918"/>
      <c r="R653" s="1918"/>
      <c r="S653" s="1918"/>
      <c r="T653" s="1918"/>
      <c r="U653" s="1918"/>
      <c r="V653" s="1918"/>
      <c r="W653" s="1918"/>
      <c r="X653" s="1918"/>
      <c r="Y653" s="1918"/>
      <c r="Z653" s="1918"/>
      <c r="AA653" s="1918"/>
      <c r="AB653" s="1918"/>
      <c r="AC653" s="1918"/>
      <c r="AD653" s="1918"/>
      <c r="AE653" s="1918"/>
    </row>
    <row r="654" spans="1:31" ht="15.75" customHeight="1">
      <c r="A654" s="1918"/>
      <c r="B654" s="1918"/>
      <c r="C654" s="1918"/>
      <c r="D654" s="1918"/>
      <c r="E654" s="1918"/>
      <c r="F654" s="1918"/>
      <c r="G654" s="1918"/>
      <c r="H654" s="1918"/>
      <c r="I654" s="1918"/>
      <c r="J654" s="1918"/>
      <c r="K654" s="1918"/>
      <c r="L654" s="1918"/>
      <c r="M654" s="1918"/>
      <c r="N654" s="1918"/>
      <c r="O654" s="1918"/>
      <c r="P654" s="1918"/>
      <c r="Q654" s="1918"/>
      <c r="R654" s="1918"/>
      <c r="S654" s="1918"/>
      <c r="T654" s="1918"/>
      <c r="U654" s="1918"/>
      <c r="V654" s="1918"/>
      <c r="W654" s="1918"/>
      <c r="X654" s="1918"/>
      <c r="Y654" s="1918"/>
      <c r="Z654" s="1918"/>
      <c r="AA654" s="1918"/>
      <c r="AB654" s="1918"/>
      <c r="AC654" s="1918"/>
      <c r="AD654" s="1918"/>
      <c r="AE654" s="1918"/>
    </row>
    <row r="655" spans="1:31" ht="15.75" customHeight="1">
      <c r="A655" s="1918"/>
      <c r="B655" s="1918"/>
      <c r="C655" s="1918"/>
      <c r="D655" s="1918"/>
      <c r="E655" s="1918"/>
      <c r="F655" s="1918"/>
      <c r="G655" s="1918"/>
      <c r="H655" s="1918"/>
      <c r="I655" s="1918"/>
      <c r="J655" s="1918"/>
      <c r="K655" s="1918"/>
      <c r="L655" s="1918"/>
      <c r="M655" s="1918"/>
      <c r="N655" s="1918"/>
      <c r="O655" s="1918"/>
      <c r="P655" s="1918"/>
      <c r="Q655" s="1918"/>
      <c r="R655" s="1918"/>
      <c r="S655" s="1918"/>
      <c r="T655" s="1918"/>
      <c r="U655" s="1918"/>
      <c r="V655" s="1918"/>
      <c r="W655" s="1918"/>
      <c r="X655" s="1918"/>
      <c r="Y655" s="1918"/>
      <c r="Z655" s="1918"/>
      <c r="AA655" s="1918"/>
      <c r="AB655" s="1918"/>
      <c r="AC655" s="1918"/>
      <c r="AD655" s="1918"/>
      <c r="AE655" s="1918"/>
    </row>
    <row r="656" spans="1:31" ht="15.75" customHeight="1">
      <c r="A656" s="1918"/>
      <c r="B656" s="1918"/>
      <c r="C656" s="1918"/>
      <c r="D656" s="1918"/>
      <c r="E656" s="1918"/>
      <c r="F656" s="1918"/>
      <c r="G656" s="1918"/>
      <c r="H656" s="1918"/>
      <c r="I656" s="1918"/>
      <c r="J656" s="1918"/>
      <c r="K656" s="1918"/>
      <c r="L656" s="1918"/>
      <c r="M656" s="1918"/>
      <c r="N656" s="1918"/>
      <c r="O656" s="1918"/>
      <c r="P656" s="1918"/>
      <c r="Q656" s="1918"/>
      <c r="R656" s="1918"/>
      <c r="S656" s="1918"/>
      <c r="T656" s="1918"/>
      <c r="U656" s="1918"/>
      <c r="V656" s="1918"/>
      <c r="W656" s="1918"/>
      <c r="X656" s="1918"/>
      <c r="Y656" s="1918"/>
      <c r="Z656" s="1918"/>
      <c r="AA656" s="1918"/>
      <c r="AB656" s="1918"/>
      <c r="AC656" s="1918"/>
      <c r="AD656" s="1918"/>
      <c r="AE656" s="1918"/>
    </row>
    <row r="657" spans="1:31" ht="15.75" customHeight="1">
      <c r="A657" s="1918"/>
      <c r="B657" s="1918"/>
      <c r="C657" s="1918"/>
      <c r="D657" s="1918"/>
      <c r="E657" s="1918"/>
      <c r="F657" s="1918"/>
      <c r="G657" s="1918"/>
      <c r="H657" s="1918"/>
      <c r="I657" s="1918"/>
      <c r="J657" s="1918"/>
      <c r="K657" s="1918"/>
      <c r="L657" s="1918"/>
      <c r="M657" s="1918"/>
      <c r="N657" s="1918"/>
      <c r="O657" s="1918"/>
      <c r="P657" s="1918"/>
      <c r="Q657" s="1918"/>
      <c r="R657" s="1918"/>
      <c r="S657" s="1918"/>
      <c r="T657" s="1918"/>
      <c r="U657" s="1918"/>
      <c r="V657" s="1918"/>
      <c r="W657" s="1918"/>
      <c r="X657" s="1918"/>
      <c r="Y657" s="1918"/>
      <c r="Z657" s="1918"/>
      <c r="AA657" s="1918"/>
      <c r="AB657" s="1918"/>
      <c r="AC657" s="1918"/>
      <c r="AD657" s="1918"/>
      <c r="AE657" s="1918"/>
    </row>
    <row r="658" spans="1:31" ht="15.75" customHeight="1">
      <c r="A658" s="1918"/>
      <c r="B658" s="1918"/>
      <c r="C658" s="1918"/>
      <c r="D658" s="1918"/>
      <c r="E658" s="1918"/>
      <c r="F658" s="1918"/>
      <c r="G658" s="1918"/>
      <c r="H658" s="1918"/>
      <c r="I658" s="1918"/>
      <c r="J658" s="1918"/>
      <c r="K658" s="1918"/>
      <c r="L658" s="1918"/>
      <c r="M658" s="1918"/>
      <c r="N658" s="1918"/>
      <c r="O658" s="1918"/>
      <c r="P658" s="1918"/>
      <c r="Q658" s="1918"/>
      <c r="R658" s="1918"/>
      <c r="S658" s="1918"/>
      <c r="T658" s="1918"/>
      <c r="U658" s="1918"/>
      <c r="V658" s="1918"/>
      <c r="W658" s="1918"/>
      <c r="X658" s="1918"/>
      <c r="Y658" s="1918"/>
      <c r="Z658" s="1918"/>
      <c r="AA658" s="1918"/>
      <c r="AB658" s="1918"/>
      <c r="AC658" s="1918"/>
      <c r="AD658" s="1918"/>
      <c r="AE658" s="1918"/>
    </row>
    <row r="659" spans="1:31" ht="15.75" customHeight="1">
      <c r="A659" s="1918"/>
      <c r="B659" s="1918"/>
      <c r="C659" s="1918"/>
      <c r="D659" s="1918"/>
      <c r="E659" s="1918"/>
      <c r="F659" s="1918"/>
      <c r="G659" s="1918"/>
      <c r="H659" s="1918"/>
      <c r="I659" s="1918"/>
      <c r="J659" s="1918"/>
      <c r="K659" s="1918"/>
      <c r="L659" s="1918"/>
      <c r="M659" s="1918"/>
      <c r="N659" s="1918"/>
      <c r="O659" s="1918"/>
      <c r="P659" s="1918"/>
      <c r="Q659" s="1918"/>
      <c r="R659" s="1918"/>
      <c r="S659" s="1918"/>
      <c r="T659" s="1918"/>
      <c r="U659" s="1918"/>
      <c r="V659" s="1918"/>
      <c r="W659" s="1918"/>
      <c r="X659" s="1918"/>
      <c r="Y659" s="1918"/>
      <c r="Z659" s="1918"/>
      <c r="AA659" s="1918"/>
      <c r="AB659" s="1918"/>
      <c r="AC659" s="1918"/>
      <c r="AD659" s="1918"/>
      <c r="AE659" s="1918"/>
    </row>
    <row r="660" spans="1:31" ht="15.75" customHeight="1">
      <c r="A660" s="1918"/>
      <c r="B660" s="1918"/>
      <c r="C660" s="1918"/>
      <c r="D660" s="1918"/>
      <c r="E660" s="1918"/>
      <c r="F660" s="1918"/>
      <c r="G660" s="1918"/>
      <c r="H660" s="1918"/>
      <c r="I660" s="1918"/>
      <c r="J660" s="1918"/>
      <c r="K660" s="1918"/>
      <c r="L660" s="1918"/>
      <c r="M660" s="1918"/>
      <c r="N660" s="1918"/>
      <c r="O660" s="1918"/>
      <c r="P660" s="1918"/>
      <c r="Q660" s="1918"/>
      <c r="R660" s="1918"/>
      <c r="S660" s="1918"/>
      <c r="T660" s="1918"/>
      <c r="U660" s="1918"/>
      <c r="V660" s="1918"/>
      <c r="W660" s="1918"/>
      <c r="X660" s="1918"/>
      <c r="Y660" s="1918"/>
      <c r="Z660" s="1918"/>
      <c r="AA660" s="1918"/>
      <c r="AB660" s="1918"/>
      <c r="AC660" s="1918"/>
      <c r="AD660" s="1918"/>
      <c r="AE660" s="1918"/>
    </row>
    <row r="661" spans="1:31" ht="15.75" customHeight="1">
      <c r="A661" s="1918"/>
      <c r="B661" s="1918"/>
      <c r="C661" s="1918"/>
      <c r="D661" s="1918"/>
      <c r="E661" s="1918"/>
      <c r="F661" s="1918"/>
      <c r="G661" s="1918"/>
      <c r="H661" s="1918"/>
      <c r="I661" s="1918"/>
      <c r="J661" s="1918"/>
      <c r="K661" s="1918"/>
      <c r="L661" s="1918"/>
      <c r="M661" s="1918"/>
      <c r="N661" s="1918"/>
      <c r="O661" s="1918"/>
      <c r="P661" s="1918"/>
      <c r="Q661" s="1918"/>
      <c r="R661" s="1918"/>
      <c r="S661" s="1918"/>
      <c r="T661" s="1918"/>
      <c r="U661" s="1918"/>
      <c r="V661" s="1918"/>
      <c r="W661" s="1918"/>
      <c r="X661" s="1918"/>
      <c r="Y661" s="1918"/>
      <c r="Z661" s="1918"/>
      <c r="AA661" s="1918"/>
      <c r="AB661" s="1918"/>
      <c r="AC661" s="1918"/>
      <c r="AD661" s="1918"/>
      <c r="AE661" s="1918"/>
    </row>
    <row r="662" spans="1:31" ht="15.75" customHeight="1">
      <c r="A662" s="1918"/>
      <c r="B662" s="1918"/>
      <c r="C662" s="1918"/>
      <c r="D662" s="1918"/>
      <c r="E662" s="1918"/>
      <c r="F662" s="1918"/>
      <c r="G662" s="1918"/>
      <c r="H662" s="1918"/>
      <c r="I662" s="1918"/>
      <c r="J662" s="1918"/>
      <c r="K662" s="1918"/>
      <c r="L662" s="1918"/>
      <c r="M662" s="1918"/>
      <c r="N662" s="1918"/>
      <c r="O662" s="1918"/>
      <c r="P662" s="1918"/>
      <c r="Q662" s="1918"/>
      <c r="R662" s="1918"/>
      <c r="S662" s="1918"/>
      <c r="T662" s="1918"/>
      <c r="U662" s="1918"/>
      <c r="V662" s="1918"/>
      <c r="W662" s="1918"/>
      <c r="X662" s="1918"/>
      <c r="Y662" s="1918"/>
      <c r="Z662" s="1918"/>
      <c r="AA662" s="1918"/>
      <c r="AB662" s="1918"/>
      <c r="AC662" s="1918"/>
      <c r="AD662" s="1918"/>
      <c r="AE662" s="1918"/>
    </row>
    <row r="663" spans="1:31" ht="15.75" customHeight="1">
      <c r="A663" s="1918"/>
      <c r="B663" s="1918"/>
      <c r="C663" s="1918"/>
      <c r="D663" s="1918"/>
      <c r="E663" s="1918"/>
      <c r="F663" s="1918"/>
      <c r="G663" s="1918"/>
      <c r="H663" s="1918"/>
      <c r="I663" s="1918"/>
      <c r="J663" s="1918"/>
      <c r="K663" s="1918"/>
      <c r="L663" s="1918"/>
      <c r="M663" s="1918"/>
      <c r="N663" s="1918"/>
      <c r="O663" s="1918"/>
      <c r="P663" s="1918"/>
      <c r="Q663" s="1918"/>
      <c r="R663" s="1918"/>
      <c r="S663" s="1918"/>
      <c r="T663" s="1918"/>
      <c r="U663" s="1918"/>
      <c r="V663" s="1918"/>
      <c r="W663" s="1918"/>
      <c r="X663" s="1918"/>
      <c r="Y663" s="1918"/>
      <c r="Z663" s="1918"/>
      <c r="AA663" s="1918"/>
      <c r="AB663" s="1918"/>
      <c r="AC663" s="1918"/>
      <c r="AD663" s="1918"/>
      <c r="AE663" s="1918"/>
    </row>
    <row r="664" spans="1:31" ht="15.75" customHeight="1">
      <c r="A664" s="1918"/>
      <c r="B664" s="1918"/>
      <c r="C664" s="1918"/>
      <c r="D664" s="1918"/>
      <c r="E664" s="1918"/>
      <c r="F664" s="1918"/>
      <c r="G664" s="1918"/>
      <c r="H664" s="1918"/>
      <c r="I664" s="1918"/>
      <c r="J664" s="1918"/>
      <c r="K664" s="1918"/>
      <c r="L664" s="1918"/>
      <c r="M664" s="1918"/>
      <c r="N664" s="1918"/>
      <c r="O664" s="1918"/>
      <c r="P664" s="1918"/>
      <c r="Q664" s="1918"/>
      <c r="R664" s="1918"/>
      <c r="S664" s="1918"/>
      <c r="T664" s="1918"/>
      <c r="U664" s="1918"/>
      <c r="V664" s="1918"/>
      <c r="W664" s="1918"/>
      <c r="X664" s="1918"/>
      <c r="Y664" s="1918"/>
      <c r="Z664" s="1918"/>
      <c r="AA664" s="1918"/>
      <c r="AB664" s="1918"/>
      <c r="AC664" s="1918"/>
      <c r="AD664" s="1918"/>
      <c r="AE664" s="1918"/>
    </row>
    <row r="665" spans="1:31" ht="15.75" customHeight="1">
      <c r="A665" s="1918"/>
      <c r="B665" s="1918"/>
      <c r="C665" s="1918"/>
      <c r="D665" s="1918"/>
      <c r="E665" s="1918"/>
      <c r="F665" s="1918"/>
      <c r="G665" s="1918"/>
      <c r="H665" s="1918"/>
      <c r="I665" s="1918"/>
      <c r="J665" s="1918"/>
      <c r="K665" s="1918"/>
      <c r="L665" s="1918"/>
      <c r="M665" s="1918"/>
      <c r="N665" s="1918"/>
      <c r="O665" s="1918"/>
      <c r="P665" s="1918"/>
      <c r="Q665" s="1918"/>
      <c r="R665" s="1918"/>
      <c r="S665" s="1918"/>
      <c r="T665" s="1918"/>
      <c r="U665" s="1918"/>
      <c r="V665" s="1918"/>
      <c r="W665" s="1918"/>
      <c r="X665" s="1918"/>
      <c r="Y665" s="1918"/>
      <c r="Z665" s="1918"/>
      <c r="AA665" s="1918"/>
      <c r="AB665" s="1918"/>
      <c r="AC665" s="1918"/>
      <c r="AD665" s="1918"/>
      <c r="AE665" s="1918"/>
    </row>
    <row r="666" spans="1:31" ht="15.75" customHeight="1">
      <c r="A666" s="1918"/>
      <c r="B666" s="1918"/>
      <c r="C666" s="1918"/>
      <c r="D666" s="1918"/>
      <c r="E666" s="1918"/>
      <c r="F666" s="1918"/>
      <c r="G666" s="1918"/>
      <c r="H666" s="1918"/>
      <c r="I666" s="1918"/>
      <c r="J666" s="1918"/>
      <c r="K666" s="1918"/>
      <c r="L666" s="1918"/>
      <c r="M666" s="1918"/>
      <c r="N666" s="1918"/>
      <c r="O666" s="1918"/>
      <c r="P666" s="1918"/>
      <c r="Q666" s="1918"/>
      <c r="R666" s="1918"/>
      <c r="S666" s="1918"/>
      <c r="T666" s="1918"/>
      <c r="U666" s="1918"/>
      <c r="V666" s="1918"/>
      <c r="W666" s="1918"/>
      <c r="X666" s="1918"/>
      <c r="Y666" s="1918"/>
      <c r="Z666" s="1918"/>
      <c r="AA666" s="1918"/>
      <c r="AB666" s="1918"/>
      <c r="AC666" s="1918"/>
      <c r="AD666" s="1918"/>
      <c r="AE666" s="1918"/>
    </row>
    <row r="667" spans="1:31" ht="15.75" customHeight="1">
      <c r="A667" s="1918"/>
      <c r="B667" s="1918"/>
      <c r="C667" s="1918"/>
      <c r="D667" s="1918"/>
      <c r="E667" s="1918"/>
      <c r="F667" s="1918"/>
      <c r="G667" s="1918"/>
      <c r="H667" s="1918"/>
      <c r="I667" s="1918"/>
      <c r="J667" s="1918"/>
      <c r="K667" s="1918"/>
      <c r="L667" s="1918"/>
      <c r="M667" s="1918"/>
      <c r="N667" s="1918"/>
      <c r="O667" s="1918"/>
      <c r="P667" s="1918"/>
      <c r="Q667" s="1918"/>
      <c r="R667" s="1918"/>
      <c r="S667" s="1918"/>
      <c r="T667" s="1918"/>
      <c r="U667" s="1918"/>
      <c r="V667" s="1918"/>
      <c r="W667" s="1918"/>
      <c r="X667" s="1918"/>
      <c r="Y667" s="1918"/>
      <c r="Z667" s="1918"/>
      <c r="AA667" s="1918"/>
      <c r="AB667" s="1918"/>
      <c r="AC667" s="1918"/>
      <c r="AD667" s="1918"/>
      <c r="AE667" s="1918"/>
    </row>
    <row r="668" spans="1:31" ht="15.75" customHeight="1">
      <c r="A668" s="1918"/>
      <c r="B668" s="1918"/>
      <c r="C668" s="1918"/>
      <c r="D668" s="1918"/>
      <c r="E668" s="1918"/>
      <c r="F668" s="1918"/>
      <c r="G668" s="1918"/>
      <c r="H668" s="1918"/>
      <c r="I668" s="1918"/>
      <c r="J668" s="1918"/>
      <c r="K668" s="1918"/>
      <c r="L668" s="1918"/>
      <c r="M668" s="1918"/>
      <c r="N668" s="1918"/>
      <c r="O668" s="1918"/>
      <c r="P668" s="1918"/>
      <c r="Q668" s="1918"/>
      <c r="R668" s="1918"/>
      <c r="S668" s="1918"/>
      <c r="T668" s="1918"/>
      <c r="U668" s="1918"/>
      <c r="V668" s="1918"/>
      <c r="W668" s="1918"/>
      <c r="X668" s="1918"/>
      <c r="Y668" s="1918"/>
      <c r="Z668" s="1918"/>
      <c r="AA668" s="1918"/>
      <c r="AB668" s="1918"/>
      <c r="AC668" s="1918"/>
      <c r="AD668" s="1918"/>
      <c r="AE668" s="1918"/>
    </row>
    <row r="669" spans="1:31" ht="15.75" customHeight="1">
      <c r="A669" s="1918"/>
      <c r="B669" s="1918"/>
      <c r="C669" s="1918"/>
      <c r="D669" s="1918"/>
      <c r="E669" s="1918"/>
      <c r="F669" s="1918"/>
      <c r="G669" s="1918"/>
      <c r="H669" s="1918"/>
      <c r="I669" s="1918"/>
      <c r="J669" s="1918"/>
      <c r="K669" s="1918"/>
      <c r="L669" s="1918"/>
      <c r="M669" s="1918"/>
      <c r="N669" s="1918"/>
      <c r="O669" s="1918"/>
      <c r="P669" s="1918"/>
      <c r="Q669" s="1918"/>
      <c r="R669" s="1918"/>
      <c r="S669" s="1918"/>
      <c r="T669" s="1918"/>
      <c r="U669" s="1918"/>
      <c r="V669" s="1918"/>
      <c r="W669" s="1918"/>
      <c r="X669" s="1918"/>
      <c r="Y669" s="1918"/>
      <c r="Z669" s="1918"/>
      <c r="AA669" s="1918"/>
      <c r="AB669" s="1918"/>
      <c r="AC669" s="1918"/>
      <c r="AD669" s="1918"/>
      <c r="AE669" s="1918"/>
    </row>
    <row r="670" spans="1:31" ht="15.75" customHeight="1">
      <c r="A670" s="1918"/>
      <c r="B670" s="1918"/>
      <c r="C670" s="1918"/>
      <c r="D670" s="1918"/>
      <c r="E670" s="1918"/>
      <c r="F670" s="1918"/>
      <c r="G670" s="1918"/>
      <c r="H670" s="1918"/>
      <c r="I670" s="1918"/>
      <c r="J670" s="1918"/>
      <c r="K670" s="1918"/>
      <c r="L670" s="1918"/>
      <c r="M670" s="1918"/>
      <c r="N670" s="1918"/>
      <c r="O670" s="1918"/>
      <c r="P670" s="1918"/>
      <c r="Q670" s="1918"/>
      <c r="R670" s="1918"/>
      <c r="S670" s="1918"/>
      <c r="T670" s="1918"/>
      <c r="U670" s="1918"/>
      <c r="V670" s="1918"/>
      <c r="W670" s="1918"/>
      <c r="X670" s="1918"/>
      <c r="Y670" s="1918"/>
      <c r="Z670" s="1918"/>
      <c r="AA670" s="1918"/>
      <c r="AB670" s="1918"/>
      <c r="AC670" s="1918"/>
      <c r="AD670" s="1918"/>
      <c r="AE670" s="1918"/>
    </row>
    <row r="671" spans="1:31" ht="15.75" customHeight="1">
      <c r="A671" s="1918"/>
      <c r="B671" s="1918"/>
      <c r="C671" s="1918"/>
      <c r="D671" s="1918"/>
      <c r="E671" s="1918"/>
      <c r="F671" s="1918"/>
      <c r="G671" s="1918"/>
      <c r="H671" s="1918"/>
      <c r="I671" s="1918"/>
      <c r="J671" s="1918"/>
      <c r="K671" s="1918"/>
      <c r="L671" s="1918"/>
      <c r="M671" s="1918"/>
      <c r="N671" s="1918"/>
      <c r="O671" s="1918"/>
      <c r="P671" s="1918"/>
      <c r="Q671" s="1918"/>
      <c r="R671" s="1918"/>
      <c r="S671" s="1918"/>
      <c r="T671" s="1918"/>
      <c r="U671" s="1918"/>
      <c r="V671" s="1918"/>
      <c r="W671" s="1918"/>
      <c r="X671" s="1918"/>
      <c r="Y671" s="1918"/>
      <c r="Z671" s="1918"/>
      <c r="AA671" s="1918"/>
      <c r="AB671" s="1918"/>
      <c r="AC671" s="1918"/>
      <c r="AD671" s="1918"/>
      <c r="AE671" s="1918"/>
    </row>
    <row r="672" spans="1:31" ht="15.75" customHeight="1">
      <c r="A672" s="1918"/>
      <c r="B672" s="1918"/>
      <c r="C672" s="1918"/>
      <c r="D672" s="1918"/>
      <c r="E672" s="1918"/>
      <c r="F672" s="1918"/>
      <c r="G672" s="1918"/>
      <c r="H672" s="1918"/>
      <c r="I672" s="1918"/>
      <c r="J672" s="1918"/>
      <c r="K672" s="1918"/>
      <c r="L672" s="1918"/>
      <c r="M672" s="1918"/>
      <c r="N672" s="1918"/>
      <c r="O672" s="1918"/>
      <c r="P672" s="1918"/>
      <c r="Q672" s="1918"/>
      <c r="R672" s="1918"/>
      <c r="S672" s="1918"/>
      <c r="T672" s="1918"/>
      <c r="U672" s="1918"/>
      <c r="V672" s="1918"/>
      <c r="W672" s="1918"/>
      <c r="X672" s="1918"/>
      <c r="Y672" s="1918"/>
      <c r="Z672" s="1918"/>
      <c r="AA672" s="1918"/>
      <c r="AB672" s="1918"/>
      <c r="AC672" s="1918"/>
      <c r="AD672" s="1918"/>
      <c r="AE672" s="1918"/>
    </row>
    <row r="673" spans="1:31" ht="15.75" customHeight="1">
      <c r="A673" s="1918"/>
      <c r="B673" s="1918"/>
      <c r="C673" s="1918"/>
      <c r="D673" s="1918"/>
      <c r="E673" s="1918"/>
      <c r="F673" s="1918"/>
      <c r="G673" s="1918"/>
      <c r="H673" s="1918"/>
      <c r="I673" s="1918"/>
      <c r="J673" s="1918"/>
      <c r="K673" s="1918"/>
      <c r="L673" s="1918"/>
      <c r="M673" s="1918"/>
      <c r="N673" s="1918"/>
      <c r="O673" s="1918"/>
      <c r="P673" s="1918"/>
      <c r="Q673" s="1918"/>
      <c r="R673" s="1918"/>
      <c r="S673" s="1918"/>
      <c r="T673" s="1918"/>
      <c r="U673" s="1918"/>
      <c r="V673" s="1918"/>
      <c r="W673" s="1918"/>
      <c r="X673" s="1918"/>
      <c r="Y673" s="1918"/>
      <c r="Z673" s="1918"/>
      <c r="AA673" s="1918"/>
      <c r="AB673" s="1918"/>
      <c r="AC673" s="1918"/>
      <c r="AD673" s="1918"/>
      <c r="AE673" s="1918"/>
    </row>
    <row r="674" spans="1:31" ht="15.75" customHeight="1">
      <c r="A674" s="1918"/>
      <c r="B674" s="1918"/>
      <c r="C674" s="1918"/>
      <c r="D674" s="1918"/>
      <c r="E674" s="1918"/>
      <c r="F674" s="1918"/>
      <c r="G674" s="1918"/>
      <c r="H674" s="1918"/>
      <c r="I674" s="1918"/>
      <c r="J674" s="1918"/>
      <c r="K674" s="1918"/>
      <c r="L674" s="1918"/>
      <c r="M674" s="1918"/>
      <c r="N674" s="1918"/>
      <c r="O674" s="1918"/>
      <c r="P674" s="1918"/>
      <c r="Q674" s="1918"/>
      <c r="R674" s="1918"/>
      <c r="S674" s="1918"/>
      <c r="T674" s="1918"/>
      <c r="U674" s="1918"/>
      <c r="V674" s="1918"/>
      <c r="W674" s="1918"/>
      <c r="X674" s="1918"/>
      <c r="Y674" s="1918"/>
      <c r="Z674" s="1918"/>
      <c r="AA674" s="1918"/>
      <c r="AB674" s="1918"/>
      <c r="AC674" s="1918"/>
      <c r="AD674" s="1918"/>
      <c r="AE674" s="1918"/>
    </row>
    <row r="675" spans="1:31" ht="15.75" customHeight="1">
      <c r="A675" s="1918"/>
      <c r="B675" s="1918"/>
      <c r="C675" s="1918"/>
      <c r="D675" s="1918"/>
      <c r="E675" s="1918"/>
      <c r="F675" s="1918"/>
      <c r="G675" s="1918"/>
      <c r="H675" s="1918"/>
      <c r="I675" s="1918"/>
      <c r="J675" s="1918"/>
      <c r="K675" s="1918"/>
      <c r="L675" s="1918"/>
      <c r="M675" s="1918"/>
      <c r="N675" s="1918"/>
      <c r="O675" s="1918"/>
      <c r="P675" s="1918"/>
      <c r="Q675" s="1918"/>
      <c r="R675" s="1918"/>
      <c r="S675" s="1918"/>
      <c r="T675" s="1918"/>
      <c r="U675" s="1918"/>
      <c r="V675" s="1918"/>
      <c r="W675" s="1918"/>
      <c r="X675" s="1918"/>
      <c r="Y675" s="1918"/>
      <c r="Z675" s="1918"/>
      <c r="AA675" s="1918"/>
      <c r="AB675" s="1918"/>
      <c r="AC675" s="1918"/>
      <c r="AD675" s="1918"/>
      <c r="AE675" s="1918"/>
    </row>
    <row r="676" spans="1:31" ht="15.75" customHeight="1">
      <c r="A676" s="1918"/>
      <c r="B676" s="1918"/>
      <c r="C676" s="1918"/>
      <c r="D676" s="1918"/>
      <c r="E676" s="1918"/>
      <c r="F676" s="1918"/>
      <c r="G676" s="1918"/>
      <c r="H676" s="1918"/>
      <c r="I676" s="1918"/>
      <c r="J676" s="1918"/>
      <c r="K676" s="1918"/>
      <c r="L676" s="1918"/>
      <c r="M676" s="1918"/>
      <c r="N676" s="1918"/>
      <c r="O676" s="1918"/>
      <c r="P676" s="1918"/>
      <c r="Q676" s="1918"/>
      <c r="R676" s="1918"/>
      <c r="S676" s="1918"/>
      <c r="T676" s="1918"/>
      <c r="U676" s="1918"/>
      <c r="V676" s="1918"/>
      <c r="W676" s="1918"/>
      <c r="X676" s="1918"/>
      <c r="Y676" s="1918"/>
      <c r="Z676" s="1918"/>
      <c r="AA676" s="1918"/>
      <c r="AB676" s="1918"/>
      <c r="AC676" s="1918"/>
      <c r="AD676" s="1918"/>
      <c r="AE676" s="1918"/>
    </row>
    <row r="677" spans="1:31" ht="15.75" customHeight="1">
      <c r="A677" s="1918"/>
      <c r="B677" s="1918"/>
      <c r="C677" s="1918"/>
      <c r="D677" s="1918"/>
      <c r="E677" s="1918"/>
      <c r="F677" s="1918"/>
      <c r="G677" s="1918"/>
      <c r="H677" s="1918"/>
      <c r="I677" s="1918"/>
      <c r="J677" s="1918"/>
      <c r="K677" s="1918"/>
      <c r="L677" s="1918"/>
      <c r="M677" s="1918"/>
      <c r="N677" s="1918"/>
      <c r="O677" s="1918"/>
      <c r="P677" s="1918"/>
      <c r="Q677" s="1918"/>
      <c r="R677" s="1918"/>
      <c r="S677" s="1918"/>
      <c r="T677" s="1918"/>
      <c r="U677" s="1918"/>
      <c r="V677" s="1918"/>
      <c r="W677" s="1918"/>
      <c r="X677" s="1918"/>
      <c r="Y677" s="1918"/>
      <c r="Z677" s="1918"/>
      <c r="AA677" s="1918"/>
      <c r="AB677" s="1918"/>
      <c r="AC677" s="1918"/>
      <c r="AD677" s="1918"/>
      <c r="AE677" s="1918"/>
    </row>
    <row r="678" spans="1:31" ht="15.75" customHeight="1">
      <c r="A678" s="1918"/>
      <c r="B678" s="1918"/>
      <c r="C678" s="1918"/>
      <c r="D678" s="1918"/>
      <c r="E678" s="1918"/>
      <c r="F678" s="1918"/>
      <c r="G678" s="1918"/>
      <c r="H678" s="1918"/>
      <c r="I678" s="1918"/>
      <c r="J678" s="1918"/>
      <c r="K678" s="1918"/>
      <c r="L678" s="1918"/>
      <c r="M678" s="1918"/>
      <c r="N678" s="1918"/>
      <c r="O678" s="1918"/>
      <c r="P678" s="1918"/>
      <c r="Q678" s="1918"/>
      <c r="R678" s="1918"/>
      <c r="S678" s="1918"/>
      <c r="T678" s="1918"/>
      <c r="U678" s="1918"/>
      <c r="V678" s="1918"/>
      <c r="W678" s="1918"/>
      <c r="X678" s="1918"/>
      <c r="Y678" s="1918"/>
      <c r="Z678" s="1918"/>
      <c r="AA678" s="1918"/>
      <c r="AB678" s="1918"/>
      <c r="AC678" s="1918"/>
      <c r="AD678" s="1918"/>
      <c r="AE678" s="1918"/>
    </row>
    <row r="679" spans="1:31" ht="15.75" customHeight="1">
      <c r="A679" s="1918"/>
      <c r="B679" s="1918"/>
      <c r="C679" s="1918"/>
      <c r="D679" s="1918"/>
      <c r="E679" s="1918"/>
      <c r="F679" s="1918"/>
      <c r="G679" s="1918"/>
      <c r="H679" s="1918"/>
      <c r="I679" s="1918"/>
      <c r="J679" s="1918"/>
      <c r="K679" s="1918"/>
      <c r="L679" s="1918"/>
      <c r="M679" s="1918"/>
      <c r="N679" s="1918"/>
      <c r="O679" s="1918"/>
      <c r="P679" s="1918"/>
      <c r="Q679" s="1918"/>
      <c r="R679" s="1918"/>
      <c r="S679" s="1918"/>
      <c r="T679" s="1918"/>
      <c r="U679" s="1918"/>
      <c r="V679" s="1918"/>
      <c r="W679" s="1918"/>
      <c r="X679" s="1918"/>
      <c r="Y679" s="1918"/>
      <c r="Z679" s="1918"/>
      <c r="AA679" s="1918"/>
      <c r="AB679" s="1918"/>
      <c r="AC679" s="1918"/>
      <c r="AD679" s="1918"/>
      <c r="AE679" s="1918"/>
    </row>
    <row r="680" spans="1:31" ht="15.75" customHeight="1">
      <c r="A680" s="1918"/>
      <c r="B680" s="1918"/>
      <c r="C680" s="1918"/>
      <c r="D680" s="1918"/>
      <c r="E680" s="1918"/>
      <c r="F680" s="1918"/>
      <c r="G680" s="1918"/>
      <c r="H680" s="1918"/>
      <c r="I680" s="1918"/>
      <c r="J680" s="1918"/>
      <c r="K680" s="1918"/>
      <c r="L680" s="1918"/>
      <c r="M680" s="1918"/>
      <c r="N680" s="1918"/>
      <c r="O680" s="1918"/>
      <c r="P680" s="1918"/>
      <c r="Q680" s="1918"/>
      <c r="R680" s="1918"/>
      <c r="S680" s="1918"/>
      <c r="T680" s="1918"/>
      <c r="U680" s="1918"/>
      <c r="V680" s="1918"/>
      <c r="W680" s="1918"/>
      <c r="X680" s="1918"/>
      <c r="Y680" s="1918"/>
      <c r="Z680" s="1918"/>
      <c r="AA680" s="1918"/>
      <c r="AB680" s="1918"/>
      <c r="AC680" s="1918"/>
      <c r="AD680" s="1918"/>
      <c r="AE680" s="1918"/>
    </row>
    <row r="681" spans="1:31" ht="15.75" customHeight="1">
      <c r="A681" s="1918"/>
      <c r="B681" s="1918"/>
      <c r="C681" s="1918"/>
      <c r="D681" s="1918"/>
      <c r="E681" s="1918"/>
      <c r="F681" s="1918"/>
      <c r="G681" s="1918"/>
      <c r="H681" s="1918"/>
      <c r="I681" s="1918"/>
      <c r="J681" s="1918"/>
      <c r="K681" s="1918"/>
      <c r="L681" s="1918"/>
      <c r="M681" s="1918"/>
      <c r="N681" s="1918"/>
      <c r="O681" s="1918"/>
      <c r="P681" s="1918"/>
      <c r="Q681" s="1918"/>
      <c r="R681" s="1918"/>
      <c r="S681" s="1918"/>
      <c r="T681" s="1918"/>
      <c r="U681" s="1918"/>
      <c r="V681" s="1918"/>
      <c r="W681" s="1918"/>
      <c r="X681" s="1918"/>
      <c r="Y681" s="1918"/>
      <c r="Z681" s="1918"/>
      <c r="AA681" s="1918"/>
      <c r="AB681" s="1918"/>
      <c r="AC681" s="1918"/>
      <c r="AD681" s="1918"/>
      <c r="AE681" s="1918"/>
    </row>
    <row r="682" spans="1:31" ht="15.75" customHeight="1">
      <c r="A682" s="1918"/>
      <c r="B682" s="1918"/>
      <c r="C682" s="1918"/>
      <c r="D682" s="1918"/>
      <c r="E682" s="1918"/>
      <c r="F682" s="1918"/>
      <c r="G682" s="1918"/>
      <c r="H682" s="1918"/>
      <c r="I682" s="1918"/>
      <c r="J682" s="1918"/>
      <c r="K682" s="1918"/>
      <c r="L682" s="1918"/>
      <c r="M682" s="1918"/>
      <c r="N682" s="1918"/>
      <c r="O682" s="1918"/>
      <c r="P682" s="1918"/>
      <c r="Q682" s="1918"/>
      <c r="R682" s="1918"/>
      <c r="S682" s="1918"/>
      <c r="T682" s="1918"/>
      <c r="U682" s="1918"/>
      <c r="V682" s="1918"/>
      <c r="W682" s="1918"/>
      <c r="X682" s="1918"/>
      <c r="Y682" s="1918"/>
      <c r="Z682" s="1918"/>
      <c r="AA682" s="1918"/>
      <c r="AB682" s="1918"/>
      <c r="AC682" s="1918"/>
      <c r="AD682" s="1918"/>
      <c r="AE682" s="1918"/>
    </row>
    <row r="683" spans="1:31" ht="15.75" customHeight="1">
      <c r="A683" s="1918"/>
      <c r="B683" s="1918"/>
      <c r="C683" s="1918"/>
      <c r="D683" s="1918"/>
      <c r="E683" s="1918"/>
      <c r="F683" s="1918"/>
      <c r="G683" s="1918"/>
      <c r="H683" s="1918"/>
      <c r="I683" s="1918"/>
      <c r="J683" s="1918"/>
      <c r="K683" s="1918"/>
      <c r="L683" s="1918"/>
      <c r="M683" s="1918"/>
      <c r="N683" s="1918"/>
      <c r="O683" s="1918"/>
      <c r="P683" s="1918"/>
      <c r="Q683" s="1918"/>
      <c r="R683" s="1918"/>
      <c r="S683" s="1918"/>
      <c r="T683" s="1918"/>
      <c r="U683" s="1918"/>
      <c r="V683" s="1918"/>
      <c r="W683" s="1918"/>
      <c r="X683" s="1918"/>
      <c r="Y683" s="1918"/>
      <c r="Z683" s="1918"/>
      <c r="AA683" s="1918"/>
      <c r="AB683" s="1918"/>
      <c r="AC683" s="1918"/>
      <c r="AD683" s="1918"/>
      <c r="AE683" s="1918"/>
    </row>
    <row r="684" spans="1:31" ht="15.75" customHeight="1">
      <c r="A684" s="1918"/>
      <c r="B684" s="1918"/>
      <c r="C684" s="1918"/>
      <c r="D684" s="1918"/>
      <c r="E684" s="1918"/>
      <c r="F684" s="1918"/>
      <c r="G684" s="1918"/>
      <c r="H684" s="1918"/>
      <c r="I684" s="1918"/>
      <c r="J684" s="1918"/>
      <c r="K684" s="1918"/>
      <c r="L684" s="1918"/>
      <c r="M684" s="1918"/>
      <c r="N684" s="1918"/>
      <c r="O684" s="1918"/>
      <c r="P684" s="1918"/>
      <c r="Q684" s="1918"/>
      <c r="R684" s="1918"/>
      <c r="S684" s="1918"/>
      <c r="T684" s="1918"/>
      <c r="U684" s="1918"/>
      <c r="V684" s="1918"/>
      <c r="W684" s="1918"/>
      <c r="X684" s="1918"/>
      <c r="Y684" s="1918"/>
      <c r="Z684" s="1918"/>
      <c r="AA684" s="1918"/>
      <c r="AB684" s="1918"/>
      <c r="AC684" s="1918"/>
      <c r="AD684" s="1918"/>
      <c r="AE684" s="1918"/>
    </row>
    <row r="685" spans="1:31" ht="15.75" customHeight="1">
      <c r="A685" s="1918"/>
      <c r="B685" s="1918"/>
      <c r="C685" s="1918"/>
      <c r="D685" s="1918"/>
      <c r="E685" s="1918"/>
      <c r="F685" s="1918"/>
      <c r="G685" s="1918"/>
      <c r="H685" s="1918"/>
      <c r="I685" s="1918"/>
      <c r="J685" s="1918"/>
      <c r="K685" s="1918"/>
      <c r="L685" s="1918"/>
      <c r="M685" s="1918"/>
      <c r="N685" s="1918"/>
      <c r="O685" s="1918"/>
      <c r="P685" s="1918"/>
      <c r="Q685" s="1918"/>
      <c r="R685" s="1918"/>
      <c r="S685" s="1918"/>
      <c r="T685" s="1918"/>
      <c r="U685" s="1918"/>
      <c r="V685" s="1918"/>
      <c r="W685" s="1918"/>
      <c r="X685" s="1918"/>
      <c r="Y685" s="1918"/>
      <c r="Z685" s="1918"/>
      <c r="AA685" s="1918"/>
      <c r="AB685" s="1918"/>
      <c r="AC685" s="1918"/>
      <c r="AD685" s="1918"/>
      <c r="AE685" s="1918"/>
    </row>
    <row r="686" spans="1:31" ht="15.75" customHeight="1">
      <c r="A686" s="1918"/>
      <c r="B686" s="1918"/>
      <c r="C686" s="1918"/>
      <c r="D686" s="1918"/>
      <c r="E686" s="1918"/>
      <c r="F686" s="1918"/>
      <c r="G686" s="1918"/>
      <c r="H686" s="1918"/>
      <c r="I686" s="1918"/>
      <c r="J686" s="1918"/>
      <c r="K686" s="1918"/>
      <c r="L686" s="1918"/>
      <c r="M686" s="1918"/>
      <c r="N686" s="1918"/>
      <c r="O686" s="1918"/>
      <c r="P686" s="1918"/>
      <c r="Q686" s="1918"/>
      <c r="R686" s="1918"/>
      <c r="S686" s="1918"/>
      <c r="T686" s="1918"/>
      <c r="U686" s="1918"/>
      <c r="V686" s="1918"/>
      <c r="W686" s="1918"/>
      <c r="X686" s="1918"/>
      <c r="Y686" s="1918"/>
      <c r="Z686" s="1918"/>
      <c r="AA686" s="1918"/>
      <c r="AB686" s="1918"/>
      <c r="AC686" s="1918"/>
      <c r="AD686" s="1918"/>
      <c r="AE686" s="1918"/>
    </row>
    <row r="687" spans="1:31" ht="15.75" customHeight="1">
      <c r="A687" s="1918"/>
      <c r="B687" s="1918"/>
      <c r="C687" s="1918"/>
      <c r="D687" s="1918"/>
      <c r="E687" s="1918"/>
      <c r="F687" s="1918"/>
      <c r="G687" s="1918"/>
      <c r="H687" s="1918"/>
      <c r="I687" s="1918"/>
      <c r="J687" s="1918"/>
      <c r="K687" s="1918"/>
      <c r="L687" s="1918"/>
      <c r="M687" s="1918"/>
      <c r="N687" s="1918"/>
      <c r="O687" s="1918"/>
      <c r="P687" s="1918"/>
      <c r="Q687" s="1918"/>
      <c r="R687" s="1918"/>
      <c r="S687" s="1918"/>
      <c r="T687" s="1918"/>
      <c r="U687" s="1918"/>
      <c r="V687" s="1918"/>
      <c r="W687" s="1918"/>
      <c r="X687" s="1918"/>
      <c r="Y687" s="1918"/>
      <c r="Z687" s="1918"/>
      <c r="AA687" s="1918"/>
      <c r="AB687" s="1918"/>
      <c r="AC687" s="1918"/>
      <c r="AD687" s="1918"/>
      <c r="AE687" s="1918"/>
    </row>
    <row r="688" spans="1:31" ht="15.75" customHeight="1">
      <c r="A688" s="1918"/>
      <c r="B688" s="1918"/>
      <c r="C688" s="1918"/>
      <c r="D688" s="1918"/>
      <c r="E688" s="1918"/>
      <c r="F688" s="1918"/>
      <c r="G688" s="1918"/>
      <c r="H688" s="1918"/>
      <c r="I688" s="1918"/>
      <c r="J688" s="1918"/>
      <c r="K688" s="1918"/>
      <c r="L688" s="1918"/>
      <c r="M688" s="1918"/>
      <c r="N688" s="1918"/>
      <c r="O688" s="1918"/>
      <c r="P688" s="1918"/>
      <c r="Q688" s="1918"/>
      <c r="R688" s="1918"/>
      <c r="S688" s="1918"/>
      <c r="T688" s="1918"/>
      <c r="U688" s="1918"/>
      <c r="V688" s="1918"/>
      <c r="W688" s="1918"/>
      <c r="X688" s="1918"/>
      <c r="Y688" s="1918"/>
      <c r="Z688" s="1918"/>
      <c r="AA688" s="1918"/>
      <c r="AB688" s="1918"/>
      <c r="AC688" s="1918"/>
      <c r="AD688" s="1918"/>
      <c r="AE688" s="1918"/>
    </row>
    <row r="689" spans="1:31" ht="15.75" customHeight="1">
      <c r="A689" s="1918"/>
      <c r="B689" s="1918"/>
      <c r="C689" s="1918"/>
      <c r="D689" s="1918"/>
      <c r="E689" s="1918"/>
      <c r="F689" s="1918"/>
      <c r="G689" s="1918"/>
      <c r="H689" s="1918"/>
      <c r="I689" s="1918"/>
      <c r="J689" s="1918"/>
      <c r="K689" s="1918"/>
      <c r="L689" s="1918"/>
      <c r="M689" s="1918"/>
      <c r="N689" s="1918"/>
      <c r="O689" s="1918"/>
      <c r="P689" s="1918"/>
      <c r="Q689" s="1918"/>
      <c r="R689" s="1918"/>
      <c r="S689" s="1918"/>
      <c r="T689" s="1918"/>
      <c r="U689" s="1918"/>
      <c r="V689" s="1918"/>
      <c r="W689" s="1918"/>
      <c r="X689" s="1918"/>
      <c r="Y689" s="1918"/>
      <c r="Z689" s="1918"/>
      <c r="AA689" s="1918"/>
      <c r="AB689" s="1918"/>
      <c r="AC689" s="1918"/>
      <c r="AD689" s="1918"/>
      <c r="AE689" s="1918"/>
    </row>
    <row r="690" spans="1:31" ht="15.75" customHeight="1">
      <c r="A690" s="1918"/>
      <c r="B690" s="1918"/>
      <c r="C690" s="1918"/>
      <c r="D690" s="1918"/>
      <c r="E690" s="1918"/>
      <c r="F690" s="1918"/>
      <c r="G690" s="1918"/>
      <c r="H690" s="1918"/>
      <c r="I690" s="1918"/>
      <c r="J690" s="1918"/>
      <c r="K690" s="1918"/>
      <c r="L690" s="1918"/>
      <c r="M690" s="1918"/>
      <c r="N690" s="1918"/>
      <c r="O690" s="1918"/>
      <c r="P690" s="1918"/>
      <c r="Q690" s="1918"/>
      <c r="R690" s="1918"/>
      <c r="S690" s="1918"/>
      <c r="T690" s="1918"/>
      <c r="U690" s="1918"/>
      <c r="V690" s="1918"/>
      <c r="W690" s="1918"/>
      <c r="X690" s="1918"/>
      <c r="Y690" s="1918"/>
      <c r="Z690" s="1918"/>
      <c r="AA690" s="1918"/>
      <c r="AB690" s="1918"/>
      <c r="AC690" s="1918"/>
      <c r="AD690" s="1918"/>
      <c r="AE690" s="1918"/>
    </row>
    <row r="691" spans="1:31" ht="15.75" customHeight="1">
      <c r="A691" s="1918"/>
      <c r="B691" s="1918"/>
      <c r="C691" s="1918"/>
      <c r="D691" s="1918"/>
      <c r="E691" s="1918"/>
      <c r="F691" s="1918"/>
      <c r="G691" s="1918"/>
      <c r="H691" s="1918"/>
      <c r="I691" s="1918"/>
      <c r="J691" s="1918"/>
      <c r="K691" s="1918"/>
      <c r="L691" s="1918"/>
      <c r="M691" s="1918"/>
      <c r="N691" s="1918"/>
      <c r="O691" s="1918"/>
      <c r="P691" s="1918"/>
      <c r="Q691" s="1918"/>
      <c r="R691" s="1918"/>
      <c r="S691" s="1918"/>
      <c r="T691" s="1918"/>
      <c r="U691" s="1918"/>
      <c r="V691" s="1918"/>
      <c r="W691" s="1918"/>
      <c r="X691" s="1918"/>
      <c r="Y691" s="1918"/>
      <c r="Z691" s="1918"/>
      <c r="AA691" s="1918"/>
      <c r="AB691" s="1918"/>
      <c r="AC691" s="1918"/>
      <c r="AD691" s="1918"/>
      <c r="AE691" s="1918"/>
    </row>
    <row r="692" spans="1:31" ht="15.75" customHeight="1">
      <c r="A692" s="1918"/>
      <c r="B692" s="1918"/>
      <c r="C692" s="1918"/>
      <c r="D692" s="1918"/>
      <c r="E692" s="1918"/>
      <c r="F692" s="1918"/>
      <c r="G692" s="1918"/>
      <c r="H692" s="1918"/>
      <c r="I692" s="1918"/>
      <c r="J692" s="1918"/>
      <c r="K692" s="1918"/>
      <c r="L692" s="1918"/>
      <c r="M692" s="1918"/>
      <c r="N692" s="1918"/>
      <c r="O692" s="1918"/>
      <c r="P692" s="1918"/>
      <c r="Q692" s="1918"/>
      <c r="R692" s="1918"/>
      <c r="S692" s="1918"/>
      <c r="T692" s="1918"/>
      <c r="U692" s="1918"/>
      <c r="V692" s="1918"/>
      <c r="W692" s="1918"/>
      <c r="X692" s="1918"/>
      <c r="Y692" s="1918"/>
      <c r="Z692" s="1918"/>
      <c r="AA692" s="1918"/>
      <c r="AB692" s="1918"/>
      <c r="AC692" s="1918"/>
      <c r="AD692" s="1918"/>
      <c r="AE692" s="1918"/>
    </row>
    <row r="693" spans="1:31" ht="15.75" customHeight="1">
      <c r="A693" s="1918"/>
      <c r="B693" s="1918"/>
      <c r="C693" s="1918"/>
      <c r="D693" s="1918"/>
      <c r="E693" s="1918"/>
      <c r="F693" s="1918"/>
      <c r="G693" s="1918"/>
      <c r="H693" s="1918"/>
      <c r="I693" s="1918"/>
      <c r="J693" s="1918"/>
      <c r="K693" s="1918"/>
      <c r="L693" s="1918"/>
      <c r="M693" s="1918"/>
      <c r="N693" s="1918"/>
      <c r="O693" s="1918"/>
      <c r="P693" s="1918"/>
      <c r="Q693" s="1918"/>
      <c r="R693" s="1918"/>
      <c r="S693" s="1918"/>
      <c r="T693" s="1918"/>
      <c r="U693" s="1918"/>
      <c r="V693" s="1918"/>
      <c r="W693" s="1918"/>
      <c r="X693" s="1918"/>
      <c r="Y693" s="1918"/>
      <c r="Z693" s="1918"/>
      <c r="AA693" s="1918"/>
      <c r="AB693" s="1918"/>
      <c r="AC693" s="1918"/>
      <c r="AD693" s="1918"/>
      <c r="AE693" s="1918"/>
    </row>
    <row r="694" spans="1:31" ht="15.75" customHeight="1">
      <c r="A694" s="1918"/>
      <c r="B694" s="1918"/>
      <c r="C694" s="1918"/>
      <c r="D694" s="1918"/>
      <c r="E694" s="1918"/>
      <c r="F694" s="1918"/>
      <c r="G694" s="1918"/>
      <c r="H694" s="1918"/>
      <c r="I694" s="1918"/>
      <c r="J694" s="1918"/>
      <c r="K694" s="1918"/>
      <c r="L694" s="1918"/>
      <c r="M694" s="1918"/>
      <c r="N694" s="1918"/>
      <c r="O694" s="1918"/>
      <c r="P694" s="1918"/>
      <c r="Q694" s="1918"/>
      <c r="R694" s="1918"/>
      <c r="S694" s="1918"/>
      <c r="T694" s="1918"/>
      <c r="U694" s="1918"/>
      <c r="V694" s="1918"/>
      <c r="W694" s="1918"/>
      <c r="X694" s="1918"/>
      <c r="Y694" s="1918"/>
      <c r="Z694" s="1918"/>
      <c r="AA694" s="1918"/>
      <c r="AB694" s="1918"/>
      <c r="AC694" s="1918"/>
      <c r="AD694" s="1918"/>
      <c r="AE694" s="1918"/>
    </row>
    <row r="695" spans="1:31" ht="15.75" customHeight="1">
      <c r="A695" s="1918"/>
      <c r="B695" s="1918"/>
      <c r="C695" s="1918"/>
      <c r="D695" s="1918"/>
      <c r="E695" s="1918"/>
      <c r="F695" s="1918"/>
      <c r="G695" s="1918"/>
      <c r="H695" s="1918"/>
      <c r="I695" s="1918"/>
      <c r="J695" s="1918"/>
      <c r="K695" s="1918"/>
      <c r="L695" s="1918"/>
      <c r="M695" s="1918"/>
      <c r="N695" s="1918"/>
      <c r="O695" s="1918"/>
      <c r="P695" s="1918"/>
      <c r="Q695" s="1918"/>
      <c r="R695" s="1918"/>
      <c r="S695" s="1918"/>
      <c r="T695" s="1918"/>
      <c r="U695" s="1918"/>
      <c r="V695" s="1918"/>
      <c r="W695" s="1918"/>
      <c r="X695" s="1918"/>
      <c r="Y695" s="1918"/>
      <c r="Z695" s="1918"/>
      <c r="AA695" s="1918"/>
      <c r="AB695" s="1918"/>
      <c r="AC695" s="1918"/>
      <c r="AD695" s="1918"/>
      <c r="AE695" s="1918"/>
    </row>
    <row r="696" spans="1:31" ht="15.75" customHeight="1">
      <c r="A696" s="1918"/>
      <c r="B696" s="1918"/>
      <c r="C696" s="1918"/>
      <c r="D696" s="1918"/>
      <c r="E696" s="1918"/>
      <c r="F696" s="1918"/>
      <c r="G696" s="1918"/>
      <c r="H696" s="1918"/>
      <c r="I696" s="1918"/>
      <c r="J696" s="1918"/>
      <c r="K696" s="1918"/>
      <c r="L696" s="1918"/>
      <c r="M696" s="1918"/>
      <c r="N696" s="1918"/>
      <c r="O696" s="1918"/>
      <c r="P696" s="1918"/>
      <c r="Q696" s="1918"/>
      <c r="R696" s="1918"/>
      <c r="S696" s="1918"/>
      <c r="T696" s="1918"/>
      <c r="U696" s="1918"/>
      <c r="V696" s="1918"/>
      <c r="W696" s="1918"/>
      <c r="X696" s="1918"/>
      <c r="Y696" s="1918"/>
      <c r="Z696" s="1918"/>
      <c r="AA696" s="1918"/>
      <c r="AB696" s="1918"/>
      <c r="AC696" s="1918"/>
      <c r="AD696" s="1918"/>
      <c r="AE696" s="1918"/>
    </row>
    <row r="697" spans="1:31" ht="15.75" customHeight="1">
      <c r="A697" s="1918"/>
      <c r="B697" s="1918"/>
      <c r="C697" s="1918"/>
      <c r="D697" s="1918"/>
      <c r="E697" s="1918"/>
      <c r="F697" s="1918"/>
      <c r="G697" s="1918"/>
      <c r="H697" s="1918"/>
      <c r="I697" s="1918"/>
      <c r="J697" s="1918"/>
      <c r="K697" s="1918"/>
      <c r="L697" s="1918"/>
      <c r="M697" s="1918"/>
      <c r="N697" s="1918"/>
      <c r="O697" s="1918"/>
      <c r="P697" s="1918"/>
      <c r="Q697" s="1918"/>
      <c r="R697" s="1918"/>
      <c r="S697" s="1918"/>
      <c r="T697" s="1918"/>
      <c r="U697" s="1918"/>
      <c r="V697" s="1918"/>
      <c r="W697" s="1918"/>
      <c r="X697" s="1918"/>
      <c r="Y697" s="1918"/>
      <c r="Z697" s="1918"/>
      <c r="AA697" s="1918"/>
      <c r="AB697" s="1918"/>
      <c r="AC697" s="1918"/>
      <c r="AD697" s="1918"/>
      <c r="AE697" s="1918"/>
    </row>
    <row r="698" spans="1:31" ht="15.75" customHeight="1">
      <c r="A698" s="1918"/>
      <c r="B698" s="1918"/>
      <c r="C698" s="1918"/>
      <c r="D698" s="1918"/>
      <c r="E698" s="1918"/>
      <c r="F698" s="1918"/>
      <c r="G698" s="1918"/>
      <c r="H698" s="1918"/>
      <c r="I698" s="1918"/>
      <c r="J698" s="1918"/>
      <c r="K698" s="1918"/>
      <c r="L698" s="1918"/>
      <c r="M698" s="1918"/>
      <c r="N698" s="1918"/>
      <c r="O698" s="1918"/>
      <c r="P698" s="1918"/>
      <c r="Q698" s="1918"/>
      <c r="R698" s="1918"/>
      <c r="S698" s="1918"/>
      <c r="T698" s="1918"/>
      <c r="U698" s="1918"/>
      <c r="V698" s="1918"/>
      <c r="W698" s="1918"/>
      <c r="X698" s="1918"/>
      <c r="Y698" s="1918"/>
      <c r="Z698" s="1918"/>
      <c r="AA698" s="1918"/>
      <c r="AB698" s="1918"/>
      <c r="AC698" s="1918"/>
      <c r="AD698" s="1918"/>
      <c r="AE698" s="1918"/>
    </row>
    <row r="699" spans="1:31" ht="15.75" customHeight="1">
      <c r="A699" s="1918"/>
      <c r="B699" s="1918"/>
      <c r="C699" s="1918"/>
      <c r="D699" s="1918"/>
      <c r="E699" s="1918"/>
      <c r="F699" s="1918"/>
      <c r="G699" s="1918"/>
      <c r="H699" s="1918"/>
      <c r="I699" s="1918"/>
      <c r="J699" s="1918"/>
      <c r="K699" s="1918"/>
      <c r="L699" s="1918"/>
      <c r="M699" s="1918"/>
      <c r="N699" s="1918"/>
      <c r="O699" s="1918"/>
      <c r="P699" s="1918"/>
      <c r="Q699" s="1918"/>
      <c r="R699" s="1918"/>
      <c r="S699" s="1918"/>
      <c r="T699" s="1918"/>
      <c r="U699" s="1918"/>
      <c r="V699" s="1918"/>
      <c r="W699" s="1918"/>
      <c r="X699" s="1918"/>
      <c r="Y699" s="1918"/>
      <c r="Z699" s="1918"/>
      <c r="AA699" s="1918"/>
      <c r="AB699" s="1918"/>
      <c r="AC699" s="1918"/>
      <c r="AD699" s="1918"/>
      <c r="AE699" s="1918"/>
    </row>
    <row r="700" spans="1:31" ht="15.75" customHeight="1">
      <c r="A700" s="1918"/>
      <c r="B700" s="1918"/>
      <c r="C700" s="1918"/>
      <c r="D700" s="1918"/>
      <c r="E700" s="1918"/>
      <c r="F700" s="1918"/>
      <c r="G700" s="1918"/>
      <c r="H700" s="1918"/>
      <c r="I700" s="1918"/>
      <c r="J700" s="1918"/>
      <c r="K700" s="1918"/>
      <c r="L700" s="1918"/>
      <c r="M700" s="1918"/>
      <c r="N700" s="1918"/>
      <c r="O700" s="1918"/>
      <c r="P700" s="1918"/>
      <c r="Q700" s="1918"/>
      <c r="R700" s="1918"/>
      <c r="S700" s="1918"/>
      <c r="T700" s="1918"/>
      <c r="U700" s="1918"/>
      <c r="V700" s="1918"/>
      <c r="W700" s="1918"/>
      <c r="X700" s="1918"/>
      <c r="Y700" s="1918"/>
      <c r="Z700" s="1918"/>
      <c r="AA700" s="1918"/>
      <c r="AB700" s="1918"/>
      <c r="AC700" s="1918"/>
      <c r="AD700" s="1918"/>
      <c r="AE700" s="1918"/>
    </row>
    <row r="701" spans="1:31" ht="15.75" customHeight="1">
      <c r="A701" s="1918"/>
      <c r="B701" s="1918"/>
      <c r="C701" s="1918"/>
      <c r="D701" s="1918"/>
      <c r="E701" s="1918"/>
      <c r="F701" s="1918"/>
      <c r="G701" s="1918"/>
      <c r="H701" s="1918"/>
      <c r="I701" s="1918"/>
      <c r="J701" s="1918"/>
      <c r="K701" s="1918"/>
      <c r="L701" s="1918"/>
      <c r="M701" s="1918"/>
      <c r="N701" s="1918"/>
      <c r="O701" s="1918"/>
      <c r="P701" s="1918"/>
      <c r="Q701" s="1918"/>
      <c r="R701" s="1918"/>
      <c r="S701" s="1918"/>
      <c r="T701" s="1918"/>
      <c r="U701" s="1918"/>
      <c r="V701" s="1918"/>
      <c r="W701" s="1918"/>
      <c r="X701" s="1918"/>
      <c r="Y701" s="1918"/>
      <c r="Z701" s="1918"/>
      <c r="AA701" s="1918"/>
      <c r="AB701" s="1918"/>
      <c r="AC701" s="1918"/>
      <c r="AD701" s="1918"/>
      <c r="AE701" s="1918"/>
    </row>
    <row r="702" spans="1:31" ht="15.75" customHeight="1">
      <c r="A702" s="1918"/>
      <c r="B702" s="1918"/>
      <c r="C702" s="1918"/>
      <c r="D702" s="1918"/>
      <c r="E702" s="1918"/>
      <c r="F702" s="1918"/>
      <c r="G702" s="1918"/>
      <c r="H702" s="1918"/>
      <c r="I702" s="1918"/>
      <c r="J702" s="1918"/>
      <c r="K702" s="1918"/>
      <c r="L702" s="1918"/>
      <c r="M702" s="1918"/>
      <c r="N702" s="1918"/>
      <c r="O702" s="1918"/>
      <c r="P702" s="1918"/>
      <c r="Q702" s="1918"/>
      <c r="R702" s="1918"/>
      <c r="S702" s="1918"/>
      <c r="T702" s="1918"/>
      <c r="U702" s="1918"/>
      <c r="V702" s="1918"/>
      <c r="W702" s="1918"/>
      <c r="X702" s="1918"/>
      <c r="Y702" s="1918"/>
      <c r="Z702" s="1918"/>
      <c r="AA702" s="1918"/>
      <c r="AB702" s="1918"/>
      <c r="AC702" s="1918"/>
      <c r="AD702" s="1918"/>
      <c r="AE702" s="1918"/>
    </row>
    <row r="703" spans="1:31" ht="15.75" customHeight="1">
      <c r="A703" s="1918"/>
      <c r="B703" s="1918"/>
      <c r="C703" s="1918"/>
      <c r="D703" s="1918"/>
      <c r="E703" s="1918"/>
      <c r="F703" s="1918"/>
      <c r="G703" s="1918"/>
      <c r="H703" s="1918"/>
      <c r="I703" s="1918"/>
      <c r="J703" s="1918"/>
      <c r="K703" s="1918"/>
      <c r="L703" s="1918"/>
      <c r="M703" s="1918"/>
      <c r="N703" s="1918"/>
      <c r="O703" s="1918"/>
      <c r="P703" s="1918"/>
      <c r="Q703" s="1918"/>
      <c r="R703" s="1918"/>
      <c r="S703" s="1918"/>
      <c r="T703" s="1918"/>
      <c r="U703" s="1918"/>
      <c r="V703" s="1918"/>
      <c r="W703" s="1918"/>
      <c r="X703" s="1918"/>
      <c r="Y703" s="1918"/>
      <c r="Z703" s="1918"/>
      <c r="AA703" s="1918"/>
      <c r="AB703" s="1918"/>
      <c r="AC703" s="1918"/>
      <c r="AD703" s="1918"/>
      <c r="AE703" s="1918"/>
    </row>
    <row r="704" spans="1:31" ht="15.75" customHeight="1">
      <c r="A704" s="1918"/>
      <c r="B704" s="1918"/>
      <c r="C704" s="1918"/>
      <c r="D704" s="1918"/>
      <c r="E704" s="1918"/>
      <c r="F704" s="1918"/>
      <c r="G704" s="1918"/>
      <c r="H704" s="1918"/>
      <c r="I704" s="1918"/>
      <c r="J704" s="1918"/>
      <c r="K704" s="1918"/>
      <c r="L704" s="1918"/>
      <c r="M704" s="1918"/>
      <c r="N704" s="1918"/>
      <c r="O704" s="1918"/>
      <c r="P704" s="1918"/>
      <c r="Q704" s="1918"/>
      <c r="R704" s="1918"/>
      <c r="S704" s="1918"/>
      <c r="T704" s="1918"/>
      <c r="U704" s="1918"/>
      <c r="V704" s="1918"/>
      <c r="W704" s="1918"/>
      <c r="X704" s="1918"/>
      <c r="Y704" s="1918"/>
      <c r="Z704" s="1918"/>
      <c r="AA704" s="1918"/>
      <c r="AB704" s="1918"/>
      <c r="AC704" s="1918"/>
      <c r="AD704" s="1918"/>
      <c r="AE704" s="1918"/>
    </row>
    <row r="705" spans="1:31" ht="15.75" customHeight="1">
      <c r="A705" s="1918"/>
      <c r="B705" s="1918"/>
      <c r="C705" s="1918"/>
      <c r="D705" s="1918"/>
      <c r="E705" s="1918"/>
      <c r="F705" s="1918"/>
      <c r="G705" s="1918"/>
      <c r="H705" s="1918"/>
      <c r="I705" s="1918"/>
      <c r="J705" s="1918"/>
      <c r="K705" s="1918"/>
      <c r="L705" s="1918"/>
      <c r="M705" s="1918"/>
      <c r="N705" s="1918"/>
      <c r="O705" s="1918"/>
      <c r="P705" s="1918"/>
      <c r="Q705" s="1918"/>
      <c r="R705" s="1918"/>
      <c r="S705" s="1918"/>
      <c r="T705" s="1918"/>
      <c r="U705" s="1918"/>
      <c r="V705" s="1918"/>
      <c r="W705" s="1918"/>
      <c r="X705" s="1918"/>
      <c r="Y705" s="1918"/>
      <c r="Z705" s="1918"/>
      <c r="AA705" s="1918"/>
      <c r="AB705" s="1918"/>
      <c r="AC705" s="1918"/>
      <c r="AD705" s="1918"/>
      <c r="AE705" s="1918"/>
    </row>
    <row r="706" spans="1:31" ht="15.75" customHeight="1">
      <c r="A706" s="1918"/>
      <c r="B706" s="1918"/>
      <c r="C706" s="1918"/>
      <c r="D706" s="1918"/>
      <c r="E706" s="1918"/>
      <c r="F706" s="1918"/>
      <c r="G706" s="1918"/>
      <c r="H706" s="1918"/>
      <c r="I706" s="1918"/>
      <c r="J706" s="1918"/>
      <c r="K706" s="1918"/>
      <c r="L706" s="1918"/>
      <c r="M706" s="1918"/>
      <c r="N706" s="1918"/>
      <c r="O706" s="1918"/>
      <c r="P706" s="1918"/>
      <c r="Q706" s="1918"/>
      <c r="R706" s="1918"/>
      <c r="S706" s="1918"/>
      <c r="T706" s="1918"/>
      <c r="U706" s="1918"/>
      <c r="V706" s="1918"/>
      <c r="W706" s="1918"/>
      <c r="X706" s="1918"/>
      <c r="Y706" s="1918"/>
      <c r="Z706" s="1918"/>
      <c r="AA706" s="1918"/>
      <c r="AB706" s="1918"/>
      <c r="AC706" s="1918"/>
      <c r="AD706" s="1918"/>
      <c r="AE706" s="1918"/>
    </row>
    <row r="707" spans="1:31" ht="15.75" customHeight="1">
      <c r="A707" s="1918"/>
      <c r="B707" s="1918"/>
      <c r="C707" s="1918"/>
      <c r="D707" s="1918"/>
      <c r="E707" s="1918"/>
      <c r="F707" s="1918"/>
      <c r="G707" s="1918"/>
      <c r="H707" s="1918"/>
      <c r="I707" s="1918"/>
      <c r="J707" s="1918"/>
      <c r="K707" s="1918"/>
      <c r="L707" s="1918"/>
      <c r="M707" s="1918"/>
      <c r="N707" s="1918"/>
      <c r="O707" s="1918"/>
      <c r="P707" s="1918"/>
      <c r="Q707" s="1918"/>
      <c r="R707" s="1918"/>
      <c r="S707" s="1918"/>
      <c r="T707" s="1918"/>
      <c r="U707" s="1918"/>
      <c r="V707" s="1918"/>
      <c r="W707" s="1918"/>
      <c r="X707" s="1918"/>
      <c r="Y707" s="1918"/>
      <c r="Z707" s="1918"/>
      <c r="AA707" s="1918"/>
      <c r="AB707" s="1918"/>
      <c r="AC707" s="1918"/>
      <c r="AD707" s="1918"/>
      <c r="AE707" s="1918"/>
    </row>
    <row r="708" spans="1:31" ht="15.75" customHeight="1">
      <c r="A708" s="1918"/>
      <c r="B708" s="1918"/>
      <c r="C708" s="1918"/>
      <c r="D708" s="1918"/>
      <c r="E708" s="1918"/>
      <c r="F708" s="1918"/>
      <c r="G708" s="1918"/>
      <c r="H708" s="1918"/>
      <c r="I708" s="1918"/>
      <c r="J708" s="1918"/>
      <c r="K708" s="1918"/>
      <c r="L708" s="1918"/>
      <c r="M708" s="1918"/>
      <c r="N708" s="1918"/>
      <c r="O708" s="1918"/>
      <c r="P708" s="1918"/>
      <c r="Q708" s="1918"/>
      <c r="R708" s="1918"/>
      <c r="S708" s="1918"/>
      <c r="T708" s="1918"/>
      <c r="U708" s="1918"/>
      <c r="V708" s="1918"/>
      <c r="W708" s="1918"/>
      <c r="X708" s="1918"/>
      <c r="Y708" s="1918"/>
      <c r="Z708" s="1918"/>
      <c r="AA708" s="1918"/>
      <c r="AB708" s="1918"/>
      <c r="AC708" s="1918"/>
      <c r="AD708" s="1918"/>
      <c r="AE708" s="1918"/>
    </row>
    <row r="709" spans="1:31" ht="15.75" customHeight="1">
      <c r="A709" s="1918"/>
      <c r="B709" s="1918"/>
      <c r="C709" s="1918"/>
      <c r="D709" s="1918"/>
      <c r="E709" s="1918"/>
      <c r="F709" s="1918"/>
      <c r="G709" s="1918"/>
      <c r="H709" s="1918"/>
      <c r="I709" s="1918"/>
      <c r="J709" s="1918"/>
      <c r="K709" s="1918"/>
      <c r="L709" s="1918"/>
      <c r="M709" s="1918"/>
      <c r="N709" s="1918"/>
      <c r="O709" s="1918"/>
      <c r="P709" s="1918"/>
      <c r="Q709" s="1918"/>
      <c r="R709" s="1918"/>
      <c r="S709" s="1918"/>
      <c r="T709" s="1918"/>
      <c r="U709" s="1918"/>
      <c r="V709" s="1918"/>
      <c r="W709" s="1918"/>
      <c r="X709" s="1918"/>
      <c r="Y709" s="1918"/>
      <c r="Z709" s="1918"/>
      <c r="AA709" s="1918"/>
      <c r="AB709" s="1918"/>
      <c r="AC709" s="1918"/>
      <c r="AD709" s="1918"/>
      <c r="AE709" s="1918"/>
    </row>
    <row r="710" spans="1:31" ht="15.75" customHeight="1">
      <c r="A710" s="1918"/>
      <c r="B710" s="1918"/>
      <c r="C710" s="1918"/>
      <c r="D710" s="1918"/>
      <c r="E710" s="1918"/>
      <c r="F710" s="1918"/>
      <c r="G710" s="1918"/>
      <c r="H710" s="1918"/>
      <c r="I710" s="1918"/>
      <c r="J710" s="1918"/>
      <c r="K710" s="1918"/>
      <c r="L710" s="1918"/>
      <c r="M710" s="1918"/>
      <c r="N710" s="1918"/>
      <c r="O710" s="1918"/>
      <c r="P710" s="1918"/>
      <c r="Q710" s="1918"/>
      <c r="R710" s="1918"/>
      <c r="S710" s="1918"/>
      <c r="T710" s="1918"/>
      <c r="U710" s="1918"/>
      <c r="V710" s="1918"/>
      <c r="W710" s="1918"/>
      <c r="X710" s="1918"/>
      <c r="Y710" s="1918"/>
      <c r="Z710" s="1918"/>
      <c r="AA710" s="1918"/>
      <c r="AB710" s="1918"/>
      <c r="AC710" s="1918"/>
      <c r="AD710" s="1918"/>
      <c r="AE710" s="1918"/>
    </row>
    <row r="711" spans="1:31" ht="15.75" customHeight="1">
      <c r="A711" s="1918"/>
      <c r="B711" s="1918"/>
      <c r="C711" s="1918"/>
      <c r="D711" s="1918"/>
      <c r="E711" s="1918"/>
      <c r="F711" s="1918"/>
      <c r="G711" s="1918"/>
      <c r="H711" s="1918"/>
      <c r="I711" s="1918"/>
      <c r="J711" s="1918"/>
      <c r="K711" s="1918"/>
      <c r="L711" s="1918"/>
      <c r="M711" s="1918"/>
      <c r="N711" s="1918"/>
      <c r="O711" s="1918"/>
      <c r="P711" s="1918"/>
      <c r="Q711" s="1918"/>
      <c r="R711" s="1918"/>
      <c r="S711" s="1918"/>
      <c r="T711" s="1918"/>
      <c r="U711" s="1918"/>
      <c r="V711" s="1918"/>
      <c r="W711" s="1918"/>
      <c r="X711" s="1918"/>
      <c r="Y711" s="1918"/>
      <c r="Z711" s="1918"/>
      <c r="AA711" s="1918"/>
      <c r="AB711" s="1918"/>
      <c r="AC711" s="1918"/>
      <c r="AD711" s="1918"/>
      <c r="AE711" s="1918"/>
    </row>
    <row r="712" spans="1:31" ht="15.75" customHeight="1">
      <c r="A712" s="1918"/>
      <c r="B712" s="1918"/>
      <c r="C712" s="1918"/>
      <c r="D712" s="1918"/>
      <c r="E712" s="1918"/>
      <c r="F712" s="1918"/>
      <c r="G712" s="1918"/>
      <c r="H712" s="1918"/>
      <c r="I712" s="1918"/>
      <c r="J712" s="1918"/>
      <c r="K712" s="1918"/>
      <c r="L712" s="1918"/>
      <c r="M712" s="1918"/>
      <c r="N712" s="1918"/>
      <c r="O712" s="1918"/>
      <c r="P712" s="1918"/>
      <c r="Q712" s="1918"/>
      <c r="R712" s="1918"/>
      <c r="S712" s="1918"/>
      <c r="T712" s="1918"/>
      <c r="U712" s="1918"/>
      <c r="V712" s="1918"/>
      <c r="W712" s="1918"/>
      <c r="X712" s="1918"/>
      <c r="Y712" s="1918"/>
      <c r="Z712" s="1918"/>
      <c r="AA712" s="1918"/>
      <c r="AB712" s="1918"/>
      <c r="AC712" s="1918"/>
      <c r="AD712" s="1918"/>
      <c r="AE712" s="1918"/>
    </row>
    <row r="713" spans="1:31" ht="15.75" customHeight="1">
      <c r="A713" s="1918"/>
      <c r="B713" s="1918"/>
      <c r="C713" s="1918"/>
      <c r="D713" s="1918"/>
      <c r="E713" s="1918"/>
      <c r="F713" s="1918"/>
      <c r="G713" s="1918"/>
      <c r="H713" s="1918"/>
      <c r="I713" s="1918"/>
      <c r="J713" s="1918"/>
      <c r="K713" s="1918"/>
      <c r="L713" s="1918"/>
      <c r="M713" s="1918"/>
      <c r="N713" s="1918"/>
      <c r="O713" s="1918"/>
      <c r="P713" s="1918"/>
      <c r="Q713" s="1918"/>
      <c r="R713" s="1918"/>
      <c r="S713" s="1918"/>
      <c r="T713" s="1918"/>
      <c r="U713" s="1918"/>
      <c r="V713" s="1918"/>
      <c r="W713" s="1918"/>
      <c r="X713" s="1918"/>
      <c r="Y713" s="1918"/>
      <c r="Z713" s="1918"/>
      <c r="AA713" s="1918"/>
      <c r="AB713" s="1918"/>
      <c r="AC713" s="1918"/>
      <c r="AD713" s="1918"/>
      <c r="AE713" s="1918"/>
    </row>
    <row r="714" spans="1:31" ht="15.75" customHeight="1">
      <c r="A714" s="1918"/>
      <c r="B714" s="1918"/>
      <c r="C714" s="1918"/>
      <c r="D714" s="1918"/>
      <c r="E714" s="1918"/>
      <c r="F714" s="1918"/>
      <c r="G714" s="1918"/>
      <c r="H714" s="1918"/>
      <c r="I714" s="1918"/>
      <c r="J714" s="1918"/>
      <c r="K714" s="1918"/>
      <c r="L714" s="1918"/>
      <c r="M714" s="1918"/>
      <c r="N714" s="1918"/>
      <c r="O714" s="1918"/>
      <c r="P714" s="1918"/>
      <c r="Q714" s="1918"/>
      <c r="R714" s="1918"/>
      <c r="S714" s="1918"/>
      <c r="T714" s="1918"/>
      <c r="U714" s="1918"/>
      <c r="V714" s="1918"/>
      <c r="W714" s="1918"/>
      <c r="X714" s="1918"/>
      <c r="Y714" s="1918"/>
      <c r="Z714" s="1918"/>
      <c r="AA714" s="1918"/>
      <c r="AB714" s="1918"/>
      <c r="AC714" s="1918"/>
      <c r="AD714" s="1918"/>
      <c r="AE714" s="1918"/>
    </row>
    <row r="715" spans="1:31" ht="15.75" customHeight="1">
      <c r="A715" s="1918"/>
      <c r="B715" s="1918"/>
      <c r="C715" s="1918"/>
      <c r="D715" s="1918"/>
      <c r="E715" s="1918"/>
      <c r="F715" s="1918"/>
      <c r="G715" s="1918"/>
      <c r="H715" s="1918"/>
      <c r="I715" s="1918"/>
      <c r="J715" s="1918"/>
      <c r="K715" s="1918"/>
      <c r="L715" s="1918"/>
      <c r="M715" s="1918"/>
      <c r="N715" s="1918"/>
      <c r="O715" s="1918"/>
      <c r="P715" s="1918"/>
      <c r="Q715" s="1918"/>
      <c r="R715" s="1918"/>
      <c r="S715" s="1918"/>
      <c r="T715" s="1918"/>
      <c r="U715" s="1918"/>
      <c r="V715" s="1918"/>
      <c r="W715" s="1918"/>
      <c r="X715" s="1918"/>
      <c r="Y715" s="1918"/>
      <c r="Z715" s="1918"/>
      <c r="AA715" s="1918"/>
      <c r="AB715" s="1918"/>
      <c r="AC715" s="1918"/>
      <c r="AD715" s="1918"/>
      <c r="AE715" s="1918"/>
    </row>
    <row r="716" spans="1:31" ht="15.75" customHeight="1">
      <c r="A716" s="1918"/>
      <c r="B716" s="1918"/>
      <c r="C716" s="1918"/>
      <c r="D716" s="1918"/>
      <c r="E716" s="1918"/>
      <c r="F716" s="1918"/>
      <c r="G716" s="1918"/>
      <c r="H716" s="1918"/>
      <c r="I716" s="1918"/>
      <c r="J716" s="1918"/>
      <c r="K716" s="1918"/>
      <c r="L716" s="1918"/>
      <c r="M716" s="1918"/>
      <c r="N716" s="1918"/>
      <c r="O716" s="1918"/>
      <c r="P716" s="1918"/>
      <c r="Q716" s="1918"/>
      <c r="R716" s="1918"/>
      <c r="S716" s="1918"/>
      <c r="T716" s="1918"/>
      <c r="U716" s="1918"/>
      <c r="V716" s="1918"/>
      <c r="W716" s="1918"/>
      <c r="X716" s="1918"/>
      <c r="Y716" s="1918"/>
      <c r="Z716" s="1918"/>
      <c r="AA716" s="1918"/>
      <c r="AB716" s="1918"/>
      <c r="AC716" s="1918"/>
      <c r="AD716" s="1918"/>
      <c r="AE716" s="1918"/>
    </row>
    <row r="717" spans="1:31" ht="15.75" customHeight="1">
      <c r="A717" s="1918"/>
      <c r="B717" s="1918"/>
      <c r="C717" s="1918"/>
      <c r="D717" s="1918"/>
      <c r="E717" s="1918"/>
      <c r="F717" s="1918"/>
      <c r="G717" s="1918"/>
      <c r="H717" s="1918"/>
      <c r="I717" s="1918"/>
      <c r="J717" s="1918"/>
      <c r="K717" s="1918"/>
      <c r="L717" s="1918"/>
      <c r="M717" s="1918"/>
      <c r="N717" s="1918"/>
      <c r="O717" s="1918"/>
      <c r="P717" s="1918"/>
      <c r="Q717" s="1918"/>
      <c r="R717" s="1918"/>
      <c r="S717" s="1918"/>
      <c r="T717" s="1918"/>
      <c r="U717" s="1918"/>
      <c r="V717" s="1918"/>
      <c r="W717" s="1918"/>
      <c r="X717" s="1918"/>
      <c r="Y717" s="1918"/>
      <c r="Z717" s="1918"/>
      <c r="AA717" s="1918"/>
      <c r="AB717" s="1918"/>
      <c r="AC717" s="1918"/>
      <c r="AD717" s="1918"/>
      <c r="AE717" s="1918"/>
    </row>
    <row r="718" spans="1:31" ht="15.75" customHeight="1">
      <c r="A718" s="1918"/>
      <c r="B718" s="1918"/>
      <c r="C718" s="1918"/>
      <c r="D718" s="1918"/>
      <c r="E718" s="1918"/>
      <c r="F718" s="1918"/>
      <c r="G718" s="1918"/>
      <c r="H718" s="1918"/>
      <c r="I718" s="1918"/>
      <c r="J718" s="1918"/>
      <c r="K718" s="1918"/>
      <c r="L718" s="1918"/>
      <c r="M718" s="1918"/>
      <c r="N718" s="1918"/>
      <c r="O718" s="1918"/>
      <c r="P718" s="1918"/>
      <c r="Q718" s="1918"/>
      <c r="R718" s="1918"/>
      <c r="S718" s="1918"/>
      <c r="T718" s="1918"/>
      <c r="U718" s="1918"/>
      <c r="V718" s="1918"/>
      <c r="W718" s="1918"/>
      <c r="X718" s="1918"/>
      <c r="Y718" s="1918"/>
      <c r="Z718" s="1918"/>
      <c r="AA718" s="1918"/>
      <c r="AB718" s="1918"/>
      <c r="AC718" s="1918"/>
      <c r="AD718" s="1918"/>
      <c r="AE718" s="1918"/>
    </row>
    <row r="719" spans="1:31" ht="15.75" customHeight="1">
      <c r="A719" s="1918"/>
      <c r="B719" s="1918"/>
      <c r="C719" s="1918"/>
      <c r="D719" s="1918"/>
      <c r="E719" s="1918"/>
      <c r="F719" s="1918"/>
      <c r="G719" s="1918"/>
      <c r="H719" s="1918"/>
      <c r="I719" s="1918"/>
      <c r="J719" s="1918"/>
      <c r="K719" s="1918"/>
      <c r="L719" s="1918"/>
      <c r="M719" s="1918"/>
      <c r="N719" s="1918"/>
      <c r="O719" s="1918"/>
      <c r="P719" s="1918"/>
      <c r="Q719" s="1918"/>
      <c r="R719" s="1918"/>
      <c r="S719" s="1918"/>
      <c r="T719" s="1918"/>
      <c r="U719" s="1918"/>
      <c r="V719" s="1918"/>
      <c r="W719" s="1918"/>
      <c r="X719" s="1918"/>
      <c r="Y719" s="1918"/>
      <c r="Z719" s="1918"/>
      <c r="AA719" s="1918"/>
      <c r="AB719" s="1918"/>
      <c r="AC719" s="1918"/>
      <c r="AD719" s="1918"/>
      <c r="AE719" s="1918"/>
    </row>
    <row r="720" spans="1:31" ht="15.75" customHeight="1">
      <c r="A720" s="1918"/>
      <c r="B720" s="1918"/>
      <c r="C720" s="1918"/>
      <c r="D720" s="1918"/>
      <c r="E720" s="1918"/>
      <c r="F720" s="1918"/>
      <c r="G720" s="1918"/>
      <c r="H720" s="1918"/>
      <c r="I720" s="1918"/>
      <c r="J720" s="1918"/>
      <c r="K720" s="1918"/>
      <c r="L720" s="1918"/>
      <c r="M720" s="1918"/>
      <c r="N720" s="1918"/>
      <c r="O720" s="1918"/>
      <c r="P720" s="1918"/>
      <c r="Q720" s="1918"/>
      <c r="R720" s="1918"/>
      <c r="S720" s="1918"/>
      <c r="T720" s="1918"/>
      <c r="U720" s="1918"/>
      <c r="V720" s="1918"/>
      <c r="W720" s="1918"/>
      <c r="X720" s="1918"/>
      <c r="Y720" s="1918"/>
      <c r="Z720" s="1918"/>
      <c r="AA720" s="1918"/>
      <c r="AB720" s="1918"/>
      <c r="AC720" s="1918"/>
      <c r="AD720" s="1918"/>
      <c r="AE720" s="1918"/>
    </row>
    <row r="721" spans="1:31" ht="15.75" customHeight="1">
      <c r="A721" s="1918"/>
      <c r="B721" s="1918"/>
      <c r="C721" s="1918"/>
      <c r="D721" s="1918"/>
      <c r="E721" s="1918"/>
      <c r="F721" s="1918"/>
      <c r="G721" s="1918"/>
      <c r="H721" s="1918"/>
      <c r="I721" s="1918"/>
      <c r="J721" s="1918"/>
      <c r="K721" s="1918"/>
      <c r="L721" s="1918"/>
      <c r="M721" s="1918"/>
      <c r="N721" s="1918"/>
      <c r="O721" s="1918"/>
      <c r="P721" s="1918"/>
      <c r="Q721" s="1918"/>
      <c r="R721" s="1918"/>
      <c r="S721" s="1918"/>
      <c r="T721" s="1918"/>
      <c r="U721" s="1918"/>
      <c r="V721" s="1918"/>
      <c r="W721" s="1918"/>
      <c r="X721" s="1918"/>
      <c r="Y721" s="1918"/>
      <c r="Z721" s="1918"/>
      <c r="AA721" s="1918"/>
      <c r="AB721" s="1918"/>
      <c r="AC721" s="1918"/>
      <c r="AD721" s="1918"/>
      <c r="AE721" s="1918"/>
    </row>
    <row r="722" spans="1:31" ht="15.75" customHeight="1">
      <c r="A722" s="1918"/>
      <c r="B722" s="1918"/>
      <c r="C722" s="1918"/>
      <c r="D722" s="1918"/>
      <c r="E722" s="1918"/>
      <c r="F722" s="1918"/>
      <c r="G722" s="1918"/>
      <c r="H722" s="1918"/>
      <c r="I722" s="1918"/>
      <c r="J722" s="1918"/>
      <c r="K722" s="1918"/>
      <c r="L722" s="1918"/>
      <c r="M722" s="1918"/>
      <c r="N722" s="1918"/>
      <c r="O722" s="1918"/>
      <c r="P722" s="1918"/>
      <c r="Q722" s="1918"/>
      <c r="R722" s="1918"/>
      <c r="S722" s="1918"/>
      <c r="T722" s="1918"/>
      <c r="U722" s="1918"/>
      <c r="V722" s="1918"/>
      <c r="W722" s="1918"/>
      <c r="X722" s="1918"/>
      <c r="Y722" s="1918"/>
      <c r="Z722" s="1918"/>
      <c r="AA722" s="1918"/>
      <c r="AB722" s="1918"/>
      <c r="AC722" s="1918"/>
      <c r="AD722" s="1918"/>
      <c r="AE722" s="1918"/>
    </row>
    <row r="723" spans="1:31" ht="15.75" customHeight="1">
      <c r="A723" s="1918"/>
      <c r="B723" s="1918"/>
      <c r="C723" s="1918"/>
      <c r="D723" s="1918"/>
      <c r="E723" s="1918"/>
      <c r="F723" s="1918"/>
      <c r="G723" s="1918"/>
      <c r="H723" s="1918"/>
      <c r="I723" s="1918"/>
      <c r="J723" s="1918"/>
      <c r="K723" s="1918"/>
      <c r="L723" s="1918"/>
      <c r="M723" s="1918"/>
      <c r="N723" s="1918"/>
      <c r="O723" s="1918"/>
      <c r="P723" s="1918"/>
      <c r="Q723" s="1918"/>
      <c r="R723" s="1918"/>
      <c r="S723" s="1918"/>
      <c r="T723" s="1918"/>
      <c r="U723" s="1918"/>
      <c r="V723" s="1918"/>
      <c r="W723" s="1918"/>
      <c r="X723" s="1918"/>
      <c r="Y723" s="1918"/>
      <c r="Z723" s="1918"/>
      <c r="AA723" s="1918"/>
      <c r="AB723" s="1918"/>
      <c r="AC723" s="1918"/>
      <c r="AD723" s="1918"/>
      <c r="AE723" s="1918"/>
    </row>
    <row r="724" spans="1:31" ht="15.75" customHeight="1">
      <c r="A724" s="1918"/>
      <c r="B724" s="1918"/>
      <c r="C724" s="1918"/>
      <c r="D724" s="1918"/>
      <c r="E724" s="1918"/>
      <c r="F724" s="1918"/>
      <c r="G724" s="1918"/>
      <c r="H724" s="1918"/>
      <c r="I724" s="1918"/>
      <c r="J724" s="1918"/>
      <c r="K724" s="1918"/>
      <c r="L724" s="1918"/>
      <c r="M724" s="1918"/>
      <c r="N724" s="1918"/>
      <c r="O724" s="1918"/>
      <c r="P724" s="1918"/>
      <c r="Q724" s="1918"/>
      <c r="R724" s="1918"/>
      <c r="S724" s="1918"/>
      <c r="T724" s="1918"/>
      <c r="U724" s="1918"/>
      <c r="V724" s="1918"/>
      <c r="W724" s="1918"/>
      <c r="X724" s="1918"/>
      <c r="Y724" s="1918"/>
      <c r="Z724" s="1918"/>
      <c r="AA724" s="1918"/>
      <c r="AB724" s="1918"/>
      <c r="AC724" s="1918"/>
      <c r="AD724" s="1918"/>
      <c r="AE724" s="1918"/>
    </row>
    <row r="725" spans="1:31" ht="15.75" customHeight="1">
      <c r="A725" s="1918"/>
      <c r="B725" s="1918"/>
      <c r="C725" s="1918"/>
      <c r="D725" s="1918"/>
      <c r="E725" s="1918"/>
      <c r="F725" s="1918"/>
      <c r="G725" s="1918"/>
      <c r="H725" s="1918"/>
      <c r="I725" s="1918"/>
      <c r="J725" s="1918"/>
      <c r="K725" s="1918"/>
      <c r="L725" s="1918"/>
      <c r="M725" s="1918"/>
      <c r="N725" s="1918"/>
      <c r="O725" s="1918"/>
      <c r="P725" s="1918"/>
      <c r="Q725" s="1918"/>
      <c r="R725" s="1918"/>
      <c r="S725" s="1918"/>
      <c r="T725" s="1918"/>
      <c r="U725" s="1918"/>
      <c r="V725" s="1918"/>
      <c r="W725" s="1918"/>
      <c r="X725" s="1918"/>
      <c r="Y725" s="1918"/>
      <c r="Z725" s="1918"/>
      <c r="AA725" s="1918"/>
      <c r="AB725" s="1918"/>
      <c r="AC725" s="1918"/>
      <c r="AD725" s="1918"/>
      <c r="AE725" s="1918"/>
    </row>
    <row r="726" spans="1:31" ht="15.75" customHeight="1">
      <c r="A726" s="1918"/>
      <c r="B726" s="1918"/>
      <c r="C726" s="1918"/>
      <c r="D726" s="1918"/>
      <c r="E726" s="1918"/>
      <c r="F726" s="1918"/>
      <c r="G726" s="1918"/>
      <c r="H726" s="1918"/>
      <c r="I726" s="1918"/>
      <c r="J726" s="1918"/>
      <c r="K726" s="1918"/>
      <c r="L726" s="1918"/>
      <c r="M726" s="1918"/>
      <c r="N726" s="1918"/>
      <c r="O726" s="1918"/>
      <c r="P726" s="1918"/>
      <c r="Q726" s="1918"/>
      <c r="R726" s="1918"/>
      <c r="S726" s="1918"/>
      <c r="T726" s="1918"/>
      <c r="U726" s="1918"/>
      <c r="V726" s="1918"/>
      <c r="W726" s="1918"/>
      <c r="X726" s="1918"/>
      <c r="Y726" s="1918"/>
      <c r="Z726" s="1918"/>
      <c r="AA726" s="1918"/>
      <c r="AB726" s="1918"/>
      <c r="AC726" s="1918"/>
      <c r="AD726" s="1918"/>
      <c r="AE726" s="1918"/>
    </row>
    <row r="727" spans="1:31" ht="15.75" customHeight="1">
      <c r="A727" s="1918"/>
      <c r="B727" s="1918"/>
      <c r="C727" s="1918"/>
      <c r="D727" s="1918"/>
      <c r="E727" s="1918"/>
      <c r="F727" s="1918"/>
      <c r="G727" s="1918"/>
      <c r="H727" s="1918"/>
      <c r="I727" s="1918"/>
      <c r="J727" s="1918"/>
      <c r="K727" s="1918"/>
      <c r="L727" s="1918"/>
      <c r="M727" s="1918"/>
      <c r="N727" s="1918"/>
      <c r="O727" s="1918"/>
      <c r="P727" s="1918"/>
      <c r="Q727" s="1918"/>
      <c r="R727" s="1918"/>
      <c r="S727" s="1918"/>
      <c r="T727" s="1918"/>
      <c r="U727" s="1918"/>
      <c r="V727" s="1918"/>
      <c r="W727" s="1918"/>
      <c r="X727" s="1918"/>
      <c r="Y727" s="1918"/>
      <c r="Z727" s="1918"/>
      <c r="AA727" s="1918"/>
      <c r="AB727" s="1918"/>
      <c r="AC727" s="1918"/>
      <c r="AD727" s="1918"/>
      <c r="AE727" s="1918"/>
    </row>
    <row r="728" spans="1:31" ht="15.75" customHeight="1">
      <c r="A728" s="1918"/>
      <c r="B728" s="1918"/>
      <c r="C728" s="1918"/>
      <c r="D728" s="1918"/>
      <c r="E728" s="1918"/>
      <c r="F728" s="1918"/>
      <c r="G728" s="1918"/>
      <c r="H728" s="1918"/>
      <c r="I728" s="1918"/>
      <c r="J728" s="1918"/>
      <c r="K728" s="1918"/>
      <c r="L728" s="1918"/>
      <c r="M728" s="1918"/>
      <c r="N728" s="1918"/>
      <c r="O728" s="1918"/>
      <c r="P728" s="1918"/>
      <c r="Q728" s="1918"/>
      <c r="R728" s="1918"/>
      <c r="S728" s="1918"/>
      <c r="T728" s="1918"/>
      <c r="U728" s="1918"/>
      <c r="V728" s="1918"/>
      <c r="W728" s="1918"/>
      <c r="X728" s="1918"/>
      <c r="Y728" s="1918"/>
      <c r="Z728" s="1918"/>
      <c r="AA728" s="1918"/>
      <c r="AB728" s="1918"/>
      <c r="AC728" s="1918"/>
      <c r="AD728" s="1918"/>
      <c r="AE728" s="1918"/>
    </row>
    <row r="729" spans="1:31" ht="15.75" customHeight="1">
      <c r="A729" s="1918"/>
      <c r="B729" s="1918"/>
      <c r="C729" s="1918"/>
      <c r="D729" s="1918"/>
      <c r="E729" s="1918"/>
      <c r="F729" s="1918"/>
      <c r="G729" s="1918"/>
      <c r="H729" s="1918"/>
      <c r="I729" s="1918"/>
      <c r="J729" s="1918"/>
      <c r="K729" s="1918"/>
      <c r="L729" s="1918"/>
      <c r="M729" s="1918"/>
      <c r="N729" s="1918"/>
      <c r="O729" s="1918"/>
      <c r="P729" s="1918"/>
      <c r="Q729" s="1918"/>
      <c r="R729" s="1918"/>
      <c r="S729" s="1918"/>
      <c r="T729" s="1918"/>
      <c r="U729" s="1918"/>
      <c r="V729" s="1918"/>
      <c r="W729" s="1918"/>
      <c r="X729" s="1918"/>
      <c r="Y729" s="1918"/>
      <c r="Z729" s="1918"/>
      <c r="AA729" s="1918"/>
      <c r="AB729" s="1918"/>
      <c r="AC729" s="1918"/>
      <c r="AD729" s="1918"/>
      <c r="AE729" s="1918"/>
    </row>
    <row r="730" spans="1:31" ht="15.75" customHeight="1">
      <c r="A730" s="1918"/>
      <c r="B730" s="1918"/>
      <c r="C730" s="1918"/>
      <c r="D730" s="1918"/>
      <c r="E730" s="1918"/>
      <c r="F730" s="1918"/>
      <c r="G730" s="1918"/>
      <c r="H730" s="1918"/>
      <c r="I730" s="1918"/>
      <c r="J730" s="1918"/>
      <c r="K730" s="1918"/>
      <c r="L730" s="1918"/>
      <c r="M730" s="1918"/>
      <c r="N730" s="1918"/>
      <c r="O730" s="1918"/>
      <c r="P730" s="1918"/>
      <c r="Q730" s="1918"/>
      <c r="R730" s="1918"/>
      <c r="S730" s="1918"/>
      <c r="T730" s="1918"/>
      <c r="U730" s="1918"/>
      <c r="V730" s="1918"/>
      <c r="W730" s="1918"/>
      <c r="X730" s="1918"/>
      <c r="Y730" s="1918"/>
      <c r="Z730" s="1918"/>
      <c r="AA730" s="1918"/>
      <c r="AB730" s="1918"/>
      <c r="AC730" s="1918"/>
      <c r="AD730" s="1918"/>
      <c r="AE730" s="1918"/>
    </row>
    <row r="731" spans="1:31" ht="15.75" customHeight="1">
      <c r="A731" s="1918"/>
      <c r="B731" s="1918"/>
      <c r="C731" s="1918"/>
      <c r="D731" s="1918"/>
      <c r="E731" s="1918"/>
      <c r="F731" s="1918"/>
      <c r="G731" s="1918"/>
      <c r="H731" s="1918"/>
      <c r="I731" s="1918"/>
      <c r="J731" s="1918"/>
      <c r="K731" s="1918"/>
      <c r="L731" s="1918"/>
      <c r="M731" s="1918"/>
      <c r="N731" s="1918"/>
      <c r="O731" s="1918"/>
      <c r="P731" s="1918"/>
      <c r="Q731" s="1918"/>
      <c r="R731" s="1918"/>
      <c r="S731" s="1918"/>
      <c r="T731" s="1918"/>
      <c r="U731" s="1918"/>
      <c r="V731" s="1918"/>
      <c r="W731" s="1918"/>
      <c r="X731" s="1918"/>
      <c r="Y731" s="1918"/>
      <c r="Z731" s="1918"/>
      <c r="AA731" s="1918"/>
      <c r="AB731" s="1918"/>
      <c r="AC731" s="1918"/>
      <c r="AD731" s="1918"/>
      <c r="AE731" s="1918"/>
    </row>
    <row r="732" spans="1:31" ht="15.75" customHeight="1">
      <c r="A732" s="1918"/>
      <c r="B732" s="1918"/>
      <c r="C732" s="1918"/>
      <c r="D732" s="1918"/>
      <c r="E732" s="1918"/>
      <c r="F732" s="1918"/>
      <c r="G732" s="1918"/>
      <c r="H732" s="1918"/>
      <c r="I732" s="1918"/>
      <c r="J732" s="1918"/>
      <c r="K732" s="1918"/>
      <c r="L732" s="1918"/>
      <c r="M732" s="1918"/>
      <c r="N732" s="1918"/>
      <c r="O732" s="1918"/>
      <c r="P732" s="1918"/>
      <c r="Q732" s="1918"/>
      <c r="R732" s="1918"/>
      <c r="S732" s="1918"/>
      <c r="T732" s="1918"/>
      <c r="U732" s="1918"/>
      <c r="V732" s="1918"/>
      <c r="W732" s="1918"/>
      <c r="X732" s="1918"/>
      <c r="Y732" s="1918"/>
      <c r="Z732" s="1918"/>
      <c r="AA732" s="1918"/>
      <c r="AB732" s="1918"/>
      <c r="AC732" s="1918"/>
      <c r="AD732" s="1918"/>
      <c r="AE732" s="1918"/>
    </row>
    <row r="733" spans="1:31" ht="15.75" customHeight="1">
      <c r="A733" s="1918"/>
      <c r="B733" s="1918"/>
      <c r="C733" s="1918"/>
      <c r="D733" s="1918"/>
      <c r="E733" s="1918"/>
      <c r="F733" s="1918"/>
      <c r="G733" s="1918"/>
      <c r="H733" s="1918"/>
      <c r="I733" s="1918"/>
      <c r="J733" s="1918"/>
      <c r="K733" s="1918"/>
      <c r="L733" s="1918"/>
      <c r="M733" s="1918"/>
      <c r="N733" s="1918"/>
      <c r="O733" s="1918"/>
      <c r="P733" s="1918"/>
      <c r="Q733" s="1918"/>
      <c r="R733" s="1918"/>
      <c r="S733" s="1918"/>
      <c r="T733" s="1918"/>
      <c r="U733" s="1918"/>
      <c r="V733" s="1918"/>
      <c r="W733" s="1918"/>
      <c r="X733" s="1918"/>
      <c r="Y733" s="1918"/>
      <c r="Z733" s="1918"/>
      <c r="AA733" s="1918"/>
      <c r="AB733" s="1918"/>
      <c r="AC733" s="1918"/>
      <c r="AD733" s="1918"/>
      <c r="AE733" s="1918"/>
    </row>
    <row r="734" spans="1:31" ht="15.75" customHeight="1">
      <c r="A734" s="1918"/>
      <c r="B734" s="1918"/>
      <c r="C734" s="1918"/>
      <c r="D734" s="1918"/>
      <c r="E734" s="1918"/>
      <c r="F734" s="1918"/>
      <c r="G734" s="1918"/>
      <c r="H734" s="1918"/>
      <c r="I734" s="1918"/>
      <c r="J734" s="1918"/>
      <c r="K734" s="1918"/>
      <c r="L734" s="1918"/>
      <c r="M734" s="1918"/>
      <c r="N734" s="1918"/>
      <c r="O734" s="1918"/>
      <c r="P734" s="1918"/>
      <c r="Q734" s="1918"/>
      <c r="R734" s="1918"/>
      <c r="S734" s="1918"/>
      <c r="T734" s="1918"/>
      <c r="U734" s="1918"/>
      <c r="V734" s="1918"/>
      <c r="W734" s="1918"/>
      <c r="X734" s="1918"/>
      <c r="Y734" s="1918"/>
      <c r="Z734" s="1918"/>
      <c r="AA734" s="1918"/>
      <c r="AB734" s="1918"/>
      <c r="AC734" s="1918"/>
      <c r="AD734" s="1918"/>
      <c r="AE734" s="1918"/>
    </row>
    <row r="735" spans="1:31" ht="15.75" customHeight="1">
      <c r="A735" s="1918"/>
      <c r="B735" s="1918"/>
      <c r="C735" s="1918"/>
      <c r="D735" s="1918"/>
      <c r="E735" s="1918"/>
      <c r="F735" s="1918"/>
      <c r="G735" s="1918"/>
      <c r="H735" s="1918"/>
      <c r="I735" s="1918"/>
      <c r="J735" s="1918"/>
      <c r="K735" s="1918"/>
      <c r="L735" s="1918"/>
      <c r="M735" s="1918"/>
      <c r="N735" s="1918"/>
      <c r="O735" s="1918"/>
      <c r="P735" s="1918"/>
      <c r="Q735" s="1918"/>
      <c r="R735" s="1918"/>
      <c r="S735" s="1918"/>
      <c r="T735" s="1918"/>
      <c r="U735" s="1918"/>
      <c r="V735" s="1918"/>
      <c r="W735" s="1918"/>
      <c r="X735" s="1918"/>
      <c r="Y735" s="1918"/>
      <c r="Z735" s="1918"/>
      <c r="AA735" s="1918"/>
      <c r="AB735" s="1918"/>
      <c r="AC735" s="1918"/>
      <c r="AD735" s="1918"/>
      <c r="AE735" s="1918"/>
    </row>
    <row r="736" spans="1:31" ht="15.75" customHeight="1">
      <c r="A736" s="1918"/>
      <c r="B736" s="1918"/>
      <c r="C736" s="1918"/>
      <c r="D736" s="1918"/>
      <c r="E736" s="1918"/>
      <c r="F736" s="1918"/>
      <c r="G736" s="1918"/>
      <c r="H736" s="1918"/>
      <c r="I736" s="1918"/>
      <c r="J736" s="1918"/>
      <c r="K736" s="1918"/>
      <c r="L736" s="1918"/>
      <c r="M736" s="1918"/>
      <c r="N736" s="1918"/>
      <c r="O736" s="1918"/>
      <c r="P736" s="1918"/>
      <c r="Q736" s="1918"/>
      <c r="R736" s="1918"/>
      <c r="S736" s="1918"/>
      <c r="T736" s="1918"/>
      <c r="U736" s="1918"/>
      <c r="V736" s="1918"/>
      <c r="W736" s="1918"/>
      <c r="X736" s="1918"/>
      <c r="Y736" s="1918"/>
      <c r="Z736" s="1918"/>
      <c r="AA736" s="1918"/>
      <c r="AB736" s="1918"/>
      <c r="AC736" s="1918"/>
      <c r="AD736" s="1918"/>
      <c r="AE736" s="1918"/>
    </row>
    <row r="737" spans="1:31" ht="15.75" customHeight="1">
      <c r="A737" s="1918"/>
      <c r="B737" s="1918"/>
      <c r="C737" s="1918"/>
      <c r="D737" s="1918"/>
      <c r="E737" s="1918"/>
      <c r="F737" s="1918"/>
      <c r="G737" s="1918"/>
      <c r="H737" s="1918"/>
      <c r="I737" s="1918"/>
      <c r="J737" s="1918"/>
      <c r="K737" s="1918"/>
      <c r="L737" s="1918"/>
      <c r="M737" s="1918"/>
      <c r="N737" s="1918"/>
      <c r="O737" s="1918"/>
      <c r="P737" s="1918"/>
      <c r="Q737" s="1918"/>
      <c r="R737" s="1918"/>
      <c r="S737" s="1918"/>
      <c r="T737" s="1918"/>
      <c r="U737" s="1918"/>
      <c r="V737" s="1918"/>
      <c r="W737" s="1918"/>
      <c r="X737" s="1918"/>
      <c r="Y737" s="1918"/>
      <c r="Z737" s="1918"/>
      <c r="AA737" s="1918"/>
      <c r="AB737" s="1918"/>
      <c r="AC737" s="1918"/>
      <c r="AD737" s="1918"/>
      <c r="AE737" s="1918"/>
    </row>
    <row r="738" spans="1:31" ht="15.75" customHeight="1">
      <c r="A738" s="1918"/>
      <c r="B738" s="1918"/>
      <c r="C738" s="1918"/>
      <c r="D738" s="1918"/>
      <c r="E738" s="1918"/>
      <c r="F738" s="1918"/>
      <c r="G738" s="1918"/>
      <c r="H738" s="1918"/>
      <c r="I738" s="1918"/>
      <c r="J738" s="1918"/>
      <c r="K738" s="1918"/>
      <c r="L738" s="1918"/>
      <c r="M738" s="1918"/>
      <c r="N738" s="1918"/>
      <c r="O738" s="1918"/>
      <c r="P738" s="1918"/>
      <c r="Q738" s="1918"/>
      <c r="R738" s="1918"/>
      <c r="S738" s="1918"/>
      <c r="T738" s="1918"/>
      <c r="U738" s="1918"/>
      <c r="V738" s="1918"/>
      <c r="W738" s="1918"/>
      <c r="X738" s="1918"/>
      <c r="Y738" s="1918"/>
      <c r="Z738" s="1918"/>
      <c r="AA738" s="1918"/>
      <c r="AB738" s="1918"/>
      <c r="AC738" s="1918"/>
      <c r="AD738" s="1918"/>
      <c r="AE738" s="1918"/>
    </row>
    <row r="739" spans="1:31" ht="15.75" customHeight="1">
      <c r="A739" s="1918"/>
      <c r="B739" s="1918"/>
      <c r="C739" s="1918"/>
      <c r="D739" s="1918"/>
      <c r="E739" s="1918"/>
      <c r="F739" s="1918"/>
      <c r="G739" s="1918"/>
      <c r="H739" s="1918"/>
      <c r="I739" s="1918"/>
      <c r="J739" s="1918"/>
      <c r="K739" s="1918"/>
      <c r="L739" s="1918"/>
      <c r="M739" s="1918"/>
      <c r="N739" s="1918"/>
      <c r="O739" s="1918"/>
      <c r="P739" s="1918"/>
      <c r="Q739" s="1918"/>
      <c r="R739" s="1918"/>
      <c r="S739" s="1918"/>
      <c r="T739" s="1918"/>
      <c r="U739" s="1918"/>
      <c r="V739" s="1918"/>
      <c r="W739" s="1918"/>
      <c r="X739" s="1918"/>
      <c r="Y739" s="1918"/>
      <c r="Z739" s="1918"/>
      <c r="AA739" s="1918"/>
      <c r="AB739" s="1918"/>
      <c r="AC739" s="1918"/>
      <c r="AD739" s="1918"/>
      <c r="AE739" s="1918"/>
    </row>
    <row r="740" spans="1:31" ht="15.75" customHeight="1">
      <c r="A740" s="1918"/>
      <c r="B740" s="1918"/>
      <c r="C740" s="1918"/>
      <c r="D740" s="1918"/>
      <c r="E740" s="1918"/>
      <c r="F740" s="1918"/>
      <c r="G740" s="1918"/>
      <c r="H740" s="1918"/>
      <c r="I740" s="1918"/>
      <c r="J740" s="1918"/>
      <c r="K740" s="1918"/>
      <c r="L740" s="1918"/>
      <c r="M740" s="1918"/>
      <c r="N740" s="1918"/>
      <c r="O740" s="1918"/>
      <c r="P740" s="1918"/>
      <c r="Q740" s="1918"/>
      <c r="R740" s="1918"/>
      <c r="S740" s="1918"/>
      <c r="T740" s="1918"/>
      <c r="U740" s="1918"/>
      <c r="V740" s="1918"/>
      <c r="W740" s="1918"/>
      <c r="X740" s="1918"/>
      <c r="Y740" s="1918"/>
      <c r="Z740" s="1918"/>
      <c r="AA740" s="1918"/>
      <c r="AB740" s="1918"/>
      <c r="AC740" s="1918"/>
      <c r="AD740" s="1918"/>
      <c r="AE740" s="1918"/>
    </row>
    <row r="741" spans="1:31" ht="15.75" customHeight="1">
      <c r="A741" s="1918"/>
      <c r="B741" s="1918"/>
      <c r="C741" s="1918"/>
      <c r="D741" s="1918"/>
      <c r="E741" s="1918"/>
      <c r="F741" s="1918"/>
      <c r="G741" s="1918"/>
      <c r="H741" s="1918"/>
      <c r="I741" s="1918"/>
      <c r="J741" s="1918"/>
      <c r="K741" s="1918"/>
      <c r="L741" s="1918"/>
      <c r="M741" s="1918"/>
      <c r="N741" s="1918"/>
      <c r="O741" s="1918"/>
      <c r="P741" s="1918"/>
      <c r="Q741" s="1918"/>
      <c r="R741" s="1918"/>
      <c r="S741" s="1918"/>
      <c r="T741" s="1918"/>
      <c r="U741" s="1918"/>
      <c r="V741" s="1918"/>
      <c r="W741" s="1918"/>
      <c r="X741" s="1918"/>
      <c r="Y741" s="1918"/>
      <c r="Z741" s="1918"/>
      <c r="AA741" s="1918"/>
      <c r="AB741" s="1918"/>
      <c r="AC741" s="1918"/>
      <c r="AD741" s="1918"/>
      <c r="AE741" s="1918"/>
    </row>
    <row r="742" spans="1:31" ht="15.75" customHeight="1">
      <c r="A742" s="1918"/>
      <c r="B742" s="1918"/>
      <c r="C742" s="1918"/>
      <c r="D742" s="1918"/>
      <c r="E742" s="1918"/>
      <c r="F742" s="1918"/>
      <c r="G742" s="1918"/>
      <c r="H742" s="1918"/>
      <c r="I742" s="1918"/>
      <c r="J742" s="1918"/>
      <c r="K742" s="1918"/>
      <c r="L742" s="1918"/>
      <c r="M742" s="1918"/>
      <c r="N742" s="1918"/>
      <c r="O742" s="1918"/>
      <c r="P742" s="1918"/>
      <c r="Q742" s="1918"/>
      <c r="R742" s="1918"/>
      <c r="S742" s="1918"/>
      <c r="T742" s="1918"/>
      <c r="U742" s="1918"/>
      <c r="V742" s="1918"/>
      <c r="W742" s="1918"/>
      <c r="X742" s="1918"/>
      <c r="Y742" s="1918"/>
      <c r="Z742" s="1918"/>
      <c r="AA742" s="1918"/>
      <c r="AB742" s="1918"/>
      <c r="AC742" s="1918"/>
      <c r="AD742" s="1918"/>
      <c r="AE742" s="1918"/>
    </row>
    <row r="743" spans="1:31" ht="15.75" customHeight="1">
      <c r="A743" s="1918"/>
      <c r="B743" s="1918"/>
      <c r="C743" s="1918"/>
      <c r="D743" s="1918"/>
      <c r="E743" s="1918"/>
      <c r="F743" s="1918"/>
      <c r="G743" s="1918"/>
      <c r="H743" s="1918"/>
      <c r="I743" s="1918"/>
      <c r="J743" s="1918"/>
      <c r="K743" s="1918"/>
      <c r="L743" s="1918"/>
      <c r="M743" s="1918"/>
      <c r="N743" s="1918"/>
      <c r="O743" s="1918"/>
      <c r="P743" s="1918"/>
      <c r="Q743" s="1918"/>
      <c r="R743" s="1918"/>
      <c r="S743" s="1918"/>
      <c r="T743" s="1918"/>
      <c r="U743" s="1918"/>
      <c r="V743" s="1918"/>
      <c r="W743" s="1918"/>
      <c r="X743" s="1918"/>
      <c r="Y743" s="1918"/>
      <c r="Z743" s="1918"/>
      <c r="AA743" s="1918"/>
      <c r="AB743" s="1918"/>
      <c r="AC743" s="1918"/>
      <c r="AD743" s="1918"/>
      <c r="AE743" s="1918"/>
    </row>
    <row r="744" spans="1:31" ht="15.75" customHeight="1">
      <c r="A744" s="1918"/>
      <c r="B744" s="1918"/>
      <c r="C744" s="1918"/>
      <c r="D744" s="1918"/>
      <c r="E744" s="1918"/>
      <c r="F744" s="1918"/>
      <c r="G744" s="1918"/>
      <c r="H744" s="1918"/>
      <c r="I744" s="1918"/>
      <c r="J744" s="1918"/>
      <c r="K744" s="1918"/>
      <c r="L744" s="1918"/>
      <c r="M744" s="1918"/>
      <c r="N744" s="1918"/>
      <c r="O744" s="1918"/>
      <c r="P744" s="1918"/>
      <c r="Q744" s="1918"/>
      <c r="R744" s="1918"/>
      <c r="S744" s="1918"/>
      <c r="T744" s="1918"/>
      <c r="U744" s="1918"/>
      <c r="V744" s="1918"/>
      <c r="W744" s="1918"/>
      <c r="X744" s="1918"/>
      <c r="Y744" s="1918"/>
      <c r="Z744" s="1918"/>
      <c r="AA744" s="1918"/>
      <c r="AB744" s="1918"/>
      <c r="AC744" s="1918"/>
      <c r="AD744" s="1918"/>
      <c r="AE744" s="1918"/>
    </row>
    <row r="745" spans="1:31" ht="15.75" customHeight="1">
      <c r="A745" s="1918"/>
      <c r="B745" s="1918"/>
      <c r="C745" s="1918"/>
      <c r="D745" s="1918"/>
      <c r="E745" s="1918"/>
      <c r="F745" s="1918"/>
      <c r="G745" s="1918"/>
      <c r="H745" s="1918"/>
      <c r="I745" s="1918"/>
      <c r="J745" s="1918"/>
      <c r="K745" s="1918"/>
      <c r="L745" s="1918"/>
      <c r="M745" s="1918"/>
      <c r="N745" s="1918"/>
      <c r="O745" s="1918"/>
      <c r="P745" s="1918"/>
      <c r="Q745" s="1918"/>
      <c r="R745" s="1918"/>
      <c r="S745" s="1918"/>
      <c r="T745" s="1918"/>
      <c r="U745" s="1918"/>
      <c r="V745" s="1918"/>
      <c r="W745" s="1918"/>
      <c r="X745" s="1918"/>
      <c r="Y745" s="1918"/>
      <c r="Z745" s="1918"/>
      <c r="AA745" s="1918"/>
      <c r="AB745" s="1918"/>
      <c r="AC745" s="1918"/>
      <c r="AD745" s="1918"/>
      <c r="AE745" s="1918"/>
    </row>
    <row r="746" spans="1:31" ht="15.75" customHeight="1">
      <c r="A746" s="1918"/>
      <c r="B746" s="1918"/>
      <c r="C746" s="1918"/>
      <c r="D746" s="1918"/>
      <c r="E746" s="1918"/>
      <c r="F746" s="1918"/>
      <c r="G746" s="1918"/>
      <c r="H746" s="1918"/>
      <c r="I746" s="1918"/>
      <c r="J746" s="1918"/>
      <c r="K746" s="1918"/>
      <c r="L746" s="1918"/>
      <c r="M746" s="1918"/>
      <c r="N746" s="1918"/>
      <c r="O746" s="1918"/>
      <c r="P746" s="1918"/>
      <c r="Q746" s="1918"/>
      <c r="R746" s="1918"/>
      <c r="S746" s="1918"/>
      <c r="T746" s="1918"/>
      <c r="U746" s="1918"/>
      <c r="V746" s="1918"/>
      <c r="W746" s="1918"/>
      <c r="X746" s="1918"/>
      <c r="Y746" s="1918"/>
      <c r="Z746" s="1918"/>
      <c r="AA746" s="1918"/>
      <c r="AB746" s="1918"/>
      <c r="AC746" s="1918"/>
      <c r="AD746" s="1918"/>
      <c r="AE746" s="1918"/>
    </row>
    <row r="747" spans="1:31" ht="15.75" customHeight="1">
      <c r="A747" s="1918"/>
      <c r="B747" s="1918"/>
      <c r="C747" s="1918"/>
      <c r="D747" s="1918"/>
      <c r="E747" s="1918"/>
      <c r="F747" s="1918"/>
      <c r="G747" s="1918"/>
      <c r="H747" s="1918"/>
      <c r="I747" s="1918"/>
      <c r="J747" s="1918"/>
      <c r="K747" s="1918"/>
      <c r="L747" s="1918"/>
      <c r="M747" s="1918"/>
      <c r="N747" s="1918"/>
      <c r="O747" s="1918"/>
      <c r="P747" s="1918"/>
      <c r="Q747" s="1918"/>
      <c r="R747" s="1918"/>
      <c r="S747" s="1918"/>
      <c r="T747" s="1918"/>
      <c r="U747" s="1918"/>
      <c r="V747" s="1918"/>
      <c r="W747" s="1918"/>
      <c r="X747" s="1918"/>
      <c r="Y747" s="1918"/>
      <c r="Z747" s="1918"/>
      <c r="AA747" s="1918"/>
      <c r="AB747" s="1918"/>
      <c r="AC747" s="1918"/>
      <c r="AD747" s="1918"/>
      <c r="AE747" s="1918"/>
    </row>
    <row r="748" spans="1:31" ht="15.75" customHeight="1">
      <c r="A748" s="1918"/>
      <c r="B748" s="1918"/>
      <c r="C748" s="1918"/>
      <c r="D748" s="1918"/>
      <c r="E748" s="1918"/>
      <c r="F748" s="1918"/>
      <c r="G748" s="1918"/>
      <c r="H748" s="1918"/>
      <c r="I748" s="1918"/>
      <c r="J748" s="1918"/>
      <c r="K748" s="1918"/>
      <c r="L748" s="1918"/>
      <c r="M748" s="1918"/>
      <c r="N748" s="1918"/>
      <c r="O748" s="1918"/>
      <c r="P748" s="1918"/>
      <c r="Q748" s="1918"/>
      <c r="R748" s="1918"/>
      <c r="S748" s="1918"/>
      <c r="T748" s="1918"/>
      <c r="U748" s="1918"/>
      <c r="V748" s="1918"/>
      <c r="W748" s="1918"/>
      <c r="X748" s="1918"/>
      <c r="Y748" s="1918"/>
      <c r="Z748" s="1918"/>
      <c r="AA748" s="1918"/>
      <c r="AB748" s="1918"/>
      <c r="AC748" s="1918"/>
      <c r="AD748" s="1918"/>
      <c r="AE748" s="1918"/>
    </row>
    <row r="749" spans="1:31" ht="15.75" customHeight="1">
      <c r="A749" s="1918"/>
      <c r="B749" s="1918"/>
      <c r="C749" s="1918"/>
      <c r="D749" s="1918"/>
      <c r="E749" s="1918"/>
      <c r="F749" s="1918"/>
      <c r="G749" s="1918"/>
      <c r="H749" s="1918"/>
      <c r="I749" s="1918"/>
      <c r="J749" s="1918"/>
      <c r="K749" s="1918"/>
      <c r="L749" s="1918"/>
      <c r="M749" s="1918"/>
      <c r="N749" s="1918"/>
      <c r="O749" s="1918"/>
      <c r="P749" s="1918"/>
      <c r="Q749" s="1918"/>
      <c r="R749" s="1918"/>
      <c r="S749" s="1918"/>
      <c r="T749" s="1918"/>
      <c r="U749" s="1918"/>
      <c r="V749" s="1918"/>
      <c r="W749" s="1918"/>
      <c r="X749" s="1918"/>
      <c r="Y749" s="1918"/>
      <c r="Z749" s="1918"/>
      <c r="AA749" s="1918"/>
      <c r="AB749" s="1918"/>
      <c r="AC749" s="1918"/>
      <c r="AD749" s="1918"/>
      <c r="AE749" s="1918"/>
    </row>
    <row r="750" spans="1:31" ht="15.75" customHeight="1">
      <c r="A750" s="1918"/>
      <c r="B750" s="1918"/>
      <c r="C750" s="1918"/>
      <c r="D750" s="1918"/>
      <c r="E750" s="1918"/>
      <c r="F750" s="1918"/>
      <c r="G750" s="1918"/>
      <c r="H750" s="1918"/>
      <c r="I750" s="1918"/>
      <c r="J750" s="1918"/>
      <c r="K750" s="1918"/>
      <c r="L750" s="1918"/>
      <c r="M750" s="1918"/>
      <c r="N750" s="1918"/>
      <c r="O750" s="1918"/>
      <c r="P750" s="1918"/>
      <c r="Q750" s="1918"/>
      <c r="R750" s="1918"/>
      <c r="S750" s="1918"/>
      <c r="T750" s="1918"/>
      <c r="U750" s="1918"/>
      <c r="V750" s="1918"/>
      <c r="W750" s="1918"/>
      <c r="X750" s="1918"/>
      <c r="Y750" s="1918"/>
      <c r="Z750" s="1918"/>
      <c r="AA750" s="1918"/>
      <c r="AB750" s="1918"/>
      <c r="AC750" s="1918"/>
      <c r="AD750" s="1918"/>
      <c r="AE750" s="1918"/>
    </row>
    <row r="751" spans="1:31" ht="15.75" customHeight="1">
      <c r="A751" s="1918"/>
      <c r="B751" s="1918"/>
      <c r="C751" s="1918"/>
      <c r="D751" s="1918"/>
      <c r="E751" s="1918"/>
      <c r="F751" s="1918"/>
      <c r="G751" s="1918"/>
      <c r="H751" s="1918"/>
      <c r="I751" s="1918"/>
      <c r="J751" s="1918"/>
      <c r="K751" s="1918"/>
      <c r="L751" s="1918"/>
      <c r="M751" s="1918"/>
      <c r="N751" s="1918"/>
      <c r="O751" s="1918"/>
      <c r="P751" s="1918"/>
      <c r="Q751" s="1918"/>
      <c r="R751" s="1918"/>
      <c r="S751" s="1918"/>
      <c r="T751" s="1918"/>
      <c r="U751" s="1918"/>
      <c r="V751" s="1918"/>
      <c r="W751" s="1918"/>
      <c r="X751" s="1918"/>
      <c r="Y751" s="1918"/>
      <c r="Z751" s="1918"/>
      <c r="AA751" s="1918"/>
      <c r="AB751" s="1918"/>
      <c r="AC751" s="1918"/>
      <c r="AD751" s="1918"/>
      <c r="AE751" s="1918"/>
    </row>
    <row r="752" spans="1:31" ht="15.75" customHeight="1">
      <c r="A752" s="1918"/>
      <c r="B752" s="1918"/>
      <c r="C752" s="1918"/>
      <c r="D752" s="1918"/>
      <c r="E752" s="1918"/>
      <c r="F752" s="1918"/>
      <c r="G752" s="1918"/>
      <c r="H752" s="1918"/>
      <c r="I752" s="1918"/>
      <c r="J752" s="1918"/>
      <c r="K752" s="1918"/>
      <c r="L752" s="1918"/>
      <c r="M752" s="1918"/>
      <c r="N752" s="1918"/>
      <c r="O752" s="1918"/>
      <c r="P752" s="1918"/>
      <c r="Q752" s="1918"/>
      <c r="R752" s="1918"/>
      <c r="S752" s="1918"/>
      <c r="T752" s="1918"/>
      <c r="U752" s="1918"/>
      <c r="V752" s="1918"/>
      <c r="W752" s="1918"/>
      <c r="X752" s="1918"/>
      <c r="Y752" s="1918"/>
      <c r="Z752" s="1918"/>
      <c r="AA752" s="1918"/>
      <c r="AB752" s="1918"/>
      <c r="AC752" s="1918"/>
      <c r="AD752" s="1918"/>
      <c r="AE752" s="1918"/>
    </row>
    <row r="753" spans="1:31" ht="15.75" customHeight="1">
      <c r="A753" s="1918"/>
      <c r="B753" s="1918"/>
      <c r="C753" s="1918"/>
      <c r="D753" s="1918"/>
      <c r="E753" s="1918"/>
      <c r="F753" s="1918"/>
      <c r="G753" s="1918"/>
      <c r="H753" s="1918"/>
      <c r="I753" s="1918"/>
      <c r="J753" s="1918"/>
      <c r="K753" s="1918"/>
      <c r="L753" s="1918"/>
      <c r="M753" s="1918"/>
      <c r="N753" s="1918"/>
      <c r="O753" s="1918"/>
      <c r="P753" s="1918"/>
      <c r="Q753" s="1918"/>
      <c r="R753" s="1918"/>
      <c r="S753" s="1918"/>
      <c r="T753" s="1918"/>
      <c r="U753" s="1918"/>
      <c r="V753" s="1918"/>
      <c r="W753" s="1918"/>
      <c r="X753" s="1918"/>
      <c r="Y753" s="1918"/>
      <c r="Z753" s="1918"/>
      <c r="AA753" s="1918"/>
      <c r="AB753" s="1918"/>
      <c r="AC753" s="1918"/>
      <c r="AD753" s="1918"/>
      <c r="AE753" s="1918"/>
    </row>
    <row r="754" spans="1:31" ht="15.75" customHeight="1">
      <c r="A754" s="1918"/>
      <c r="B754" s="1918"/>
      <c r="C754" s="1918"/>
      <c r="D754" s="1918"/>
      <c r="E754" s="1918"/>
      <c r="F754" s="1918"/>
      <c r="G754" s="1918"/>
      <c r="H754" s="1918"/>
      <c r="I754" s="1918"/>
      <c r="J754" s="1918"/>
      <c r="K754" s="1918"/>
      <c r="L754" s="1918"/>
      <c r="M754" s="1918"/>
      <c r="N754" s="1918"/>
      <c r="O754" s="1918"/>
      <c r="P754" s="1918"/>
      <c r="Q754" s="1918"/>
      <c r="R754" s="1918"/>
      <c r="S754" s="1918"/>
      <c r="T754" s="1918"/>
      <c r="U754" s="1918"/>
      <c r="V754" s="1918"/>
      <c r="W754" s="1918"/>
      <c r="X754" s="1918"/>
      <c r="Y754" s="1918"/>
      <c r="Z754" s="1918"/>
      <c r="AA754" s="1918"/>
      <c r="AB754" s="1918"/>
      <c r="AC754" s="1918"/>
      <c r="AD754" s="1918"/>
      <c r="AE754" s="1918"/>
    </row>
    <row r="755" spans="1:31" ht="15.75" customHeight="1">
      <c r="A755" s="1918"/>
      <c r="B755" s="1918"/>
      <c r="C755" s="1918"/>
      <c r="D755" s="1918"/>
      <c r="E755" s="1918"/>
      <c r="F755" s="1918"/>
      <c r="G755" s="1918"/>
      <c r="H755" s="1918"/>
      <c r="I755" s="1918"/>
      <c r="J755" s="1918"/>
      <c r="K755" s="1918"/>
      <c r="L755" s="1918"/>
      <c r="M755" s="1918"/>
      <c r="N755" s="1918"/>
      <c r="O755" s="1918"/>
      <c r="P755" s="1918"/>
      <c r="Q755" s="1918"/>
      <c r="R755" s="1918"/>
      <c r="S755" s="1918"/>
      <c r="T755" s="1918"/>
      <c r="U755" s="1918"/>
      <c r="V755" s="1918"/>
      <c r="W755" s="1918"/>
      <c r="X755" s="1918"/>
      <c r="Y755" s="1918"/>
      <c r="Z755" s="1918"/>
      <c r="AA755" s="1918"/>
      <c r="AB755" s="1918"/>
      <c r="AC755" s="1918"/>
      <c r="AD755" s="1918"/>
      <c r="AE755" s="1918"/>
    </row>
    <row r="756" spans="1:31" ht="15.75" customHeight="1">
      <c r="A756" s="1918"/>
      <c r="B756" s="1918"/>
      <c r="C756" s="1918"/>
      <c r="D756" s="1918"/>
      <c r="E756" s="1918"/>
      <c r="F756" s="1918"/>
      <c r="G756" s="1918"/>
      <c r="H756" s="1918"/>
      <c r="I756" s="1918"/>
      <c r="J756" s="1918"/>
      <c r="K756" s="1918"/>
      <c r="L756" s="1918"/>
      <c r="M756" s="1918"/>
      <c r="N756" s="1918"/>
      <c r="O756" s="1918"/>
      <c r="P756" s="1918"/>
      <c r="Q756" s="1918"/>
      <c r="R756" s="1918"/>
      <c r="S756" s="1918"/>
      <c r="T756" s="1918"/>
      <c r="U756" s="1918"/>
      <c r="V756" s="1918"/>
      <c r="W756" s="1918"/>
      <c r="X756" s="1918"/>
      <c r="Y756" s="1918"/>
      <c r="Z756" s="1918"/>
      <c r="AA756" s="1918"/>
      <c r="AB756" s="1918"/>
      <c r="AC756" s="1918"/>
      <c r="AD756" s="1918"/>
      <c r="AE756" s="1918"/>
    </row>
    <row r="757" spans="1:31" ht="15.75" customHeight="1">
      <c r="A757" s="1918"/>
      <c r="B757" s="1918"/>
      <c r="C757" s="1918"/>
      <c r="D757" s="1918"/>
      <c r="E757" s="1918"/>
      <c r="F757" s="1918"/>
      <c r="G757" s="1918"/>
      <c r="H757" s="1918"/>
      <c r="I757" s="1918"/>
      <c r="J757" s="1918"/>
      <c r="K757" s="1918"/>
      <c r="L757" s="1918"/>
      <c r="M757" s="1918"/>
      <c r="N757" s="1918"/>
      <c r="O757" s="1918"/>
      <c r="P757" s="1918"/>
      <c r="Q757" s="1918"/>
      <c r="R757" s="1918"/>
      <c r="S757" s="1918"/>
      <c r="T757" s="1918"/>
      <c r="U757" s="1918"/>
      <c r="V757" s="1918"/>
      <c r="W757" s="1918"/>
      <c r="X757" s="1918"/>
      <c r="Y757" s="1918"/>
      <c r="Z757" s="1918"/>
      <c r="AA757" s="1918"/>
      <c r="AB757" s="1918"/>
      <c r="AC757" s="1918"/>
      <c r="AD757" s="1918"/>
      <c r="AE757" s="1918"/>
    </row>
    <row r="758" spans="1:31" ht="15.75" customHeight="1">
      <c r="A758" s="1918"/>
      <c r="B758" s="1918"/>
      <c r="C758" s="1918"/>
      <c r="D758" s="1918"/>
      <c r="E758" s="1918"/>
      <c r="F758" s="1918"/>
      <c r="G758" s="1918"/>
      <c r="H758" s="1918"/>
      <c r="I758" s="1918"/>
      <c r="J758" s="1918"/>
      <c r="K758" s="1918"/>
      <c r="L758" s="1918"/>
      <c r="M758" s="1918"/>
      <c r="N758" s="1918"/>
      <c r="O758" s="1918"/>
      <c r="P758" s="1918"/>
      <c r="Q758" s="1918"/>
      <c r="R758" s="1918"/>
      <c r="S758" s="1918"/>
      <c r="T758" s="1918"/>
      <c r="U758" s="1918"/>
      <c r="V758" s="1918"/>
      <c r="W758" s="1918"/>
      <c r="X758" s="1918"/>
      <c r="Y758" s="1918"/>
      <c r="Z758" s="1918"/>
      <c r="AA758" s="1918"/>
      <c r="AB758" s="1918"/>
      <c r="AC758" s="1918"/>
      <c r="AD758" s="1918"/>
      <c r="AE758" s="1918"/>
    </row>
    <row r="759" spans="1:31" ht="15.75" customHeight="1">
      <c r="A759" s="1918"/>
      <c r="B759" s="1918"/>
      <c r="C759" s="1918"/>
      <c r="D759" s="1918"/>
      <c r="E759" s="1918"/>
      <c r="F759" s="1918"/>
      <c r="G759" s="1918"/>
      <c r="H759" s="1918"/>
      <c r="I759" s="1918"/>
      <c r="J759" s="1918"/>
      <c r="K759" s="1918"/>
      <c r="L759" s="1918"/>
      <c r="M759" s="1918"/>
      <c r="N759" s="1918"/>
      <c r="O759" s="1918"/>
      <c r="P759" s="1918"/>
      <c r="Q759" s="1918"/>
      <c r="R759" s="1918"/>
      <c r="S759" s="1918"/>
      <c r="T759" s="1918"/>
      <c r="U759" s="1918"/>
      <c r="V759" s="1918"/>
      <c r="W759" s="1918"/>
      <c r="X759" s="1918"/>
      <c r="Y759" s="1918"/>
      <c r="Z759" s="1918"/>
      <c r="AA759" s="1918"/>
      <c r="AB759" s="1918"/>
      <c r="AC759" s="1918"/>
      <c r="AD759" s="1918"/>
      <c r="AE759" s="1918"/>
    </row>
    <row r="760" spans="1:31" ht="15.75" customHeight="1">
      <c r="A760" s="1918"/>
      <c r="B760" s="1918"/>
      <c r="C760" s="1918"/>
      <c r="D760" s="1918"/>
      <c r="E760" s="1918"/>
      <c r="F760" s="1918"/>
      <c r="G760" s="1918"/>
      <c r="H760" s="1918"/>
      <c r="I760" s="1918"/>
      <c r="J760" s="1918"/>
      <c r="K760" s="1918"/>
      <c r="L760" s="1918"/>
      <c r="M760" s="1918"/>
      <c r="N760" s="1918"/>
      <c r="O760" s="1918"/>
      <c r="P760" s="1918"/>
      <c r="Q760" s="1918"/>
      <c r="R760" s="1918"/>
      <c r="S760" s="1918"/>
      <c r="T760" s="1918"/>
      <c r="U760" s="1918"/>
      <c r="V760" s="1918"/>
      <c r="W760" s="1918"/>
      <c r="X760" s="1918"/>
      <c r="Y760" s="1918"/>
      <c r="Z760" s="1918"/>
      <c r="AA760" s="1918"/>
      <c r="AB760" s="1918"/>
      <c r="AC760" s="1918"/>
      <c r="AD760" s="1918"/>
      <c r="AE760" s="1918"/>
    </row>
    <row r="761" spans="1:31" ht="15.75" customHeight="1">
      <c r="A761" s="1918"/>
      <c r="B761" s="1918"/>
      <c r="C761" s="1918"/>
      <c r="D761" s="1918"/>
      <c r="E761" s="1918"/>
      <c r="F761" s="1918"/>
      <c r="G761" s="1918"/>
      <c r="H761" s="1918"/>
      <c r="I761" s="1918"/>
      <c r="J761" s="1918"/>
      <c r="K761" s="1918"/>
      <c r="L761" s="1918"/>
      <c r="M761" s="1918"/>
      <c r="N761" s="1918"/>
      <c r="O761" s="1918"/>
      <c r="P761" s="1918"/>
      <c r="Q761" s="1918"/>
      <c r="R761" s="1918"/>
      <c r="S761" s="1918"/>
      <c r="T761" s="1918"/>
      <c r="U761" s="1918"/>
      <c r="V761" s="1918"/>
      <c r="W761" s="1918"/>
      <c r="X761" s="1918"/>
      <c r="Y761" s="1918"/>
      <c r="Z761" s="1918"/>
      <c r="AA761" s="1918"/>
      <c r="AB761" s="1918"/>
      <c r="AC761" s="1918"/>
      <c r="AD761" s="1918"/>
      <c r="AE761" s="1918"/>
    </row>
    <row r="762" spans="1:31" ht="15.75" customHeight="1">
      <c r="A762" s="1918"/>
      <c r="B762" s="1918"/>
      <c r="C762" s="1918"/>
      <c r="D762" s="1918"/>
      <c r="E762" s="1918"/>
      <c r="F762" s="1918"/>
      <c r="G762" s="1918"/>
      <c r="H762" s="1918"/>
      <c r="I762" s="1918"/>
      <c r="J762" s="1918"/>
      <c r="K762" s="1918"/>
      <c r="L762" s="1918"/>
      <c r="M762" s="1918"/>
      <c r="N762" s="1918"/>
      <c r="O762" s="1918"/>
      <c r="P762" s="1918"/>
      <c r="Q762" s="1918"/>
      <c r="R762" s="1918"/>
      <c r="S762" s="1918"/>
      <c r="T762" s="1918"/>
      <c r="U762" s="1918"/>
      <c r="V762" s="1918"/>
      <c r="W762" s="1918"/>
      <c r="X762" s="1918"/>
      <c r="Y762" s="1918"/>
      <c r="Z762" s="1918"/>
      <c r="AA762" s="1918"/>
      <c r="AB762" s="1918"/>
      <c r="AC762" s="1918"/>
      <c r="AD762" s="1918"/>
      <c r="AE762" s="1918"/>
    </row>
    <row r="763" spans="1:31" ht="15.75" customHeight="1">
      <c r="A763" s="1918"/>
      <c r="B763" s="1918"/>
      <c r="C763" s="1918"/>
      <c r="D763" s="1918"/>
      <c r="E763" s="1918"/>
      <c r="F763" s="1918"/>
      <c r="G763" s="1918"/>
      <c r="H763" s="1918"/>
      <c r="I763" s="1918"/>
      <c r="J763" s="1918"/>
      <c r="K763" s="1918"/>
      <c r="L763" s="1918"/>
      <c r="M763" s="1918"/>
      <c r="N763" s="1918"/>
      <c r="O763" s="1918"/>
      <c r="P763" s="1918"/>
      <c r="Q763" s="1918"/>
      <c r="R763" s="1918"/>
      <c r="S763" s="1918"/>
      <c r="T763" s="1918"/>
      <c r="U763" s="1918"/>
      <c r="V763" s="1918"/>
      <c r="W763" s="1918"/>
      <c r="X763" s="1918"/>
      <c r="Y763" s="1918"/>
      <c r="Z763" s="1918"/>
      <c r="AA763" s="1918"/>
      <c r="AB763" s="1918"/>
      <c r="AC763" s="1918"/>
      <c r="AD763" s="1918"/>
      <c r="AE763" s="1918"/>
    </row>
    <row r="764" spans="1:31" ht="15.75" customHeight="1">
      <c r="A764" s="1918"/>
      <c r="B764" s="1918"/>
      <c r="C764" s="1918"/>
      <c r="D764" s="1918"/>
      <c r="E764" s="1918"/>
      <c r="F764" s="1918"/>
      <c r="G764" s="1918"/>
      <c r="H764" s="1918"/>
      <c r="I764" s="1918"/>
      <c r="J764" s="1918"/>
      <c r="K764" s="1918"/>
      <c r="L764" s="1918"/>
      <c r="M764" s="1918"/>
      <c r="N764" s="1918"/>
      <c r="O764" s="1918"/>
      <c r="P764" s="1918"/>
      <c r="Q764" s="1918"/>
      <c r="R764" s="1918"/>
      <c r="S764" s="1918"/>
      <c r="T764" s="1918"/>
      <c r="U764" s="1918"/>
      <c r="V764" s="1918"/>
      <c r="W764" s="1918"/>
      <c r="X764" s="1918"/>
      <c r="Y764" s="1918"/>
      <c r="Z764" s="1918"/>
      <c r="AA764" s="1918"/>
      <c r="AB764" s="1918"/>
      <c r="AC764" s="1918"/>
      <c r="AD764" s="1918"/>
      <c r="AE764" s="1918"/>
    </row>
    <row r="765" spans="1:31" ht="15.75" customHeight="1">
      <c r="A765" s="1918"/>
      <c r="B765" s="1918"/>
      <c r="C765" s="1918"/>
      <c r="D765" s="1918"/>
      <c r="E765" s="1918"/>
      <c r="F765" s="1918"/>
      <c r="G765" s="1918"/>
      <c r="H765" s="1918"/>
      <c r="I765" s="1918"/>
      <c r="J765" s="1918"/>
      <c r="K765" s="1918"/>
      <c r="L765" s="1918"/>
      <c r="M765" s="1918"/>
      <c r="N765" s="1918"/>
      <c r="O765" s="1918"/>
      <c r="P765" s="1918"/>
      <c r="Q765" s="1918"/>
      <c r="R765" s="1918"/>
      <c r="S765" s="1918"/>
      <c r="T765" s="1918"/>
      <c r="U765" s="1918"/>
      <c r="V765" s="1918"/>
      <c r="W765" s="1918"/>
      <c r="X765" s="1918"/>
      <c r="Y765" s="1918"/>
      <c r="Z765" s="1918"/>
      <c r="AA765" s="1918"/>
      <c r="AB765" s="1918"/>
      <c r="AC765" s="1918"/>
      <c r="AD765" s="1918"/>
      <c r="AE765" s="1918"/>
    </row>
    <row r="766" spans="1:31" ht="15.75" customHeight="1">
      <c r="A766" s="1918"/>
      <c r="B766" s="1918"/>
      <c r="C766" s="1918"/>
      <c r="D766" s="1918"/>
      <c r="E766" s="1918"/>
      <c r="F766" s="1918"/>
      <c r="G766" s="1918"/>
      <c r="H766" s="1918"/>
      <c r="I766" s="1918"/>
      <c r="J766" s="1918"/>
      <c r="K766" s="1918"/>
      <c r="L766" s="1918"/>
      <c r="M766" s="1918"/>
      <c r="N766" s="1918"/>
      <c r="O766" s="1918"/>
      <c r="P766" s="1918"/>
      <c r="Q766" s="1918"/>
      <c r="R766" s="1918"/>
      <c r="S766" s="1918"/>
      <c r="T766" s="1918"/>
      <c r="U766" s="1918"/>
      <c r="V766" s="1918"/>
      <c r="W766" s="1918"/>
      <c r="X766" s="1918"/>
      <c r="Y766" s="1918"/>
      <c r="Z766" s="1918"/>
      <c r="AA766" s="1918"/>
      <c r="AB766" s="1918"/>
      <c r="AC766" s="1918"/>
      <c r="AD766" s="1918"/>
      <c r="AE766" s="1918"/>
    </row>
    <row r="767" spans="1:31" ht="15.75" customHeight="1">
      <c r="A767" s="1918"/>
      <c r="B767" s="1918"/>
      <c r="C767" s="1918"/>
      <c r="D767" s="1918"/>
      <c r="E767" s="1918"/>
      <c r="F767" s="1918"/>
      <c r="G767" s="1918"/>
      <c r="H767" s="1918"/>
      <c r="I767" s="1918"/>
      <c r="J767" s="1918"/>
      <c r="K767" s="1918"/>
      <c r="L767" s="1918"/>
      <c r="M767" s="1918"/>
      <c r="N767" s="1918"/>
      <c r="O767" s="1918"/>
      <c r="P767" s="1918"/>
      <c r="Q767" s="1918"/>
      <c r="R767" s="1918"/>
      <c r="S767" s="1918"/>
      <c r="T767" s="1918"/>
      <c r="U767" s="1918"/>
      <c r="V767" s="1918"/>
      <c r="W767" s="1918"/>
      <c r="X767" s="1918"/>
      <c r="Y767" s="1918"/>
      <c r="Z767" s="1918"/>
      <c r="AA767" s="1918"/>
      <c r="AB767" s="1918"/>
      <c r="AC767" s="1918"/>
      <c r="AD767" s="1918"/>
      <c r="AE767" s="1918"/>
    </row>
    <row r="768" spans="1:31" ht="15.75" customHeight="1">
      <c r="A768" s="1918"/>
      <c r="B768" s="1918"/>
      <c r="C768" s="1918"/>
      <c r="D768" s="1918"/>
      <c r="E768" s="1918"/>
      <c r="F768" s="1918"/>
      <c r="G768" s="1918"/>
      <c r="H768" s="1918"/>
      <c r="I768" s="1918"/>
      <c r="J768" s="1918"/>
      <c r="K768" s="1918"/>
      <c r="L768" s="1918"/>
      <c r="M768" s="1918"/>
      <c r="N768" s="1918"/>
      <c r="O768" s="1918"/>
      <c r="P768" s="1918"/>
      <c r="Q768" s="1918"/>
      <c r="R768" s="1918"/>
      <c r="S768" s="1918"/>
      <c r="T768" s="1918"/>
      <c r="U768" s="1918"/>
      <c r="V768" s="1918"/>
      <c r="W768" s="1918"/>
      <c r="X768" s="1918"/>
      <c r="Y768" s="1918"/>
      <c r="Z768" s="1918"/>
      <c r="AA768" s="1918"/>
      <c r="AB768" s="1918"/>
      <c r="AC768" s="1918"/>
      <c r="AD768" s="1918"/>
      <c r="AE768" s="1918"/>
    </row>
    <row r="769" spans="1:31" ht="15.75" customHeight="1">
      <c r="A769" s="1918"/>
      <c r="B769" s="1918"/>
      <c r="C769" s="1918"/>
      <c r="D769" s="1918"/>
      <c r="E769" s="1918"/>
      <c r="F769" s="1918"/>
      <c r="G769" s="1918"/>
      <c r="H769" s="1918"/>
      <c r="I769" s="1918"/>
      <c r="J769" s="1918"/>
      <c r="K769" s="1918"/>
      <c r="L769" s="1918"/>
      <c r="M769" s="1918"/>
      <c r="N769" s="1918"/>
      <c r="O769" s="1918"/>
      <c r="P769" s="1918"/>
      <c r="Q769" s="1918"/>
      <c r="R769" s="1918"/>
      <c r="S769" s="1918"/>
      <c r="T769" s="1918"/>
      <c r="U769" s="1918"/>
      <c r="V769" s="1918"/>
      <c r="W769" s="1918"/>
      <c r="X769" s="1918"/>
      <c r="Y769" s="1918"/>
      <c r="Z769" s="1918"/>
      <c r="AA769" s="1918"/>
      <c r="AB769" s="1918"/>
      <c r="AC769" s="1918"/>
      <c r="AD769" s="1918"/>
      <c r="AE769" s="1918"/>
    </row>
    <row r="770" spans="1:31" ht="15.75" customHeight="1">
      <c r="A770" s="1918"/>
      <c r="B770" s="1918"/>
      <c r="C770" s="1918"/>
      <c r="D770" s="1918"/>
      <c r="E770" s="1918"/>
      <c r="F770" s="1918"/>
      <c r="G770" s="1918"/>
      <c r="H770" s="1918"/>
      <c r="I770" s="1918"/>
      <c r="J770" s="1918"/>
      <c r="K770" s="1918"/>
      <c r="L770" s="1918"/>
      <c r="M770" s="1918"/>
      <c r="N770" s="1918"/>
      <c r="O770" s="1918"/>
      <c r="P770" s="1918"/>
      <c r="Q770" s="1918"/>
      <c r="R770" s="1918"/>
      <c r="S770" s="1918"/>
      <c r="T770" s="1918"/>
      <c r="U770" s="1918"/>
      <c r="V770" s="1918"/>
      <c r="W770" s="1918"/>
      <c r="X770" s="1918"/>
      <c r="Y770" s="1918"/>
      <c r="Z770" s="1918"/>
      <c r="AA770" s="1918"/>
      <c r="AB770" s="1918"/>
      <c r="AC770" s="1918"/>
      <c r="AD770" s="1918"/>
      <c r="AE770" s="1918"/>
    </row>
    <row r="771" spans="1:31" ht="15.75" customHeight="1">
      <c r="A771" s="1918"/>
      <c r="B771" s="1918"/>
      <c r="C771" s="1918"/>
      <c r="D771" s="1918"/>
      <c r="E771" s="1918"/>
      <c r="F771" s="1918"/>
      <c r="G771" s="1918"/>
      <c r="H771" s="1918"/>
      <c r="I771" s="1918"/>
      <c r="J771" s="1918"/>
      <c r="K771" s="1918"/>
      <c r="L771" s="1918"/>
      <c r="M771" s="1918"/>
      <c r="N771" s="1918"/>
      <c r="O771" s="1918"/>
      <c r="P771" s="1918"/>
      <c r="Q771" s="1918"/>
      <c r="R771" s="1918"/>
      <c r="S771" s="1918"/>
      <c r="T771" s="1918"/>
      <c r="U771" s="1918"/>
      <c r="V771" s="1918"/>
      <c r="W771" s="1918"/>
      <c r="X771" s="1918"/>
      <c r="Y771" s="1918"/>
      <c r="Z771" s="1918"/>
      <c r="AA771" s="1918"/>
      <c r="AB771" s="1918"/>
      <c r="AC771" s="1918"/>
      <c r="AD771" s="1918"/>
      <c r="AE771" s="1918"/>
    </row>
    <row r="772" spans="1:31" ht="15.75" customHeight="1">
      <c r="A772" s="1918"/>
      <c r="B772" s="1918"/>
      <c r="C772" s="1918"/>
      <c r="D772" s="1918"/>
      <c r="E772" s="1918"/>
      <c r="F772" s="1918"/>
      <c r="G772" s="1918"/>
      <c r="H772" s="1918"/>
      <c r="I772" s="1918"/>
      <c r="J772" s="1918"/>
      <c r="K772" s="1918"/>
      <c r="L772" s="1918"/>
      <c r="M772" s="1918"/>
      <c r="N772" s="1918"/>
      <c r="O772" s="1918"/>
      <c r="P772" s="1918"/>
      <c r="Q772" s="1918"/>
      <c r="R772" s="1918"/>
      <c r="S772" s="1918"/>
      <c r="T772" s="1918"/>
      <c r="U772" s="1918"/>
      <c r="V772" s="1918"/>
      <c r="W772" s="1918"/>
      <c r="X772" s="1918"/>
      <c r="Y772" s="1918"/>
      <c r="Z772" s="1918"/>
      <c r="AA772" s="1918"/>
      <c r="AB772" s="1918"/>
      <c r="AC772" s="1918"/>
      <c r="AD772" s="1918"/>
      <c r="AE772" s="1918"/>
    </row>
    <row r="773" spans="1:31" ht="15.75" customHeight="1">
      <c r="A773" s="1918"/>
      <c r="B773" s="1918"/>
      <c r="C773" s="1918"/>
      <c r="D773" s="1918"/>
      <c r="E773" s="1918"/>
      <c r="F773" s="1918"/>
      <c r="G773" s="1918"/>
      <c r="H773" s="1918"/>
      <c r="I773" s="1918"/>
      <c r="J773" s="1918"/>
      <c r="K773" s="1918"/>
      <c r="L773" s="1918"/>
      <c r="M773" s="1918"/>
      <c r="N773" s="1918"/>
      <c r="O773" s="1918"/>
      <c r="P773" s="1918"/>
      <c r="Q773" s="1918"/>
      <c r="R773" s="1918"/>
      <c r="S773" s="1918"/>
      <c r="T773" s="1918"/>
      <c r="U773" s="1918"/>
      <c r="V773" s="1918"/>
      <c r="W773" s="1918"/>
      <c r="X773" s="1918"/>
      <c r="Y773" s="1918"/>
      <c r="Z773" s="1918"/>
      <c r="AA773" s="1918"/>
      <c r="AB773" s="1918"/>
      <c r="AC773" s="1918"/>
      <c r="AD773" s="1918"/>
      <c r="AE773" s="1918"/>
    </row>
    <row r="774" spans="1:31" ht="15.75" customHeight="1">
      <c r="A774" s="1918"/>
      <c r="B774" s="1918"/>
      <c r="C774" s="1918"/>
      <c r="D774" s="1918"/>
      <c r="E774" s="1918"/>
      <c r="F774" s="1918"/>
      <c r="G774" s="1918"/>
      <c r="H774" s="1918"/>
      <c r="I774" s="1918"/>
      <c r="J774" s="1918"/>
      <c r="K774" s="1918"/>
      <c r="L774" s="1918"/>
      <c r="M774" s="1918"/>
      <c r="N774" s="1918"/>
      <c r="O774" s="1918"/>
      <c r="P774" s="1918"/>
      <c r="Q774" s="1918"/>
      <c r="R774" s="1918"/>
      <c r="S774" s="1918"/>
      <c r="T774" s="1918"/>
      <c r="U774" s="1918"/>
      <c r="V774" s="1918"/>
      <c r="W774" s="1918"/>
      <c r="X774" s="1918"/>
      <c r="Y774" s="1918"/>
      <c r="Z774" s="1918"/>
      <c r="AA774" s="1918"/>
      <c r="AB774" s="1918"/>
      <c r="AC774" s="1918"/>
      <c r="AD774" s="1918"/>
      <c r="AE774" s="1918"/>
    </row>
    <row r="775" spans="1:31" ht="15.75" customHeight="1">
      <c r="A775" s="1918"/>
      <c r="B775" s="1918"/>
      <c r="C775" s="1918"/>
      <c r="D775" s="1918"/>
      <c r="E775" s="1918"/>
      <c r="F775" s="1918"/>
      <c r="G775" s="1918"/>
      <c r="H775" s="1918"/>
      <c r="I775" s="1918"/>
      <c r="J775" s="1918"/>
      <c r="K775" s="1918"/>
      <c r="L775" s="1918"/>
      <c r="M775" s="1918"/>
      <c r="N775" s="1918"/>
      <c r="O775" s="1918"/>
      <c r="P775" s="1918"/>
      <c r="Q775" s="1918"/>
      <c r="R775" s="1918"/>
      <c r="S775" s="1918"/>
      <c r="T775" s="1918"/>
      <c r="U775" s="1918"/>
      <c r="V775" s="1918"/>
      <c r="W775" s="1918"/>
      <c r="X775" s="1918"/>
      <c r="Y775" s="1918"/>
      <c r="Z775" s="1918"/>
      <c r="AA775" s="1918"/>
      <c r="AB775" s="1918"/>
      <c r="AC775" s="1918"/>
      <c r="AD775" s="1918"/>
      <c r="AE775" s="1918"/>
    </row>
    <row r="776" spans="1:31" ht="15.75" customHeight="1">
      <c r="A776" s="1918"/>
      <c r="B776" s="1918"/>
      <c r="C776" s="1918"/>
      <c r="D776" s="1918"/>
      <c r="E776" s="1918"/>
      <c r="F776" s="1918"/>
      <c r="G776" s="1918"/>
      <c r="H776" s="1918"/>
      <c r="I776" s="1918"/>
      <c r="J776" s="1918"/>
      <c r="K776" s="1918"/>
      <c r="L776" s="1918"/>
      <c r="M776" s="1918"/>
      <c r="N776" s="1918"/>
      <c r="O776" s="1918"/>
      <c r="P776" s="1918"/>
      <c r="Q776" s="1918"/>
      <c r="R776" s="1918"/>
      <c r="S776" s="1918"/>
      <c r="T776" s="1918"/>
      <c r="U776" s="1918"/>
      <c r="V776" s="1918"/>
      <c r="W776" s="1918"/>
      <c r="X776" s="1918"/>
      <c r="Y776" s="1918"/>
      <c r="Z776" s="1918"/>
      <c r="AA776" s="1918"/>
      <c r="AB776" s="1918"/>
      <c r="AC776" s="1918"/>
      <c r="AD776" s="1918"/>
      <c r="AE776" s="1918"/>
    </row>
    <row r="777" spans="1:31" ht="15.75" customHeight="1">
      <c r="A777" s="1918"/>
      <c r="B777" s="1918"/>
      <c r="C777" s="1918"/>
      <c r="D777" s="1918"/>
      <c r="E777" s="1918"/>
      <c r="F777" s="1918"/>
      <c r="G777" s="1918"/>
      <c r="H777" s="1918"/>
      <c r="I777" s="1918"/>
      <c r="J777" s="1918"/>
      <c r="K777" s="1918"/>
      <c r="L777" s="1918"/>
      <c r="M777" s="1918"/>
      <c r="N777" s="1918"/>
      <c r="O777" s="1918"/>
      <c r="P777" s="1918"/>
      <c r="Q777" s="1918"/>
      <c r="R777" s="1918"/>
      <c r="S777" s="1918"/>
      <c r="T777" s="1918"/>
      <c r="U777" s="1918"/>
      <c r="V777" s="1918"/>
      <c r="W777" s="1918"/>
      <c r="X777" s="1918"/>
      <c r="Y777" s="1918"/>
      <c r="Z777" s="1918"/>
      <c r="AA777" s="1918"/>
      <c r="AB777" s="1918"/>
      <c r="AC777" s="1918"/>
      <c r="AD777" s="1918"/>
      <c r="AE777" s="1918"/>
    </row>
    <row r="778" spans="1:31" ht="15.75" customHeight="1">
      <c r="A778" s="1918"/>
      <c r="B778" s="1918"/>
      <c r="C778" s="1918"/>
      <c r="D778" s="1918"/>
      <c r="E778" s="1918"/>
      <c r="F778" s="1918"/>
      <c r="G778" s="1918"/>
      <c r="H778" s="1918"/>
      <c r="I778" s="1918"/>
      <c r="J778" s="1918"/>
      <c r="K778" s="1918"/>
      <c r="L778" s="1918"/>
      <c r="M778" s="1918"/>
      <c r="N778" s="1918"/>
      <c r="O778" s="1918"/>
      <c r="P778" s="1918"/>
      <c r="Q778" s="1918"/>
      <c r="R778" s="1918"/>
      <c r="S778" s="1918"/>
      <c r="T778" s="1918"/>
      <c r="U778" s="1918"/>
      <c r="V778" s="1918"/>
      <c r="W778" s="1918"/>
      <c r="X778" s="1918"/>
      <c r="Y778" s="1918"/>
      <c r="Z778" s="1918"/>
      <c r="AA778" s="1918"/>
      <c r="AB778" s="1918"/>
      <c r="AC778" s="1918"/>
      <c r="AD778" s="1918"/>
      <c r="AE778" s="1918"/>
    </row>
    <row r="779" spans="1:31" ht="15.75" customHeight="1">
      <c r="A779" s="1918"/>
      <c r="B779" s="1918"/>
      <c r="C779" s="1918"/>
      <c r="D779" s="1918"/>
      <c r="E779" s="1918"/>
      <c r="F779" s="1918"/>
      <c r="G779" s="1918"/>
      <c r="H779" s="1918"/>
      <c r="I779" s="1918"/>
      <c r="J779" s="1918"/>
      <c r="K779" s="1918"/>
      <c r="L779" s="1918"/>
      <c r="M779" s="1918"/>
      <c r="N779" s="1918"/>
      <c r="O779" s="1918"/>
      <c r="P779" s="1918"/>
      <c r="Q779" s="1918"/>
      <c r="R779" s="1918"/>
      <c r="S779" s="1918"/>
      <c r="T779" s="1918"/>
      <c r="U779" s="1918"/>
      <c r="V779" s="1918"/>
      <c r="W779" s="1918"/>
      <c r="X779" s="1918"/>
      <c r="Y779" s="1918"/>
      <c r="Z779" s="1918"/>
      <c r="AA779" s="1918"/>
      <c r="AB779" s="1918"/>
      <c r="AC779" s="1918"/>
      <c r="AD779" s="1918"/>
      <c r="AE779" s="1918"/>
    </row>
    <row r="780" spans="1:31" ht="15.75" customHeight="1">
      <c r="A780" s="1918"/>
      <c r="B780" s="1918"/>
      <c r="C780" s="1918"/>
      <c r="D780" s="1918"/>
      <c r="E780" s="1918"/>
      <c r="F780" s="1918"/>
      <c r="G780" s="1918"/>
      <c r="H780" s="1918"/>
      <c r="I780" s="1918"/>
      <c r="J780" s="1918"/>
      <c r="K780" s="1918"/>
      <c r="L780" s="1918"/>
      <c r="M780" s="1918"/>
      <c r="N780" s="1918"/>
      <c r="O780" s="1918"/>
      <c r="P780" s="1918"/>
      <c r="Q780" s="1918"/>
      <c r="R780" s="1918"/>
      <c r="S780" s="1918"/>
      <c r="T780" s="1918"/>
      <c r="U780" s="1918"/>
      <c r="V780" s="1918"/>
      <c r="W780" s="1918"/>
      <c r="X780" s="1918"/>
      <c r="Y780" s="1918"/>
      <c r="Z780" s="1918"/>
      <c r="AA780" s="1918"/>
      <c r="AB780" s="1918"/>
      <c r="AC780" s="1918"/>
      <c r="AD780" s="1918"/>
      <c r="AE780" s="1918"/>
    </row>
    <row r="781" spans="1:31" ht="15.75" customHeight="1">
      <c r="A781" s="1918"/>
      <c r="B781" s="1918"/>
      <c r="C781" s="1918"/>
      <c r="D781" s="1918"/>
      <c r="E781" s="1918"/>
      <c r="F781" s="1918"/>
      <c r="G781" s="1918"/>
      <c r="H781" s="1918"/>
      <c r="I781" s="1918"/>
      <c r="J781" s="1918"/>
      <c r="K781" s="1918"/>
      <c r="L781" s="1918"/>
      <c r="M781" s="1918"/>
      <c r="N781" s="1918"/>
      <c r="O781" s="1918"/>
      <c r="P781" s="1918"/>
      <c r="Q781" s="1918"/>
      <c r="R781" s="1918"/>
      <c r="S781" s="1918"/>
      <c r="T781" s="1918"/>
      <c r="U781" s="1918"/>
      <c r="V781" s="1918"/>
      <c r="W781" s="1918"/>
      <c r="X781" s="1918"/>
      <c r="Y781" s="1918"/>
      <c r="Z781" s="1918"/>
      <c r="AA781" s="1918"/>
      <c r="AB781" s="1918"/>
      <c r="AC781" s="1918"/>
      <c r="AD781" s="1918"/>
      <c r="AE781" s="1918"/>
    </row>
    <row r="782" spans="1:31" ht="15.75" customHeight="1">
      <c r="A782" s="1918"/>
      <c r="B782" s="1918"/>
      <c r="C782" s="1918"/>
      <c r="D782" s="1918"/>
      <c r="E782" s="1918"/>
      <c r="F782" s="1918"/>
      <c r="G782" s="1918"/>
      <c r="H782" s="1918"/>
      <c r="I782" s="1918"/>
      <c r="J782" s="1918"/>
      <c r="K782" s="1918"/>
      <c r="L782" s="1918"/>
      <c r="M782" s="1918"/>
      <c r="N782" s="1918"/>
      <c r="O782" s="1918"/>
      <c r="P782" s="1918"/>
      <c r="Q782" s="1918"/>
      <c r="R782" s="1918"/>
      <c r="S782" s="1918"/>
      <c r="T782" s="1918"/>
      <c r="U782" s="1918"/>
      <c r="V782" s="1918"/>
      <c r="W782" s="1918"/>
      <c r="X782" s="1918"/>
      <c r="Y782" s="1918"/>
      <c r="Z782" s="1918"/>
      <c r="AA782" s="1918"/>
      <c r="AB782" s="1918"/>
      <c r="AC782" s="1918"/>
      <c r="AD782" s="1918"/>
      <c r="AE782" s="1918"/>
    </row>
    <row r="783" spans="1:31" ht="15.75" customHeight="1">
      <c r="A783" s="1918"/>
      <c r="B783" s="1918"/>
      <c r="C783" s="1918"/>
      <c r="D783" s="1918"/>
      <c r="E783" s="1918"/>
      <c r="F783" s="1918"/>
      <c r="G783" s="1918"/>
      <c r="H783" s="1918"/>
      <c r="I783" s="1918"/>
      <c r="J783" s="1918"/>
      <c r="K783" s="1918"/>
      <c r="L783" s="1918"/>
      <c r="M783" s="1918"/>
      <c r="N783" s="1918"/>
      <c r="O783" s="1918"/>
      <c r="P783" s="1918"/>
      <c r="Q783" s="1918"/>
      <c r="R783" s="1918"/>
      <c r="S783" s="1918"/>
      <c r="T783" s="1918"/>
      <c r="U783" s="1918"/>
      <c r="V783" s="1918"/>
      <c r="W783" s="1918"/>
      <c r="X783" s="1918"/>
      <c r="Y783" s="1918"/>
      <c r="Z783" s="1918"/>
      <c r="AA783" s="1918"/>
      <c r="AB783" s="1918"/>
      <c r="AC783" s="1918"/>
      <c r="AD783" s="1918"/>
      <c r="AE783" s="1918"/>
    </row>
    <row r="784" spans="1:31" ht="15.75" customHeight="1">
      <c r="A784" s="1918"/>
      <c r="B784" s="1918"/>
      <c r="C784" s="1918"/>
      <c r="D784" s="1918"/>
      <c r="E784" s="1918"/>
      <c r="F784" s="1918"/>
      <c r="G784" s="1918"/>
      <c r="H784" s="1918"/>
      <c r="I784" s="1918"/>
      <c r="J784" s="1918"/>
      <c r="K784" s="1918"/>
      <c r="L784" s="1918"/>
      <c r="M784" s="1918"/>
      <c r="N784" s="1918"/>
      <c r="O784" s="1918"/>
      <c r="P784" s="1918"/>
      <c r="Q784" s="1918"/>
      <c r="R784" s="1918"/>
      <c r="S784" s="1918"/>
      <c r="T784" s="1918"/>
      <c r="U784" s="1918"/>
      <c r="V784" s="1918"/>
      <c r="W784" s="1918"/>
      <c r="X784" s="1918"/>
      <c r="Y784" s="1918"/>
      <c r="Z784" s="1918"/>
      <c r="AA784" s="1918"/>
      <c r="AB784" s="1918"/>
      <c r="AC784" s="1918"/>
      <c r="AD784" s="1918"/>
      <c r="AE784" s="1918"/>
    </row>
    <row r="785" spans="1:31" ht="15.75" customHeight="1">
      <c r="A785" s="1918"/>
      <c r="B785" s="1918"/>
      <c r="C785" s="1918"/>
      <c r="D785" s="1918"/>
      <c r="E785" s="1918"/>
      <c r="F785" s="1918"/>
      <c r="G785" s="1918"/>
      <c r="H785" s="1918"/>
      <c r="I785" s="1918"/>
      <c r="J785" s="1918"/>
      <c r="K785" s="1918"/>
      <c r="L785" s="1918"/>
      <c r="M785" s="1918"/>
      <c r="N785" s="1918"/>
      <c r="O785" s="1918"/>
      <c r="P785" s="1918"/>
      <c r="Q785" s="1918"/>
      <c r="R785" s="1918"/>
      <c r="S785" s="1918"/>
      <c r="T785" s="1918"/>
      <c r="U785" s="1918"/>
      <c r="V785" s="1918"/>
      <c r="W785" s="1918"/>
      <c r="X785" s="1918"/>
      <c r="Y785" s="1918"/>
      <c r="Z785" s="1918"/>
      <c r="AA785" s="1918"/>
      <c r="AB785" s="1918"/>
      <c r="AC785" s="1918"/>
      <c r="AD785" s="1918"/>
      <c r="AE785" s="1918"/>
    </row>
    <row r="786" spans="1:31" ht="15.75" customHeight="1">
      <c r="A786" s="1918"/>
      <c r="B786" s="1918"/>
      <c r="C786" s="1918"/>
      <c r="D786" s="1918"/>
      <c r="E786" s="1918"/>
      <c r="F786" s="1918"/>
      <c r="G786" s="1918"/>
      <c r="H786" s="1918"/>
      <c r="I786" s="1918"/>
      <c r="J786" s="1918"/>
      <c r="K786" s="1918"/>
      <c r="L786" s="1918"/>
      <c r="M786" s="1918"/>
      <c r="N786" s="1918"/>
      <c r="O786" s="1918"/>
      <c r="P786" s="1918"/>
      <c r="Q786" s="1918"/>
      <c r="R786" s="1918"/>
      <c r="S786" s="1918"/>
      <c r="T786" s="1918"/>
      <c r="U786" s="1918"/>
      <c r="V786" s="1918"/>
      <c r="W786" s="1918"/>
      <c r="X786" s="1918"/>
      <c r="Y786" s="1918"/>
      <c r="Z786" s="1918"/>
      <c r="AA786" s="1918"/>
      <c r="AB786" s="1918"/>
      <c r="AC786" s="1918"/>
      <c r="AD786" s="1918"/>
      <c r="AE786" s="1918"/>
    </row>
    <row r="787" spans="1:31" ht="15.75" customHeight="1">
      <c r="A787" s="1918"/>
      <c r="B787" s="1918"/>
      <c r="C787" s="1918"/>
      <c r="D787" s="1918"/>
      <c r="E787" s="1918"/>
      <c r="F787" s="1918"/>
      <c r="G787" s="1918"/>
      <c r="H787" s="1918"/>
      <c r="I787" s="1918"/>
      <c r="J787" s="1918"/>
      <c r="K787" s="1918"/>
      <c r="L787" s="1918"/>
      <c r="M787" s="1918"/>
      <c r="N787" s="1918"/>
      <c r="O787" s="1918"/>
      <c r="P787" s="1918"/>
      <c r="Q787" s="1918"/>
      <c r="R787" s="1918"/>
      <c r="S787" s="1918"/>
      <c r="T787" s="1918"/>
      <c r="U787" s="1918"/>
      <c r="V787" s="1918"/>
      <c r="W787" s="1918"/>
      <c r="X787" s="1918"/>
      <c r="Y787" s="1918"/>
      <c r="Z787" s="1918"/>
      <c r="AA787" s="1918"/>
      <c r="AB787" s="1918"/>
      <c r="AC787" s="1918"/>
      <c r="AD787" s="1918"/>
      <c r="AE787" s="1918"/>
    </row>
    <row r="788" spans="1:31" ht="15.75" customHeight="1">
      <c r="A788" s="1918"/>
      <c r="B788" s="1918"/>
      <c r="C788" s="1918"/>
      <c r="D788" s="1918"/>
      <c r="E788" s="1918"/>
      <c r="F788" s="1918"/>
      <c r="G788" s="1918"/>
      <c r="H788" s="1918"/>
      <c r="I788" s="1918"/>
      <c r="J788" s="1918"/>
      <c r="K788" s="1918"/>
      <c r="L788" s="1918"/>
      <c r="M788" s="1918"/>
      <c r="N788" s="1918"/>
      <c r="O788" s="1918"/>
      <c r="P788" s="1918"/>
      <c r="Q788" s="1918"/>
      <c r="R788" s="1918"/>
      <c r="S788" s="1918"/>
      <c r="T788" s="1918"/>
      <c r="U788" s="1918"/>
      <c r="V788" s="1918"/>
      <c r="W788" s="1918"/>
      <c r="X788" s="1918"/>
      <c r="Y788" s="1918"/>
      <c r="Z788" s="1918"/>
      <c r="AA788" s="1918"/>
      <c r="AB788" s="1918"/>
      <c r="AC788" s="1918"/>
      <c r="AD788" s="1918"/>
      <c r="AE788" s="1918"/>
    </row>
    <row r="789" spans="1:31" ht="15.75" customHeight="1">
      <c r="A789" s="1918"/>
      <c r="B789" s="1918"/>
      <c r="C789" s="1918"/>
      <c r="D789" s="1918"/>
      <c r="E789" s="1918"/>
      <c r="F789" s="1918"/>
      <c r="G789" s="1918"/>
      <c r="H789" s="1918"/>
      <c r="I789" s="1918"/>
      <c r="J789" s="1918"/>
      <c r="K789" s="1918"/>
      <c r="L789" s="1918"/>
      <c r="M789" s="1918"/>
      <c r="N789" s="1918"/>
      <c r="O789" s="1918"/>
      <c r="P789" s="1918"/>
      <c r="Q789" s="1918"/>
      <c r="R789" s="1918"/>
      <c r="S789" s="1918"/>
      <c r="T789" s="1918"/>
      <c r="U789" s="1918"/>
      <c r="V789" s="1918"/>
      <c r="W789" s="1918"/>
      <c r="X789" s="1918"/>
      <c r="Y789" s="1918"/>
      <c r="Z789" s="1918"/>
      <c r="AA789" s="1918"/>
      <c r="AB789" s="1918"/>
      <c r="AC789" s="1918"/>
      <c r="AD789" s="1918"/>
      <c r="AE789" s="1918"/>
    </row>
    <row r="790" spans="1:31" ht="15.75" customHeight="1">
      <c r="A790" s="1918"/>
      <c r="B790" s="1918"/>
      <c r="C790" s="1918"/>
      <c r="D790" s="1918"/>
      <c r="E790" s="1918"/>
      <c r="F790" s="1918"/>
      <c r="G790" s="1918"/>
      <c r="H790" s="1918"/>
      <c r="I790" s="1918"/>
      <c r="J790" s="1918"/>
      <c r="K790" s="1918"/>
      <c r="L790" s="1918"/>
      <c r="M790" s="1918"/>
      <c r="N790" s="1918"/>
      <c r="O790" s="1918"/>
      <c r="P790" s="1918"/>
      <c r="Q790" s="1918"/>
      <c r="R790" s="1918"/>
      <c r="S790" s="1918"/>
      <c r="T790" s="1918"/>
      <c r="U790" s="1918"/>
      <c r="V790" s="1918"/>
      <c r="W790" s="1918"/>
      <c r="X790" s="1918"/>
      <c r="Y790" s="1918"/>
      <c r="Z790" s="1918"/>
      <c r="AA790" s="1918"/>
      <c r="AB790" s="1918"/>
      <c r="AC790" s="1918"/>
      <c r="AD790" s="1918"/>
      <c r="AE790" s="1918"/>
    </row>
    <row r="791" spans="1:31" ht="15.75" customHeight="1">
      <c r="A791" s="1918"/>
      <c r="B791" s="1918"/>
      <c r="C791" s="1918"/>
      <c r="D791" s="1918"/>
      <c r="E791" s="1918"/>
      <c r="F791" s="1918"/>
      <c r="G791" s="1918"/>
      <c r="H791" s="1918"/>
      <c r="I791" s="1918"/>
      <c r="J791" s="1918"/>
      <c r="K791" s="1918"/>
      <c r="L791" s="1918"/>
      <c r="M791" s="1918"/>
      <c r="N791" s="1918"/>
      <c r="O791" s="1918"/>
      <c r="P791" s="1918"/>
      <c r="Q791" s="1918"/>
      <c r="R791" s="1918"/>
      <c r="S791" s="1918"/>
      <c r="T791" s="1918"/>
      <c r="U791" s="1918"/>
      <c r="V791" s="1918"/>
      <c r="W791" s="1918"/>
      <c r="X791" s="1918"/>
      <c r="Y791" s="1918"/>
      <c r="Z791" s="1918"/>
      <c r="AA791" s="1918"/>
      <c r="AB791" s="1918"/>
      <c r="AC791" s="1918"/>
      <c r="AD791" s="1918"/>
      <c r="AE791" s="1918"/>
    </row>
    <row r="792" spans="1:31" ht="15.75" customHeight="1">
      <c r="A792" s="1918"/>
      <c r="B792" s="1918"/>
      <c r="C792" s="1918"/>
      <c r="D792" s="1918"/>
      <c r="E792" s="1918"/>
      <c r="F792" s="1918"/>
      <c r="G792" s="1918"/>
      <c r="H792" s="1918"/>
      <c r="I792" s="1918"/>
      <c r="J792" s="1918"/>
      <c r="K792" s="1918"/>
      <c r="L792" s="1918"/>
      <c r="M792" s="1918"/>
      <c r="N792" s="1918"/>
      <c r="O792" s="1918"/>
      <c r="P792" s="1918"/>
      <c r="Q792" s="1918"/>
      <c r="R792" s="1918"/>
      <c r="S792" s="1918"/>
      <c r="T792" s="1918"/>
      <c r="U792" s="1918"/>
      <c r="V792" s="1918"/>
      <c r="W792" s="1918"/>
      <c r="X792" s="1918"/>
      <c r="Y792" s="1918"/>
      <c r="Z792" s="1918"/>
      <c r="AA792" s="1918"/>
      <c r="AB792" s="1918"/>
      <c r="AC792" s="1918"/>
      <c r="AD792" s="1918"/>
      <c r="AE792" s="1918"/>
    </row>
    <row r="793" spans="1:31" ht="15.75" customHeight="1">
      <c r="A793" s="1918"/>
      <c r="B793" s="1918"/>
      <c r="C793" s="1918"/>
      <c r="D793" s="1918"/>
      <c r="E793" s="1918"/>
      <c r="F793" s="1918"/>
      <c r="G793" s="1918"/>
      <c r="H793" s="1918"/>
      <c r="I793" s="1918"/>
      <c r="J793" s="1918"/>
      <c r="K793" s="1918"/>
      <c r="L793" s="1918"/>
      <c r="M793" s="1918"/>
      <c r="N793" s="1918"/>
      <c r="O793" s="1918"/>
      <c r="P793" s="1918"/>
      <c r="Q793" s="1918"/>
      <c r="R793" s="1918"/>
      <c r="S793" s="1918"/>
      <c r="T793" s="1918"/>
      <c r="U793" s="1918"/>
      <c r="V793" s="1918"/>
      <c r="W793" s="1918"/>
      <c r="X793" s="1918"/>
      <c r="Y793" s="1918"/>
      <c r="Z793" s="1918"/>
      <c r="AA793" s="1918"/>
      <c r="AB793" s="1918"/>
      <c r="AC793" s="1918"/>
      <c r="AD793" s="1918"/>
      <c r="AE793" s="1918"/>
    </row>
    <row r="794" spans="1:31" ht="15.75" customHeight="1">
      <c r="A794" s="1918"/>
      <c r="B794" s="1918"/>
      <c r="C794" s="1918"/>
      <c r="D794" s="1918"/>
      <c r="E794" s="1918"/>
      <c r="F794" s="1918"/>
      <c r="G794" s="1918"/>
      <c r="H794" s="1918"/>
      <c r="I794" s="1918"/>
      <c r="J794" s="1918"/>
      <c r="K794" s="1918"/>
      <c r="L794" s="1918"/>
      <c r="M794" s="1918"/>
      <c r="N794" s="1918"/>
      <c r="O794" s="1918"/>
      <c r="P794" s="1918"/>
      <c r="Q794" s="1918"/>
      <c r="R794" s="1918"/>
      <c r="S794" s="1918"/>
      <c r="T794" s="1918"/>
      <c r="U794" s="1918"/>
      <c r="V794" s="1918"/>
      <c r="W794" s="1918"/>
      <c r="X794" s="1918"/>
      <c r="Y794" s="1918"/>
      <c r="Z794" s="1918"/>
      <c r="AA794" s="1918"/>
      <c r="AB794" s="1918"/>
      <c r="AC794" s="1918"/>
      <c r="AD794" s="1918"/>
      <c r="AE794" s="1918"/>
    </row>
    <row r="795" spans="1:31" ht="15.75" customHeight="1">
      <c r="A795" s="1918"/>
      <c r="B795" s="1918"/>
      <c r="C795" s="1918"/>
      <c r="D795" s="1918"/>
      <c r="E795" s="1918"/>
      <c r="F795" s="1918"/>
      <c r="G795" s="1918"/>
      <c r="H795" s="1918"/>
      <c r="I795" s="1918"/>
      <c r="J795" s="1918"/>
      <c r="K795" s="1918"/>
      <c r="L795" s="1918"/>
      <c r="M795" s="1918"/>
      <c r="N795" s="1918"/>
      <c r="O795" s="1918"/>
      <c r="P795" s="1918"/>
      <c r="Q795" s="1918"/>
      <c r="R795" s="1918"/>
      <c r="S795" s="1918"/>
      <c r="T795" s="1918"/>
      <c r="U795" s="1918"/>
      <c r="V795" s="1918"/>
      <c r="W795" s="1918"/>
      <c r="X795" s="1918"/>
      <c r="Y795" s="1918"/>
      <c r="Z795" s="1918"/>
      <c r="AA795" s="1918"/>
      <c r="AB795" s="1918"/>
      <c r="AC795" s="1918"/>
      <c r="AD795" s="1918"/>
      <c r="AE795" s="1918"/>
    </row>
    <row r="796" spans="1:31" ht="15.75" customHeight="1">
      <c r="A796" s="1918"/>
      <c r="B796" s="1918"/>
      <c r="C796" s="1918"/>
      <c r="D796" s="1918"/>
      <c r="E796" s="1918"/>
      <c r="F796" s="1918"/>
      <c r="G796" s="1918"/>
      <c r="H796" s="1918"/>
      <c r="I796" s="1918"/>
      <c r="J796" s="1918"/>
      <c r="K796" s="1918"/>
      <c r="L796" s="1918"/>
      <c r="M796" s="1918"/>
      <c r="N796" s="1918"/>
      <c r="O796" s="1918"/>
      <c r="P796" s="1918"/>
      <c r="Q796" s="1918"/>
      <c r="R796" s="1918"/>
      <c r="S796" s="1918"/>
      <c r="T796" s="1918"/>
      <c r="U796" s="1918"/>
      <c r="V796" s="1918"/>
      <c r="W796" s="1918"/>
      <c r="X796" s="1918"/>
      <c r="Y796" s="1918"/>
      <c r="Z796" s="1918"/>
      <c r="AA796" s="1918"/>
      <c r="AB796" s="1918"/>
      <c r="AC796" s="1918"/>
      <c r="AD796" s="1918"/>
      <c r="AE796" s="1918"/>
    </row>
    <row r="797" spans="1:31" ht="15.75" customHeight="1">
      <c r="A797" s="1918"/>
      <c r="B797" s="1918"/>
      <c r="C797" s="1918"/>
      <c r="D797" s="1918"/>
      <c r="E797" s="1918"/>
      <c r="F797" s="1918"/>
      <c r="G797" s="1918"/>
      <c r="H797" s="1918"/>
      <c r="I797" s="1918"/>
      <c r="J797" s="1918"/>
      <c r="K797" s="1918"/>
      <c r="L797" s="1918"/>
      <c r="M797" s="1918"/>
      <c r="N797" s="1918"/>
      <c r="O797" s="1918"/>
      <c r="P797" s="1918"/>
      <c r="Q797" s="1918"/>
      <c r="R797" s="1918"/>
      <c r="S797" s="1918"/>
      <c r="T797" s="1918"/>
      <c r="U797" s="1918"/>
      <c r="V797" s="1918"/>
      <c r="W797" s="1918"/>
      <c r="X797" s="1918"/>
      <c r="Y797" s="1918"/>
      <c r="Z797" s="1918"/>
      <c r="AA797" s="1918"/>
      <c r="AB797" s="1918"/>
      <c r="AC797" s="1918"/>
      <c r="AD797" s="1918"/>
      <c r="AE797" s="1918"/>
    </row>
    <row r="798" spans="1:31" ht="15.75" customHeight="1">
      <c r="A798" s="1918"/>
      <c r="B798" s="1918"/>
      <c r="C798" s="1918"/>
      <c r="D798" s="1918"/>
      <c r="E798" s="1918"/>
      <c r="F798" s="1918"/>
      <c r="G798" s="1918"/>
      <c r="H798" s="1918"/>
      <c r="I798" s="1918"/>
      <c r="J798" s="1918"/>
      <c r="K798" s="1918"/>
      <c r="L798" s="1918"/>
      <c r="M798" s="1918"/>
      <c r="N798" s="1918"/>
      <c r="O798" s="1918"/>
      <c r="P798" s="1918"/>
      <c r="Q798" s="1918"/>
      <c r="R798" s="1918"/>
      <c r="S798" s="1918"/>
      <c r="T798" s="1918"/>
      <c r="U798" s="1918"/>
      <c r="V798" s="1918"/>
      <c r="W798" s="1918"/>
      <c r="X798" s="1918"/>
      <c r="Y798" s="1918"/>
      <c r="Z798" s="1918"/>
      <c r="AA798" s="1918"/>
      <c r="AB798" s="1918"/>
      <c r="AC798" s="1918"/>
      <c r="AD798" s="1918"/>
      <c r="AE798" s="1918"/>
    </row>
    <row r="799" spans="1:31" ht="15.75" customHeight="1">
      <c r="A799" s="1918"/>
      <c r="B799" s="1918"/>
      <c r="C799" s="1918"/>
      <c r="D799" s="1918"/>
      <c r="E799" s="1918"/>
      <c r="F799" s="1918"/>
      <c r="G799" s="1918"/>
      <c r="H799" s="1918"/>
      <c r="I799" s="1918"/>
      <c r="J799" s="1918"/>
      <c r="K799" s="1918"/>
      <c r="L799" s="1918"/>
      <c r="M799" s="1918"/>
      <c r="N799" s="1918"/>
      <c r="O799" s="1918"/>
      <c r="P799" s="1918"/>
      <c r="Q799" s="1918"/>
      <c r="R799" s="1918"/>
      <c r="S799" s="1918"/>
      <c r="T799" s="1918"/>
      <c r="U799" s="1918"/>
      <c r="V799" s="1918"/>
      <c r="W799" s="1918"/>
      <c r="X799" s="1918"/>
      <c r="Y799" s="1918"/>
      <c r="Z799" s="1918"/>
      <c r="AA799" s="1918"/>
      <c r="AB799" s="1918"/>
      <c r="AC799" s="1918"/>
      <c r="AD799" s="1918"/>
      <c r="AE799" s="1918"/>
    </row>
    <row r="800" spans="1:31" ht="15.75" customHeight="1">
      <c r="A800" s="1918"/>
      <c r="B800" s="1918"/>
      <c r="C800" s="1918"/>
      <c r="D800" s="1918"/>
      <c r="E800" s="1918"/>
      <c r="F800" s="1918"/>
      <c r="G800" s="1918"/>
      <c r="H800" s="1918"/>
      <c r="I800" s="1918"/>
      <c r="J800" s="1918"/>
      <c r="K800" s="1918"/>
      <c r="L800" s="1918"/>
      <c r="M800" s="1918"/>
      <c r="N800" s="1918"/>
      <c r="O800" s="1918"/>
      <c r="P800" s="1918"/>
      <c r="Q800" s="1918"/>
      <c r="R800" s="1918"/>
      <c r="S800" s="1918"/>
      <c r="T800" s="1918"/>
      <c r="U800" s="1918"/>
      <c r="V800" s="1918"/>
      <c r="W800" s="1918"/>
      <c r="X800" s="1918"/>
      <c r="Y800" s="1918"/>
      <c r="Z800" s="1918"/>
      <c r="AA800" s="1918"/>
      <c r="AB800" s="1918"/>
      <c r="AC800" s="1918"/>
      <c r="AD800" s="1918"/>
      <c r="AE800" s="1918"/>
    </row>
    <row r="801" spans="1:31" ht="15.75" customHeight="1">
      <c r="A801" s="1918"/>
      <c r="B801" s="1918"/>
      <c r="C801" s="1918"/>
      <c r="D801" s="1918"/>
      <c r="E801" s="1918"/>
      <c r="F801" s="1918"/>
      <c r="G801" s="1918"/>
      <c r="H801" s="1918"/>
      <c r="I801" s="1918"/>
      <c r="J801" s="1918"/>
      <c r="K801" s="1918"/>
      <c r="L801" s="1918"/>
      <c r="M801" s="1918"/>
      <c r="N801" s="1918"/>
      <c r="O801" s="1918"/>
      <c r="P801" s="1918"/>
      <c r="Q801" s="1918"/>
      <c r="R801" s="1918"/>
      <c r="S801" s="1918"/>
      <c r="T801" s="1918"/>
      <c r="U801" s="1918"/>
      <c r="V801" s="1918"/>
      <c r="W801" s="1918"/>
      <c r="X801" s="1918"/>
      <c r="Y801" s="1918"/>
      <c r="Z801" s="1918"/>
      <c r="AA801" s="1918"/>
      <c r="AB801" s="1918"/>
      <c r="AC801" s="1918"/>
      <c r="AD801" s="1918"/>
      <c r="AE801" s="1918"/>
    </row>
    <row r="802" spans="1:31" ht="15.75" customHeight="1">
      <c r="A802" s="1918"/>
      <c r="B802" s="1918"/>
      <c r="C802" s="1918"/>
      <c r="D802" s="1918"/>
      <c r="E802" s="1918"/>
      <c r="F802" s="1918"/>
      <c r="G802" s="1918"/>
      <c r="H802" s="1918"/>
      <c r="I802" s="1918"/>
      <c r="J802" s="1918"/>
      <c r="K802" s="1918"/>
      <c r="L802" s="1918"/>
      <c r="M802" s="1918"/>
      <c r="N802" s="1918"/>
      <c r="O802" s="1918"/>
      <c r="P802" s="1918"/>
      <c r="Q802" s="1918"/>
      <c r="R802" s="1918"/>
      <c r="S802" s="1918"/>
      <c r="T802" s="1918"/>
      <c r="U802" s="1918"/>
      <c r="V802" s="1918"/>
      <c r="W802" s="1918"/>
      <c r="X802" s="1918"/>
      <c r="Y802" s="1918"/>
      <c r="Z802" s="1918"/>
      <c r="AA802" s="1918"/>
      <c r="AB802" s="1918"/>
      <c r="AC802" s="1918"/>
      <c r="AD802" s="1918"/>
      <c r="AE802" s="1918"/>
    </row>
    <row r="803" spans="1:31" ht="15.75" customHeight="1">
      <c r="A803" s="1918"/>
      <c r="B803" s="1918"/>
      <c r="C803" s="1918"/>
      <c r="D803" s="1918"/>
      <c r="E803" s="1918"/>
      <c r="F803" s="1918"/>
      <c r="G803" s="1918"/>
      <c r="H803" s="1918"/>
      <c r="I803" s="1918"/>
      <c r="J803" s="1918"/>
      <c r="K803" s="1918"/>
      <c r="L803" s="1918"/>
      <c r="M803" s="1918"/>
      <c r="N803" s="1918"/>
      <c r="O803" s="1918"/>
      <c r="P803" s="1918"/>
      <c r="Q803" s="1918"/>
      <c r="R803" s="1918"/>
      <c r="S803" s="1918"/>
      <c r="T803" s="1918"/>
      <c r="U803" s="1918"/>
      <c r="V803" s="1918"/>
      <c r="W803" s="1918"/>
      <c r="X803" s="1918"/>
      <c r="Y803" s="1918"/>
      <c r="Z803" s="1918"/>
      <c r="AA803" s="1918"/>
      <c r="AB803" s="1918"/>
      <c r="AC803" s="1918"/>
      <c r="AD803" s="1918"/>
      <c r="AE803" s="1918"/>
    </row>
    <row r="804" spans="1:31" ht="15.75" customHeight="1">
      <c r="A804" s="1918"/>
      <c r="B804" s="1918"/>
      <c r="C804" s="1918"/>
      <c r="D804" s="1918"/>
      <c r="E804" s="1918"/>
      <c r="F804" s="1918"/>
      <c r="G804" s="1918"/>
      <c r="H804" s="1918"/>
      <c r="I804" s="1918"/>
      <c r="J804" s="1918"/>
      <c r="K804" s="1918"/>
      <c r="L804" s="1918"/>
      <c r="M804" s="1918"/>
      <c r="N804" s="1918"/>
      <c r="O804" s="1918"/>
      <c r="P804" s="1918"/>
      <c r="Q804" s="1918"/>
      <c r="R804" s="1918"/>
      <c r="S804" s="1918"/>
      <c r="T804" s="1918"/>
      <c r="U804" s="1918"/>
      <c r="V804" s="1918"/>
      <c r="W804" s="1918"/>
      <c r="X804" s="1918"/>
      <c r="Y804" s="1918"/>
      <c r="Z804" s="1918"/>
      <c r="AA804" s="1918"/>
      <c r="AB804" s="1918"/>
      <c r="AC804" s="1918"/>
      <c r="AD804" s="1918"/>
      <c r="AE804" s="1918"/>
    </row>
    <row r="805" spans="1:31" ht="15.75" customHeight="1">
      <c r="A805" s="1918"/>
      <c r="B805" s="1918"/>
      <c r="C805" s="1918"/>
      <c r="D805" s="1918"/>
      <c r="E805" s="1918"/>
      <c r="F805" s="1918"/>
      <c r="G805" s="1918"/>
      <c r="H805" s="1918"/>
      <c r="I805" s="1918"/>
      <c r="J805" s="1918"/>
      <c r="K805" s="1918"/>
      <c r="L805" s="1918"/>
      <c r="M805" s="1918"/>
      <c r="N805" s="1918"/>
      <c r="O805" s="1918"/>
      <c r="P805" s="1918"/>
      <c r="Q805" s="1918"/>
      <c r="R805" s="1918"/>
      <c r="S805" s="1918"/>
      <c r="T805" s="1918"/>
      <c r="U805" s="1918"/>
      <c r="V805" s="1918"/>
      <c r="W805" s="1918"/>
      <c r="X805" s="1918"/>
      <c r="Y805" s="1918"/>
      <c r="Z805" s="1918"/>
      <c r="AA805" s="1918"/>
      <c r="AB805" s="1918"/>
      <c r="AC805" s="1918"/>
      <c r="AD805" s="1918"/>
      <c r="AE805" s="1918"/>
    </row>
    <row r="806" spans="1:31" ht="15.75" customHeight="1">
      <c r="A806" s="1918"/>
      <c r="B806" s="1918"/>
      <c r="C806" s="1918"/>
      <c r="D806" s="1918"/>
      <c r="E806" s="1918"/>
      <c r="F806" s="1918"/>
      <c r="G806" s="1918"/>
      <c r="H806" s="1918"/>
      <c r="I806" s="1918"/>
      <c r="J806" s="1918"/>
      <c r="K806" s="1918"/>
      <c r="L806" s="1918"/>
      <c r="M806" s="1918"/>
      <c r="N806" s="1918"/>
      <c r="O806" s="1918"/>
      <c r="P806" s="1918"/>
      <c r="Q806" s="1918"/>
      <c r="R806" s="1918"/>
      <c r="S806" s="1918"/>
      <c r="T806" s="1918"/>
      <c r="U806" s="1918"/>
      <c r="V806" s="1918"/>
      <c r="W806" s="1918"/>
      <c r="X806" s="1918"/>
      <c r="Y806" s="1918"/>
      <c r="Z806" s="1918"/>
      <c r="AA806" s="1918"/>
      <c r="AB806" s="1918"/>
      <c r="AC806" s="1918"/>
      <c r="AD806" s="1918"/>
      <c r="AE806" s="1918"/>
    </row>
    <row r="807" spans="1:31" ht="15.75" customHeight="1">
      <c r="A807" s="1918"/>
      <c r="B807" s="1918"/>
      <c r="C807" s="1918"/>
      <c r="D807" s="1918"/>
      <c r="E807" s="1918"/>
      <c r="F807" s="1918"/>
      <c r="G807" s="1918"/>
      <c r="H807" s="1918"/>
      <c r="I807" s="1918"/>
      <c r="J807" s="1918"/>
      <c r="K807" s="1918"/>
      <c r="L807" s="1918"/>
      <c r="M807" s="1918"/>
      <c r="N807" s="1918"/>
      <c r="O807" s="1918"/>
      <c r="P807" s="1918"/>
      <c r="Q807" s="1918"/>
      <c r="R807" s="1918"/>
      <c r="S807" s="1918"/>
      <c r="T807" s="1918"/>
      <c r="U807" s="1918"/>
      <c r="V807" s="1918"/>
      <c r="W807" s="1918"/>
      <c r="X807" s="1918"/>
      <c r="Y807" s="1918"/>
      <c r="Z807" s="1918"/>
      <c r="AA807" s="1918"/>
      <c r="AB807" s="1918"/>
      <c r="AC807" s="1918"/>
      <c r="AD807" s="1918"/>
      <c r="AE807" s="1918"/>
    </row>
    <row r="808" spans="1:31" ht="15.75" customHeight="1">
      <c r="A808" s="1918"/>
      <c r="B808" s="1918"/>
      <c r="C808" s="1918"/>
      <c r="D808" s="1918"/>
      <c r="E808" s="1918"/>
      <c r="F808" s="1918"/>
      <c r="G808" s="1918"/>
      <c r="H808" s="1918"/>
      <c r="I808" s="1918"/>
      <c r="J808" s="1918"/>
      <c r="K808" s="1918"/>
      <c r="L808" s="1918"/>
      <c r="M808" s="1918"/>
      <c r="N808" s="1918"/>
      <c r="O808" s="1918"/>
      <c r="P808" s="1918"/>
      <c r="Q808" s="1918"/>
      <c r="R808" s="1918"/>
      <c r="S808" s="1918"/>
      <c r="T808" s="1918"/>
      <c r="U808" s="1918"/>
      <c r="V808" s="1918"/>
      <c r="W808" s="1918"/>
      <c r="X808" s="1918"/>
      <c r="Y808" s="1918"/>
      <c r="Z808" s="1918"/>
      <c r="AA808" s="1918"/>
      <c r="AB808" s="1918"/>
      <c r="AC808" s="1918"/>
      <c r="AD808" s="1918"/>
      <c r="AE808" s="1918"/>
    </row>
    <row r="809" spans="1:31" ht="15.75" customHeight="1">
      <c r="A809" s="1918"/>
      <c r="B809" s="1918"/>
      <c r="C809" s="1918"/>
      <c r="D809" s="1918"/>
      <c r="E809" s="1918"/>
      <c r="F809" s="1918"/>
      <c r="G809" s="1918"/>
      <c r="H809" s="1918"/>
      <c r="I809" s="1918"/>
      <c r="J809" s="1918"/>
      <c r="K809" s="1918"/>
      <c r="L809" s="1918"/>
      <c r="M809" s="1918"/>
      <c r="N809" s="1918"/>
      <c r="O809" s="1918"/>
      <c r="P809" s="1918"/>
      <c r="Q809" s="1918"/>
      <c r="R809" s="1918"/>
      <c r="S809" s="1918"/>
      <c r="T809" s="1918"/>
      <c r="U809" s="1918"/>
      <c r="V809" s="1918"/>
      <c r="W809" s="1918"/>
      <c r="X809" s="1918"/>
      <c r="Y809" s="1918"/>
      <c r="Z809" s="1918"/>
      <c r="AA809" s="1918"/>
      <c r="AB809" s="1918"/>
      <c r="AC809" s="1918"/>
      <c r="AD809" s="1918"/>
      <c r="AE809" s="1918"/>
    </row>
    <row r="810" spans="1:31" ht="15.75" customHeight="1">
      <c r="A810" s="1918"/>
      <c r="B810" s="1918"/>
      <c r="C810" s="1918"/>
      <c r="D810" s="1918"/>
      <c r="E810" s="1918"/>
      <c r="F810" s="1918"/>
      <c r="G810" s="1918"/>
      <c r="H810" s="1918"/>
      <c r="I810" s="1918"/>
      <c r="J810" s="1918"/>
      <c r="K810" s="1918"/>
      <c r="L810" s="1918"/>
      <c r="M810" s="1918"/>
      <c r="N810" s="1918"/>
      <c r="O810" s="1918"/>
      <c r="P810" s="1918"/>
      <c r="Q810" s="1918"/>
      <c r="R810" s="1918"/>
      <c r="S810" s="1918"/>
      <c r="T810" s="1918"/>
      <c r="U810" s="1918"/>
      <c r="V810" s="1918"/>
      <c r="W810" s="1918"/>
      <c r="X810" s="1918"/>
      <c r="Y810" s="1918"/>
      <c r="Z810" s="1918"/>
      <c r="AA810" s="1918"/>
      <c r="AB810" s="1918"/>
      <c r="AC810" s="1918"/>
      <c r="AD810" s="1918"/>
      <c r="AE810" s="1918"/>
    </row>
    <row r="811" spans="1:31" ht="15.75" customHeight="1">
      <c r="A811" s="1918"/>
      <c r="B811" s="1918"/>
      <c r="C811" s="1918"/>
      <c r="D811" s="1918"/>
      <c r="E811" s="1918"/>
      <c r="F811" s="1918"/>
      <c r="G811" s="1918"/>
      <c r="H811" s="1918"/>
      <c r="I811" s="1918"/>
      <c r="J811" s="1918"/>
      <c r="K811" s="1918"/>
      <c r="L811" s="1918"/>
      <c r="M811" s="1918"/>
      <c r="N811" s="1918"/>
      <c r="O811" s="1918"/>
      <c r="P811" s="1918"/>
      <c r="Q811" s="1918"/>
      <c r="R811" s="1918"/>
      <c r="S811" s="1918"/>
      <c r="T811" s="1918"/>
      <c r="U811" s="1918"/>
      <c r="V811" s="1918"/>
      <c r="W811" s="1918"/>
      <c r="X811" s="1918"/>
      <c r="Y811" s="1918"/>
      <c r="Z811" s="1918"/>
      <c r="AA811" s="1918"/>
      <c r="AB811" s="1918"/>
      <c r="AC811" s="1918"/>
      <c r="AD811" s="1918"/>
      <c r="AE811" s="1918"/>
    </row>
    <row r="812" spans="1:31" ht="15.75" customHeight="1">
      <c r="A812" s="1918"/>
      <c r="B812" s="1918"/>
      <c r="C812" s="1918"/>
      <c r="D812" s="1918"/>
      <c r="E812" s="1918"/>
      <c r="F812" s="1918"/>
      <c r="G812" s="1918"/>
      <c r="H812" s="1918"/>
      <c r="I812" s="1918"/>
      <c r="J812" s="1918"/>
      <c r="K812" s="1918"/>
      <c r="L812" s="1918"/>
      <c r="M812" s="1918"/>
      <c r="N812" s="1918"/>
      <c r="O812" s="1918"/>
      <c r="P812" s="1918"/>
      <c r="Q812" s="1918"/>
      <c r="R812" s="1918"/>
      <c r="S812" s="1918"/>
      <c r="T812" s="1918"/>
      <c r="U812" s="1918"/>
      <c r="V812" s="1918"/>
      <c r="W812" s="1918"/>
      <c r="X812" s="1918"/>
      <c r="Y812" s="1918"/>
      <c r="Z812" s="1918"/>
      <c r="AA812" s="1918"/>
      <c r="AB812" s="1918"/>
      <c r="AC812" s="1918"/>
      <c r="AD812" s="1918"/>
      <c r="AE812" s="1918"/>
    </row>
    <row r="813" spans="1:31" ht="15.75" customHeight="1">
      <c r="A813" s="1918"/>
      <c r="B813" s="1918"/>
      <c r="C813" s="1918"/>
      <c r="D813" s="1918"/>
      <c r="E813" s="1918"/>
      <c r="F813" s="1918"/>
      <c r="G813" s="1918"/>
      <c r="H813" s="1918"/>
      <c r="I813" s="1918"/>
      <c r="J813" s="1918"/>
      <c r="K813" s="1918"/>
      <c r="L813" s="1918"/>
      <c r="M813" s="1918"/>
      <c r="N813" s="1918"/>
      <c r="O813" s="1918"/>
      <c r="P813" s="1918"/>
      <c r="Q813" s="1918"/>
      <c r="R813" s="1918"/>
      <c r="S813" s="1918"/>
      <c r="T813" s="1918"/>
      <c r="U813" s="1918"/>
      <c r="V813" s="1918"/>
      <c r="W813" s="1918"/>
      <c r="X813" s="1918"/>
      <c r="Y813" s="1918"/>
      <c r="Z813" s="1918"/>
      <c r="AA813" s="1918"/>
      <c r="AB813" s="1918"/>
      <c r="AC813" s="1918"/>
      <c r="AD813" s="1918"/>
      <c r="AE813" s="1918"/>
    </row>
    <row r="814" spans="1:31" ht="15.75" customHeight="1">
      <c r="A814" s="1918"/>
      <c r="B814" s="1918"/>
      <c r="C814" s="1918"/>
      <c r="D814" s="1918"/>
      <c r="E814" s="1918"/>
      <c r="F814" s="1918"/>
      <c r="G814" s="1918"/>
      <c r="H814" s="1918"/>
      <c r="I814" s="1918"/>
      <c r="J814" s="1918"/>
      <c r="K814" s="1918"/>
      <c r="L814" s="1918"/>
      <c r="M814" s="1918"/>
      <c r="N814" s="1918"/>
      <c r="O814" s="1918"/>
      <c r="P814" s="1918"/>
      <c r="Q814" s="1918"/>
      <c r="R814" s="1918"/>
      <c r="S814" s="1918"/>
      <c r="T814" s="1918"/>
      <c r="U814" s="1918"/>
      <c r="V814" s="1918"/>
      <c r="W814" s="1918"/>
      <c r="X814" s="1918"/>
      <c r="Y814" s="1918"/>
      <c r="Z814" s="1918"/>
      <c r="AA814" s="1918"/>
      <c r="AB814" s="1918"/>
      <c r="AC814" s="1918"/>
      <c r="AD814" s="1918"/>
      <c r="AE814" s="1918"/>
    </row>
    <row r="815" spans="1:31" ht="15.75" customHeight="1">
      <c r="A815" s="1918"/>
      <c r="B815" s="1918"/>
      <c r="C815" s="1918"/>
      <c r="D815" s="1918"/>
      <c r="E815" s="1918"/>
      <c r="F815" s="1918"/>
      <c r="G815" s="1918"/>
      <c r="H815" s="1918"/>
      <c r="I815" s="1918"/>
      <c r="J815" s="1918"/>
      <c r="K815" s="1918"/>
      <c r="L815" s="1918"/>
      <c r="M815" s="1918"/>
      <c r="N815" s="1918"/>
      <c r="O815" s="1918"/>
      <c r="P815" s="1918"/>
      <c r="Q815" s="1918"/>
      <c r="R815" s="1918"/>
      <c r="S815" s="1918"/>
      <c r="T815" s="1918"/>
      <c r="U815" s="1918"/>
      <c r="V815" s="1918"/>
      <c r="W815" s="1918"/>
      <c r="X815" s="1918"/>
      <c r="Y815" s="1918"/>
      <c r="Z815" s="1918"/>
      <c r="AA815" s="1918"/>
      <c r="AB815" s="1918"/>
      <c r="AC815" s="1918"/>
      <c r="AD815" s="1918"/>
      <c r="AE815" s="1918"/>
    </row>
    <row r="816" spans="1:31" ht="15.75" customHeight="1">
      <c r="A816" s="1918"/>
      <c r="B816" s="1918"/>
      <c r="C816" s="1918"/>
      <c r="D816" s="1918"/>
      <c r="E816" s="1918"/>
      <c r="F816" s="1918"/>
      <c r="G816" s="1918"/>
      <c r="H816" s="1918"/>
      <c r="I816" s="1918"/>
      <c r="J816" s="1918"/>
      <c r="K816" s="1918"/>
      <c r="L816" s="1918"/>
      <c r="M816" s="1918"/>
      <c r="N816" s="1918"/>
      <c r="O816" s="1918"/>
      <c r="P816" s="1918"/>
      <c r="Q816" s="1918"/>
      <c r="R816" s="1918"/>
      <c r="S816" s="1918"/>
      <c r="T816" s="1918"/>
      <c r="U816" s="1918"/>
      <c r="V816" s="1918"/>
      <c r="W816" s="1918"/>
      <c r="X816" s="1918"/>
      <c r="Y816" s="1918"/>
      <c r="Z816" s="1918"/>
      <c r="AA816" s="1918"/>
      <c r="AB816" s="1918"/>
      <c r="AC816" s="1918"/>
      <c r="AD816" s="1918"/>
      <c r="AE816" s="1918"/>
    </row>
    <row r="817" spans="1:31" ht="15.75" customHeight="1">
      <c r="A817" s="1918"/>
      <c r="B817" s="1918"/>
      <c r="C817" s="1918"/>
      <c r="D817" s="1918"/>
      <c r="E817" s="1918"/>
      <c r="F817" s="1918"/>
      <c r="G817" s="1918"/>
      <c r="H817" s="1918"/>
      <c r="I817" s="1918"/>
      <c r="J817" s="1918"/>
      <c r="K817" s="1918"/>
      <c r="L817" s="1918"/>
      <c r="M817" s="1918"/>
      <c r="N817" s="1918"/>
      <c r="O817" s="1918"/>
      <c r="P817" s="1918"/>
      <c r="Q817" s="1918"/>
      <c r="R817" s="1918"/>
      <c r="S817" s="1918"/>
      <c r="T817" s="1918"/>
      <c r="U817" s="1918"/>
      <c r="V817" s="1918"/>
      <c r="W817" s="1918"/>
      <c r="X817" s="1918"/>
      <c r="Y817" s="1918"/>
      <c r="Z817" s="1918"/>
      <c r="AA817" s="1918"/>
      <c r="AB817" s="1918"/>
      <c r="AC817" s="1918"/>
      <c r="AD817" s="1918"/>
      <c r="AE817" s="1918"/>
    </row>
    <row r="818" spans="1:31" ht="15.75" customHeight="1">
      <c r="A818" s="1918"/>
      <c r="B818" s="1918"/>
      <c r="C818" s="1918"/>
      <c r="D818" s="1918"/>
      <c r="E818" s="1918"/>
      <c r="F818" s="1918"/>
      <c r="G818" s="1918"/>
      <c r="H818" s="1918"/>
      <c r="I818" s="1918"/>
      <c r="J818" s="1918"/>
      <c r="K818" s="1918"/>
      <c r="L818" s="1918"/>
      <c r="M818" s="1918"/>
      <c r="N818" s="1918"/>
      <c r="O818" s="1918"/>
      <c r="P818" s="1918"/>
      <c r="Q818" s="1918"/>
      <c r="R818" s="1918"/>
      <c r="S818" s="1918"/>
      <c r="T818" s="1918"/>
      <c r="U818" s="1918"/>
      <c r="V818" s="1918"/>
      <c r="W818" s="1918"/>
      <c r="X818" s="1918"/>
      <c r="Y818" s="1918"/>
      <c r="Z818" s="1918"/>
      <c r="AA818" s="1918"/>
      <c r="AB818" s="1918"/>
      <c r="AC818" s="1918"/>
      <c r="AD818" s="1918"/>
      <c r="AE818" s="1918"/>
    </row>
    <row r="819" spans="1:31" ht="15.75" customHeight="1">
      <c r="A819" s="1918"/>
      <c r="B819" s="1918"/>
      <c r="C819" s="1918"/>
      <c r="D819" s="1918"/>
      <c r="E819" s="1918"/>
      <c r="F819" s="1918"/>
      <c r="G819" s="1918"/>
      <c r="H819" s="1918"/>
      <c r="I819" s="1918"/>
      <c r="J819" s="1918"/>
      <c r="K819" s="1918"/>
      <c r="L819" s="1918"/>
      <c r="M819" s="1918"/>
      <c r="N819" s="1918"/>
      <c r="O819" s="1918"/>
      <c r="P819" s="1918"/>
      <c r="Q819" s="1918"/>
      <c r="R819" s="1918"/>
      <c r="S819" s="1918"/>
      <c r="T819" s="1918"/>
      <c r="U819" s="1918"/>
      <c r="V819" s="1918"/>
      <c r="W819" s="1918"/>
      <c r="X819" s="1918"/>
      <c r="Y819" s="1918"/>
      <c r="Z819" s="1918"/>
      <c r="AA819" s="1918"/>
      <c r="AB819" s="1918"/>
      <c r="AC819" s="1918"/>
      <c r="AD819" s="1918"/>
      <c r="AE819" s="1918"/>
    </row>
    <row r="820" spans="1:31" ht="15.75" customHeight="1">
      <c r="A820" s="1918"/>
      <c r="B820" s="1918"/>
      <c r="C820" s="1918"/>
      <c r="D820" s="1918"/>
      <c r="E820" s="1918"/>
      <c r="F820" s="1918"/>
      <c r="G820" s="1918"/>
      <c r="H820" s="1918"/>
      <c r="I820" s="1918"/>
      <c r="J820" s="1918"/>
      <c r="K820" s="1918"/>
      <c r="L820" s="1918"/>
      <c r="M820" s="1918"/>
      <c r="N820" s="1918"/>
      <c r="O820" s="1918"/>
      <c r="P820" s="1918"/>
      <c r="Q820" s="1918"/>
      <c r="R820" s="1918"/>
      <c r="S820" s="1918"/>
      <c r="T820" s="1918"/>
      <c r="U820" s="1918"/>
      <c r="V820" s="1918"/>
      <c r="W820" s="1918"/>
      <c r="X820" s="1918"/>
      <c r="Y820" s="1918"/>
      <c r="Z820" s="1918"/>
      <c r="AA820" s="1918"/>
      <c r="AB820" s="1918"/>
      <c r="AC820" s="1918"/>
      <c r="AD820" s="1918"/>
      <c r="AE820" s="1918"/>
    </row>
    <row r="821" spans="1:31" ht="15.75" customHeight="1">
      <c r="A821" s="1918"/>
      <c r="B821" s="1918"/>
      <c r="C821" s="1918"/>
      <c r="D821" s="1918"/>
      <c r="E821" s="1918"/>
      <c r="F821" s="1918"/>
      <c r="G821" s="1918"/>
      <c r="H821" s="1918"/>
      <c r="I821" s="1918"/>
      <c r="J821" s="1918"/>
      <c r="K821" s="1918"/>
      <c r="L821" s="1918"/>
      <c r="M821" s="1918"/>
      <c r="N821" s="1918"/>
      <c r="O821" s="1918"/>
      <c r="P821" s="1918"/>
      <c r="Q821" s="1918"/>
      <c r="R821" s="1918"/>
      <c r="S821" s="1918"/>
      <c r="T821" s="1918"/>
      <c r="U821" s="1918"/>
      <c r="V821" s="1918"/>
      <c r="W821" s="1918"/>
      <c r="X821" s="1918"/>
      <c r="Y821" s="1918"/>
      <c r="Z821" s="1918"/>
      <c r="AA821" s="1918"/>
      <c r="AB821" s="1918"/>
      <c r="AC821" s="1918"/>
      <c r="AD821" s="1918"/>
      <c r="AE821" s="1918"/>
    </row>
    <row r="822" spans="1:31" ht="15.75" customHeight="1">
      <c r="A822" s="1918"/>
      <c r="B822" s="1918"/>
      <c r="C822" s="1918"/>
      <c r="D822" s="1918"/>
      <c r="E822" s="1918"/>
      <c r="F822" s="1918"/>
      <c r="G822" s="1918"/>
      <c r="H822" s="1918"/>
      <c r="I822" s="1918"/>
      <c r="J822" s="1918"/>
      <c r="K822" s="1918"/>
      <c r="L822" s="1918"/>
      <c r="M822" s="1918"/>
      <c r="N822" s="1918"/>
      <c r="O822" s="1918"/>
      <c r="P822" s="1918"/>
      <c r="Q822" s="1918"/>
      <c r="R822" s="1918"/>
      <c r="S822" s="1918"/>
      <c r="T822" s="1918"/>
      <c r="U822" s="1918"/>
      <c r="V822" s="1918"/>
      <c r="W822" s="1918"/>
      <c r="X822" s="1918"/>
      <c r="Y822" s="1918"/>
      <c r="Z822" s="1918"/>
      <c r="AA822" s="1918"/>
      <c r="AB822" s="1918"/>
      <c r="AC822" s="1918"/>
      <c r="AD822" s="1918"/>
      <c r="AE822" s="1918"/>
    </row>
    <row r="823" spans="1:31" ht="15.75" customHeight="1">
      <c r="A823" s="1918"/>
      <c r="B823" s="1918"/>
      <c r="C823" s="1918"/>
      <c r="D823" s="1918"/>
      <c r="E823" s="1918"/>
      <c r="F823" s="1918"/>
      <c r="G823" s="1918"/>
      <c r="H823" s="1918"/>
      <c r="I823" s="1918"/>
      <c r="J823" s="1918"/>
      <c r="K823" s="1918"/>
      <c r="L823" s="1918"/>
      <c r="M823" s="1918"/>
      <c r="N823" s="1918"/>
      <c r="O823" s="1918"/>
      <c r="P823" s="1918"/>
      <c r="Q823" s="1918"/>
      <c r="R823" s="1918"/>
      <c r="S823" s="1918"/>
      <c r="T823" s="1918"/>
      <c r="U823" s="1918"/>
      <c r="V823" s="1918"/>
      <c r="W823" s="1918"/>
      <c r="X823" s="1918"/>
      <c r="Y823" s="1918"/>
      <c r="Z823" s="1918"/>
      <c r="AA823" s="1918"/>
      <c r="AB823" s="1918"/>
      <c r="AC823" s="1918"/>
      <c r="AD823" s="1918"/>
      <c r="AE823" s="1918"/>
    </row>
    <row r="824" spans="1:31" ht="15.75" customHeight="1">
      <c r="A824" s="1918"/>
      <c r="B824" s="1918"/>
      <c r="C824" s="1918"/>
      <c r="D824" s="1918"/>
      <c r="E824" s="1918"/>
      <c r="F824" s="1918"/>
      <c r="G824" s="1918"/>
      <c r="H824" s="1918"/>
      <c r="I824" s="1918"/>
      <c r="J824" s="1918"/>
      <c r="K824" s="1918"/>
      <c r="L824" s="1918"/>
      <c r="M824" s="1918"/>
      <c r="N824" s="1918"/>
      <c r="O824" s="1918"/>
      <c r="P824" s="1918"/>
      <c r="Q824" s="1918"/>
      <c r="R824" s="1918"/>
      <c r="S824" s="1918"/>
      <c r="T824" s="1918"/>
      <c r="U824" s="1918"/>
      <c r="V824" s="1918"/>
      <c r="W824" s="1918"/>
      <c r="X824" s="1918"/>
      <c r="Y824" s="1918"/>
      <c r="Z824" s="1918"/>
      <c r="AA824" s="1918"/>
      <c r="AB824" s="1918"/>
      <c r="AC824" s="1918"/>
      <c r="AD824" s="1918"/>
      <c r="AE824" s="1918"/>
    </row>
    <row r="825" spans="1:31" ht="15.75" customHeight="1">
      <c r="A825" s="1918"/>
      <c r="B825" s="1918"/>
      <c r="C825" s="1918"/>
      <c r="D825" s="1918"/>
      <c r="E825" s="1918"/>
      <c r="F825" s="1918"/>
      <c r="G825" s="1918"/>
      <c r="H825" s="1918"/>
      <c r="I825" s="1918"/>
      <c r="J825" s="1918"/>
      <c r="K825" s="1918"/>
      <c r="L825" s="1918"/>
      <c r="M825" s="1918"/>
      <c r="N825" s="1918"/>
      <c r="O825" s="1918"/>
      <c r="P825" s="1918"/>
      <c r="Q825" s="1918"/>
      <c r="R825" s="1918"/>
      <c r="S825" s="1918"/>
      <c r="T825" s="1918"/>
      <c r="U825" s="1918"/>
      <c r="V825" s="1918"/>
      <c r="W825" s="1918"/>
      <c r="X825" s="1918"/>
      <c r="Y825" s="1918"/>
      <c r="Z825" s="1918"/>
      <c r="AA825" s="1918"/>
      <c r="AB825" s="1918"/>
      <c r="AC825" s="1918"/>
      <c r="AD825" s="1918"/>
      <c r="AE825" s="1918"/>
    </row>
    <row r="826" spans="1:31" ht="15.75" customHeight="1">
      <c r="A826" s="1918"/>
      <c r="B826" s="1918"/>
      <c r="C826" s="1918"/>
      <c r="D826" s="1918"/>
      <c r="E826" s="1918"/>
      <c r="F826" s="1918"/>
      <c r="G826" s="1918"/>
      <c r="H826" s="1918"/>
      <c r="I826" s="1918"/>
      <c r="J826" s="1918"/>
      <c r="K826" s="1918"/>
      <c r="L826" s="1918"/>
      <c r="M826" s="1918"/>
      <c r="N826" s="1918"/>
      <c r="O826" s="1918"/>
      <c r="P826" s="1918"/>
      <c r="Q826" s="1918"/>
      <c r="R826" s="1918"/>
      <c r="S826" s="1918"/>
      <c r="T826" s="1918"/>
      <c r="U826" s="1918"/>
      <c r="V826" s="1918"/>
      <c r="W826" s="1918"/>
      <c r="X826" s="1918"/>
      <c r="Y826" s="1918"/>
      <c r="Z826" s="1918"/>
      <c r="AA826" s="1918"/>
      <c r="AB826" s="1918"/>
      <c r="AC826" s="1918"/>
      <c r="AD826" s="1918"/>
      <c r="AE826" s="1918"/>
    </row>
    <row r="827" spans="1:31" ht="15.75" customHeight="1">
      <c r="A827" s="1918"/>
      <c r="B827" s="1918"/>
      <c r="C827" s="1918"/>
      <c r="D827" s="1918"/>
      <c r="E827" s="1918"/>
      <c r="F827" s="1918"/>
      <c r="G827" s="1918"/>
      <c r="H827" s="1918"/>
      <c r="I827" s="1918"/>
      <c r="J827" s="1918"/>
      <c r="K827" s="1918"/>
      <c r="L827" s="1918"/>
      <c r="M827" s="1918"/>
      <c r="N827" s="1918"/>
      <c r="O827" s="1918"/>
      <c r="P827" s="1918"/>
      <c r="Q827" s="1918"/>
      <c r="R827" s="1918"/>
      <c r="S827" s="1918"/>
      <c r="T827" s="1918"/>
      <c r="U827" s="1918"/>
      <c r="V827" s="1918"/>
      <c r="W827" s="1918"/>
      <c r="X827" s="1918"/>
      <c r="Y827" s="1918"/>
      <c r="Z827" s="1918"/>
      <c r="AA827" s="1918"/>
      <c r="AB827" s="1918"/>
      <c r="AC827" s="1918"/>
      <c r="AD827" s="1918"/>
      <c r="AE827" s="1918"/>
    </row>
    <row r="828" spans="1:31" ht="15.75" customHeight="1">
      <c r="A828" s="1918"/>
      <c r="B828" s="1918"/>
      <c r="C828" s="1918"/>
      <c r="D828" s="1918"/>
      <c r="E828" s="1918"/>
      <c r="F828" s="1918"/>
      <c r="G828" s="1918"/>
      <c r="H828" s="1918"/>
      <c r="I828" s="1918"/>
      <c r="J828" s="1918"/>
      <c r="K828" s="1918"/>
      <c r="L828" s="1918"/>
      <c r="M828" s="1918"/>
      <c r="N828" s="1918"/>
      <c r="O828" s="1918"/>
      <c r="P828" s="1918"/>
      <c r="Q828" s="1918"/>
      <c r="R828" s="1918"/>
      <c r="S828" s="1918"/>
      <c r="T828" s="1918"/>
      <c r="U828" s="1918"/>
      <c r="V828" s="1918"/>
      <c r="W828" s="1918"/>
      <c r="X828" s="1918"/>
      <c r="Y828" s="1918"/>
      <c r="Z828" s="1918"/>
      <c r="AA828" s="1918"/>
      <c r="AB828" s="1918"/>
      <c r="AC828" s="1918"/>
      <c r="AD828" s="1918"/>
      <c r="AE828" s="1918"/>
    </row>
    <row r="829" spans="1:31" ht="15.75" customHeight="1">
      <c r="A829" s="1918"/>
      <c r="B829" s="1918"/>
      <c r="C829" s="1918"/>
      <c r="D829" s="1918"/>
      <c r="E829" s="1918"/>
      <c r="F829" s="1918"/>
      <c r="G829" s="1918"/>
      <c r="H829" s="1918"/>
      <c r="I829" s="1918"/>
      <c r="J829" s="1918"/>
      <c r="K829" s="1918"/>
      <c r="L829" s="1918"/>
      <c r="M829" s="1918"/>
      <c r="N829" s="1918"/>
      <c r="O829" s="1918"/>
      <c r="P829" s="1918"/>
      <c r="Q829" s="1918"/>
      <c r="R829" s="1918"/>
      <c r="S829" s="1918"/>
      <c r="T829" s="1918"/>
      <c r="U829" s="1918"/>
      <c r="V829" s="1918"/>
      <c r="W829" s="1918"/>
      <c r="X829" s="1918"/>
      <c r="Y829" s="1918"/>
      <c r="Z829" s="1918"/>
      <c r="AA829" s="1918"/>
      <c r="AB829" s="1918"/>
      <c r="AC829" s="1918"/>
      <c r="AD829" s="1918"/>
      <c r="AE829" s="1918"/>
    </row>
    <row r="830" spans="1:31" ht="15.75" customHeight="1">
      <c r="A830" s="1918"/>
      <c r="B830" s="1918"/>
      <c r="C830" s="1918"/>
      <c r="D830" s="1918"/>
      <c r="E830" s="1918"/>
      <c r="F830" s="1918"/>
      <c r="G830" s="1918"/>
      <c r="H830" s="1918"/>
      <c r="I830" s="1918"/>
      <c r="J830" s="1918"/>
      <c r="K830" s="1918"/>
      <c r="L830" s="1918"/>
      <c r="M830" s="1918"/>
      <c r="N830" s="1918"/>
      <c r="O830" s="1918"/>
      <c r="P830" s="1918"/>
      <c r="Q830" s="1918"/>
      <c r="R830" s="1918"/>
      <c r="S830" s="1918"/>
      <c r="T830" s="1918"/>
      <c r="U830" s="1918"/>
      <c r="V830" s="1918"/>
      <c r="W830" s="1918"/>
      <c r="X830" s="1918"/>
      <c r="Y830" s="1918"/>
      <c r="Z830" s="1918"/>
      <c r="AA830" s="1918"/>
      <c r="AB830" s="1918"/>
      <c r="AC830" s="1918"/>
      <c r="AD830" s="1918"/>
      <c r="AE830" s="1918"/>
    </row>
    <row r="831" spans="1:31" ht="15.75" customHeight="1">
      <c r="A831" s="1918"/>
      <c r="B831" s="1918"/>
      <c r="C831" s="1918"/>
      <c r="D831" s="1918"/>
      <c r="E831" s="1918"/>
      <c r="F831" s="1918"/>
      <c r="G831" s="1918"/>
      <c r="H831" s="1918"/>
      <c r="I831" s="1918"/>
      <c r="J831" s="1918"/>
      <c r="K831" s="1918"/>
      <c r="L831" s="1918"/>
      <c r="M831" s="1918"/>
      <c r="N831" s="1918"/>
      <c r="O831" s="1918"/>
      <c r="P831" s="1918"/>
      <c r="Q831" s="1918"/>
      <c r="R831" s="1918"/>
      <c r="S831" s="1918"/>
      <c r="T831" s="1918"/>
      <c r="U831" s="1918"/>
      <c r="V831" s="1918"/>
      <c r="W831" s="1918"/>
      <c r="X831" s="1918"/>
      <c r="Y831" s="1918"/>
      <c r="Z831" s="1918"/>
      <c r="AA831" s="1918"/>
      <c r="AB831" s="1918"/>
      <c r="AC831" s="1918"/>
      <c r="AD831" s="1918"/>
      <c r="AE831" s="1918"/>
    </row>
    <row r="832" spans="1:31" ht="15.75" customHeight="1">
      <c r="A832" s="1918"/>
      <c r="B832" s="1918"/>
      <c r="C832" s="1918"/>
      <c r="D832" s="1918"/>
      <c r="E832" s="1918"/>
      <c r="F832" s="1918"/>
      <c r="G832" s="1918"/>
      <c r="H832" s="1918"/>
      <c r="I832" s="1918"/>
      <c r="J832" s="1918"/>
      <c r="K832" s="1918"/>
      <c r="L832" s="1918"/>
      <c r="M832" s="1918"/>
      <c r="N832" s="1918"/>
      <c r="O832" s="1918"/>
      <c r="P832" s="1918"/>
      <c r="Q832" s="1918"/>
      <c r="R832" s="1918"/>
      <c r="S832" s="1918"/>
      <c r="T832" s="1918"/>
      <c r="U832" s="1918"/>
      <c r="V832" s="1918"/>
      <c r="W832" s="1918"/>
      <c r="X832" s="1918"/>
      <c r="Y832" s="1918"/>
      <c r="Z832" s="1918"/>
      <c r="AA832" s="1918"/>
      <c r="AB832" s="1918"/>
      <c r="AC832" s="1918"/>
      <c r="AD832" s="1918"/>
      <c r="AE832" s="1918"/>
    </row>
    <row r="833" spans="1:31" ht="15.75" customHeight="1">
      <c r="A833" s="1918"/>
      <c r="B833" s="1918"/>
      <c r="C833" s="1918"/>
      <c r="D833" s="1918"/>
      <c r="E833" s="1918"/>
      <c r="F833" s="1918"/>
      <c r="G833" s="1918"/>
      <c r="H833" s="1918"/>
      <c r="I833" s="1918"/>
      <c r="J833" s="1918"/>
      <c r="K833" s="1918"/>
      <c r="L833" s="1918"/>
      <c r="M833" s="1918"/>
      <c r="N833" s="1918"/>
      <c r="O833" s="1918"/>
      <c r="P833" s="1918"/>
      <c r="Q833" s="1918"/>
      <c r="R833" s="1918"/>
      <c r="S833" s="1918"/>
      <c r="T833" s="1918"/>
      <c r="U833" s="1918"/>
      <c r="V833" s="1918"/>
      <c r="W833" s="1918"/>
      <c r="X833" s="1918"/>
      <c r="Y833" s="1918"/>
      <c r="Z833" s="1918"/>
      <c r="AA833" s="1918"/>
      <c r="AB833" s="1918"/>
      <c r="AC833" s="1918"/>
      <c r="AD833" s="1918"/>
      <c r="AE833" s="1918"/>
    </row>
    <row r="834" spans="1:31" ht="15.75" customHeight="1">
      <c r="A834" s="1918"/>
      <c r="B834" s="1918"/>
      <c r="C834" s="1918"/>
      <c r="D834" s="1918"/>
      <c r="E834" s="1918"/>
      <c r="F834" s="1918"/>
      <c r="G834" s="1918"/>
      <c r="H834" s="1918"/>
      <c r="I834" s="1918"/>
      <c r="J834" s="1918"/>
      <c r="K834" s="1918"/>
      <c r="L834" s="1918"/>
      <c r="M834" s="1918"/>
      <c r="N834" s="1918"/>
      <c r="O834" s="1918"/>
      <c r="P834" s="1918"/>
      <c r="Q834" s="1918"/>
      <c r="R834" s="1918"/>
      <c r="S834" s="1918"/>
      <c r="T834" s="1918"/>
      <c r="U834" s="1918"/>
      <c r="V834" s="1918"/>
      <c r="W834" s="1918"/>
      <c r="X834" s="1918"/>
      <c r="Y834" s="1918"/>
      <c r="Z834" s="1918"/>
      <c r="AA834" s="1918"/>
      <c r="AB834" s="1918"/>
      <c r="AC834" s="1918"/>
      <c r="AD834" s="1918"/>
      <c r="AE834" s="1918"/>
    </row>
    <row r="835" spans="1:31" ht="15.75" customHeight="1">
      <c r="A835" s="1918"/>
      <c r="B835" s="1918"/>
      <c r="C835" s="1918"/>
      <c r="D835" s="1918"/>
      <c r="E835" s="1918"/>
      <c r="F835" s="1918"/>
      <c r="G835" s="1918"/>
      <c r="H835" s="1918"/>
      <c r="I835" s="1918"/>
      <c r="J835" s="1918"/>
      <c r="K835" s="1918"/>
      <c r="L835" s="1918"/>
      <c r="M835" s="1918"/>
      <c r="N835" s="1918"/>
      <c r="O835" s="1918"/>
      <c r="P835" s="1918"/>
      <c r="Q835" s="1918"/>
      <c r="R835" s="1918"/>
      <c r="S835" s="1918"/>
      <c r="T835" s="1918"/>
      <c r="U835" s="1918"/>
      <c r="V835" s="1918"/>
      <c r="W835" s="1918"/>
      <c r="X835" s="1918"/>
      <c r="Y835" s="1918"/>
      <c r="Z835" s="1918"/>
      <c r="AA835" s="1918"/>
      <c r="AB835" s="1918"/>
      <c r="AC835" s="1918"/>
      <c r="AD835" s="1918"/>
      <c r="AE835" s="1918"/>
    </row>
    <row r="836" spans="1:31" ht="15.75" customHeight="1">
      <c r="A836" s="1918"/>
      <c r="B836" s="1918"/>
      <c r="C836" s="1918"/>
      <c r="D836" s="1918"/>
      <c r="E836" s="1918"/>
      <c r="F836" s="1918"/>
      <c r="G836" s="1918"/>
      <c r="H836" s="1918"/>
      <c r="I836" s="1918"/>
      <c r="J836" s="1918"/>
      <c r="K836" s="1918"/>
      <c r="L836" s="1918"/>
      <c r="M836" s="1918"/>
      <c r="N836" s="1918"/>
      <c r="O836" s="1918"/>
      <c r="P836" s="1918"/>
      <c r="Q836" s="1918"/>
      <c r="R836" s="1918"/>
      <c r="S836" s="1918"/>
      <c r="T836" s="1918"/>
      <c r="U836" s="1918"/>
      <c r="V836" s="1918"/>
      <c r="W836" s="1918"/>
      <c r="X836" s="1918"/>
      <c r="Y836" s="1918"/>
      <c r="Z836" s="1918"/>
      <c r="AA836" s="1918"/>
      <c r="AB836" s="1918"/>
      <c r="AC836" s="1918"/>
      <c r="AD836" s="1918"/>
      <c r="AE836" s="1918"/>
    </row>
    <row r="837" spans="1:31" ht="15.75" customHeight="1">
      <c r="A837" s="1918"/>
      <c r="B837" s="1918"/>
      <c r="C837" s="1918"/>
      <c r="D837" s="1918"/>
      <c r="E837" s="1918"/>
      <c r="F837" s="1918"/>
      <c r="G837" s="1918"/>
      <c r="H837" s="1918"/>
      <c r="I837" s="1918"/>
      <c r="J837" s="1918"/>
      <c r="K837" s="1918"/>
      <c r="L837" s="1918"/>
      <c r="M837" s="1918"/>
      <c r="N837" s="1918"/>
      <c r="O837" s="1918"/>
      <c r="P837" s="1918"/>
      <c r="Q837" s="1918"/>
      <c r="R837" s="1918"/>
      <c r="S837" s="1918"/>
      <c r="T837" s="1918"/>
      <c r="U837" s="1918"/>
      <c r="V837" s="1918"/>
      <c r="W837" s="1918"/>
      <c r="X837" s="1918"/>
      <c r="Y837" s="1918"/>
      <c r="Z837" s="1918"/>
      <c r="AA837" s="1918"/>
      <c r="AB837" s="1918"/>
      <c r="AC837" s="1918"/>
      <c r="AD837" s="1918"/>
      <c r="AE837" s="1918"/>
    </row>
    <row r="838" spans="1:31" ht="15.75" customHeight="1">
      <c r="A838" s="1918"/>
      <c r="B838" s="1918"/>
      <c r="C838" s="1918"/>
      <c r="D838" s="1918"/>
      <c r="E838" s="1918"/>
      <c r="F838" s="1918"/>
      <c r="G838" s="1918"/>
      <c r="H838" s="1918"/>
      <c r="I838" s="1918"/>
      <c r="J838" s="1918"/>
      <c r="K838" s="1918"/>
      <c r="L838" s="1918"/>
      <c r="M838" s="1918"/>
      <c r="N838" s="1918"/>
      <c r="O838" s="1918"/>
      <c r="P838" s="1918"/>
      <c r="Q838" s="1918"/>
      <c r="R838" s="1918"/>
      <c r="S838" s="1918"/>
      <c r="T838" s="1918"/>
      <c r="U838" s="1918"/>
      <c r="V838" s="1918"/>
      <c r="W838" s="1918"/>
      <c r="X838" s="1918"/>
      <c r="Y838" s="1918"/>
      <c r="Z838" s="1918"/>
      <c r="AA838" s="1918"/>
      <c r="AB838" s="1918"/>
      <c r="AC838" s="1918"/>
      <c r="AD838" s="1918"/>
      <c r="AE838" s="1918"/>
    </row>
    <row r="839" spans="1:31" ht="15.75" customHeight="1">
      <c r="A839" s="1918"/>
      <c r="B839" s="1918"/>
      <c r="C839" s="1918"/>
      <c r="D839" s="1918"/>
      <c r="E839" s="1918"/>
      <c r="F839" s="1918"/>
      <c r="G839" s="1918"/>
      <c r="H839" s="1918"/>
      <c r="I839" s="1918"/>
      <c r="J839" s="1918"/>
      <c r="K839" s="1918"/>
      <c r="L839" s="1918"/>
      <c r="M839" s="1918"/>
      <c r="N839" s="1918"/>
      <c r="O839" s="1918"/>
      <c r="P839" s="1918"/>
      <c r="Q839" s="1918"/>
      <c r="R839" s="1918"/>
      <c r="S839" s="1918"/>
      <c r="T839" s="1918"/>
      <c r="U839" s="1918"/>
      <c r="V839" s="1918"/>
      <c r="W839" s="1918"/>
      <c r="X839" s="1918"/>
      <c r="Y839" s="1918"/>
      <c r="Z839" s="1918"/>
      <c r="AA839" s="1918"/>
      <c r="AB839" s="1918"/>
      <c r="AC839" s="1918"/>
      <c r="AD839" s="1918"/>
      <c r="AE839" s="1918"/>
    </row>
    <row r="840" spans="1:31" ht="15.75" customHeight="1">
      <c r="A840" s="1918"/>
      <c r="B840" s="1918"/>
      <c r="C840" s="1918"/>
      <c r="D840" s="1918"/>
      <c r="E840" s="1918"/>
      <c r="F840" s="1918"/>
      <c r="G840" s="1918"/>
      <c r="H840" s="1918"/>
      <c r="I840" s="1918"/>
      <c r="J840" s="1918"/>
      <c r="K840" s="1918"/>
      <c r="L840" s="1918"/>
      <c r="M840" s="1918"/>
      <c r="N840" s="1918"/>
      <c r="O840" s="1918"/>
      <c r="P840" s="1918"/>
      <c r="Q840" s="1918"/>
      <c r="R840" s="1918"/>
      <c r="S840" s="1918"/>
      <c r="T840" s="1918"/>
      <c r="U840" s="1918"/>
      <c r="V840" s="1918"/>
      <c r="W840" s="1918"/>
      <c r="X840" s="1918"/>
      <c r="Y840" s="1918"/>
      <c r="Z840" s="1918"/>
      <c r="AA840" s="1918"/>
      <c r="AB840" s="1918"/>
      <c r="AC840" s="1918"/>
      <c r="AD840" s="1918"/>
      <c r="AE840" s="1918"/>
    </row>
    <row r="841" spans="1:31" ht="15.75" customHeight="1">
      <c r="A841" s="1918"/>
      <c r="B841" s="1918"/>
      <c r="C841" s="1918"/>
      <c r="D841" s="1918"/>
      <c r="E841" s="1918"/>
      <c r="F841" s="1918"/>
      <c r="G841" s="1918"/>
      <c r="H841" s="1918"/>
      <c r="I841" s="1918"/>
      <c r="J841" s="1918"/>
      <c r="K841" s="1918"/>
      <c r="L841" s="1918"/>
      <c r="M841" s="1918"/>
      <c r="N841" s="1918"/>
      <c r="O841" s="1918"/>
      <c r="P841" s="1918"/>
      <c r="Q841" s="1918"/>
      <c r="R841" s="1918"/>
      <c r="S841" s="1918"/>
      <c r="T841" s="1918"/>
      <c r="U841" s="1918"/>
      <c r="V841" s="1918"/>
      <c r="W841" s="1918"/>
      <c r="X841" s="1918"/>
      <c r="Y841" s="1918"/>
      <c r="Z841" s="1918"/>
      <c r="AA841" s="1918"/>
      <c r="AB841" s="1918"/>
      <c r="AC841" s="1918"/>
      <c r="AD841" s="1918"/>
      <c r="AE841" s="1918"/>
    </row>
    <row r="842" spans="1:31" ht="15.75" customHeight="1">
      <c r="A842" s="1918"/>
      <c r="B842" s="1918"/>
      <c r="C842" s="1918"/>
      <c r="D842" s="1918"/>
      <c r="E842" s="1918"/>
      <c r="F842" s="1918"/>
      <c r="G842" s="1918"/>
      <c r="H842" s="1918"/>
      <c r="I842" s="1918"/>
      <c r="J842" s="1918"/>
      <c r="K842" s="1918"/>
      <c r="L842" s="1918"/>
      <c r="M842" s="1918"/>
      <c r="N842" s="1918"/>
      <c r="O842" s="1918"/>
      <c r="P842" s="1918"/>
      <c r="Q842" s="1918"/>
      <c r="R842" s="1918"/>
      <c r="S842" s="1918"/>
      <c r="T842" s="1918"/>
      <c r="U842" s="1918"/>
      <c r="V842" s="1918"/>
      <c r="W842" s="1918"/>
      <c r="X842" s="1918"/>
      <c r="Y842" s="1918"/>
      <c r="Z842" s="1918"/>
      <c r="AA842" s="1918"/>
      <c r="AB842" s="1918"/>
      <c r="AC842" s="1918"/>
      <c r="AD842" s="1918"/>
      <c r="AE842" s="1918"/>
    </row>
    <row r="843" spans="1:31" ht="15.75" customHeight="1">
      <c r="A843" s="1918"/>
      <c r="B843" s="1918"/>
      <c r="C843" s="1918"/>
      <c r="D843" s="1918"/>
      <c r="E843" s="1918"/>
      <c r="F843" s="1918"/>
      <c r="G843" s="1918"/>
      <c r="H843" s="1918"/>
      <c r="I843" s="1918"/>
      <c r="J843" s="1918"/>
      <c r="K843" s="1918"/>
      <c r="L843" s="1918"/>
      <c r="M843" s="1918"/>
      <c r="N843" s="1918"/>
      <c r="O843" s="1918"/>
      <c r="P843" s="1918"/>
      <c r="Q843" s="1918"/>
      <c r="R843" s="1918"/>
      <c r="S843" s="1918"/>
      <c r="T843" s="1918"/>
      <c r="U843" s="1918"/>
      <c r="V843" s="1918"/>
      <c r="W843" s="1918"/>
      <c r="X843" s="1918"/>
      <c r="Y843" s="1918"/>
      <c r="Z843" s="1918"/>
      <c r="AA843" s="1918"/>
      <c r="AB843" s="1918"/>
      <c r="AC843" s="1918"/>
      <c r="AD843" s="1918"/>
      <c r="AE843" s="1918"/>
    </row>
    <row r="844" spans="1:31" ht="15.75" customHeight="1">
      <c r="A844" s="1918"/>
      <c r="B844" s="1918"/>
      <c r="C844" s="1918"/>
      <c r="D844" s="1918"/>
      <c r="E844" s="1918"/>
      <c r="F844" s="1918"/>
      <c r="G844" s="1918"/>
      <c r="H844" s="1918"/>
      <c r="I844" s="1918"/>
      <c r="J844" s="1918"/>
      <c r="K844" s="1918"/>
      <c r="L844" s="1918"/>
      <c r="M844" s="1918"/>
      <c r="N844" s="1918"/>
      <c r="O844" s="1918"/>
      <c r="P844" s="1918"/>
      <c r="Q844" s="1918"/>
      <c r="R844" s="1918"/>
      <c r="S844" s="1918"/>
      <c r="T844" s="1918"/>
      <c r="U844" s="1918"/>
      <c r="V844" s="1918"/>
      <c r="W844" s="1918"/>
      <c r="X844" s="1918"/>
      <c r="Y844" s="1918"/>
      <c r="Z844" s="1918"/>
      <c r="AA844" s="1918"/>
      <c r="AB844" s="1918"/>
      <c r="AC844" s="1918"/>
      <c r="AD844" s="1918"/>
      <c r="AE844" s="1918"/>
    </row>
    <row r="845" spans="1:31" ht="15.75" customHeight="1">
      <c r="A845" s="1918"/>
      <c r="B845" s="1918"/>
      <c r="C845" s="1918"/>
      <c r="D845" s="1918"/>
      <c r="E845" s="1918"/>
      <c r="F845" s="1918"/>
      <c r="G845" s="1918"/>
      <c r="H845" s="1918"/>
      <c r="I845" s="1918"/>
      <c r="J845" s="1918"/>
      <c r="K845" s="1918"/>
      <c r="L845" s="1918"/>
      <c r="M845" s="1918"/>
      <c r="N845" s="1918"/>
      <c r="O845" s="1918"/>
      <c r="P845" s="1918"/>
      <c r="Q845" s="1918"/>
      <c r="R845" s="1918"/>
      <c r="S845" s="1918"/>
      <c r="T845" s="1918"/>
      <c r="U845" s="1918"/>
      <c r="V845" s="1918"/>
      <c r="W845" s="1918"/>
      <c r="X845" s="1918"/>
      <c r="Y845" s="1918"/>
      <c r="Z845" s="1918"/>
      <c r="AA845" s="1918"/>
      <c r="AB845" s="1918"/>
      <c r="AC845" s="1918"/>
      <c r="AD845" s="1918"/>
      <c r="AE845" s="1918"/>
    </row>
    <row r="846" spans="1:31" ht="15.75" customHeight="1">
      <c r="A846" s="1918"/>
      <c r="B846" s="1918"/>
      <c r="C846" s="1918"/>
      <c r="D846" s="1918"/>
      <c r="E846" s="1918"/>
      <c r="F846" s="1918"/>
      <c r="G846" s="1918"/>
      <c r="H846" s="1918"/>
      <c r="I846" s="1918"/>
      <c r="J846" s="1918"/>
      <c r="K846" s="1918"/>
      <c r="L846" s="1918"/>
      <c r="M846" s="1918"/>
      <c r="N846" s="1918"/>
      <c r="O846" s="1918"/>
      <c r="P846" s="1918"/>
      <c r="Q846" s="1918"/>
      <c r="R846" s="1918"/>
      <c r="S846" s="1918"/>
      <c r="T846" s="1918"/>
      <c r="U846" s="1918"/>
      <c r="V846" s="1918"/>
      <c r="W846" s="1918"/>
      <c r="X846" s="1918"/>
      <c r="Y846" s="1918"/>
      <c r="Z846" s="1918"/>
      <c r="AA846" s="1918"/>
      <c r="AB846" s="1918"/>
      <c r="AC846" s="1918"/>
      <c r="AD846" s="1918"/>
      <c r="AE846" s="1918"/>
    </row>
    <row r="847" spans="1:31" ht="15.75" customHeight="1">
      <c r="A847" s="1918"/>
      <c r="B847" s="1918"/>
      <c r="C847" s="1918"/>
      <c r="D847" s="1918"/>
      <c r="E847" s="1918"/>
      <c r="F847" s="1918"/>
      <c r="G847" s="1918"/>
      <c r="H847" s="1918"/>
      <c r="I847" s="1918"/>
      <c r="J847" s="1918"/>
      <c r="K847" s="1918"/>
      <c r="L847" s="1918"/>
      <c r="M847" s="1918"/>
      <c r="N847" s="1918"/>
      <c r="O847" s="1918"/>
      <c r="P847" s="1918"/>
      <c r="Q847" s="1918"/>
      <c r="R847" s="1918"/>
      <c r="S847" s="1918"/>
      <c r="T847" s="1918"/>
      <c r="U847" s="1918"/>
      <c r="V847" s="1918"/>
      <c r="W847" s="1918"/>
      <c r="X847" s="1918"/>
      <c r="Y847" s="1918"/>
      <c r="Z847" s="1918"/>
      <c r="AA847" s="1918"/>
      <c r="AB847" s="1918"/>
      <c r="AC847" s="1918"/>
      <c r="AD847" s="1918"/>
      <c r="AE847" s="1918"/>
    </row>
    <row r="848" spans="1:31" ht="15.75" customHeight="1">
      <c r="A848" s="1918"/>
      <c r="B848" s="1918"/>
      <c r="C848" s="1918"/>
      <c r="D848" s="1918"/>
      <c r="E848" s="1918"/>
      <c r="F848" s="1918"/>
      <c r="G848" s="1918"/>
      <c r="H848" s="1918"/>
      <c r="I848" s="1918"/>
      <c r="J848" s="1918"/>
      <c r="K848" s="1918"/>
      <c r="L848" s="1918"/>
      <c r="M848" s="1918"/>
      <c r="N848" s="1918"/>
      <c r="O848" s="1918"/>
      <c r="P848" s="1918"/>
      <c r="Q848" s="1918"/>
      <c r="R848" s="1918"/>
      <c r="S848" s="1918"/>
      <c r="T848" s="1918"/>
      <c r="U848" s="1918"/>
      <c r="V848" s="1918"/>
      <c r="W848" s="1918"/>
      <c r="X848" s="1918"/>
      <c r="Y848" s="1918"/>
      <c r="Z848" s="1918"/>
      <c r="AA848" s="1918"/>
      <c r="AB848" s="1918"/>
      <c r="AC848" s="1918"/>
      <c r="AD848" s="1918"/>
      <c r="AE848" s="1918"/>
    </row>
    <row r="849" spans="1:31" ht="15.75" customHeight="1">
      <c r="A849" s="1918"/>
      <c r="B849" s="1918"/>
      <c r="C849" s="1918"/>
      <c r="D849" s="1918"/>
      <c r="E849" s="1918"/>
      <c r="F849" s="1918"/>
      <c r="G849" s="1918"/>
      <c r="H849" s="1918"/>
      <c r="I849" s="1918"/>
      <c r="J849" s="1918"/>
      <c r="K849" s="1918"/>
      <c r="L849" s="1918"/>
      <c r="M849" s="1918"/>
      <c r="N849" s="1918"/>
      <c r="O849" s="1918"/>
      <c r="P849" s="1918"/>
      <c r="Q849" s="1918"/>
      <c r="R849" s="1918"/>
      <c r="S849" s="1918"/>
      <c r="T849" s="1918"/>
      <c r="U849" s="1918"/>
      <c r="V849" s="1918"/>
      <c r="W849" s="1918"/>
      <c r="X849" s="1918"/>
      <c r="Y849" s="1918"/>
      <c r="Z849" s="1918"/>
      <c r="AA849" s="1918"/>
      <c r="AB849" s="1918"/>
      <c r="AC849" s="1918"/>
      <c r="AD849" s="1918"/>
      <c r="AE849" s="1918"/>
    </row>
    <row r="850" spans="1:31" ht="15.75" customHeight="1">
      <c r="A850" s="1918"/>
      <c r="B850" s="1918"/>
      <c r="C850" s="1918"/>
      <c r="D850" s="1918"/>
      <c r="E850" s="1918"/>
      <c r="F850" s="1918"/>
      <c r="G850" s="1918"/>
      <c r="H850" s="1918"/>
      <c r="I850" s="1918"/>
      <c r="J850" s="1918"/>
      <c r="K850" s="1918"/>
      <c r="L850" s="1918"/>
      <c r="M850" s="1918"/>
      <c r="N850" s="1918"/>
      <c r="O850" s="1918"/>
      <c r="P850" s="1918"/>
      <c r="Q850" s="1918"/>
      <c r="R850" s="1918"/>
      <c r="S850" s="1918"/>
      <c r="T850" s="1918"/>
      <c r="U850" s="1918"/>
      <c r="V850" s="1918"/>
      <c r="W850" s="1918"/>
      <c r="X850" s="1918"/>
      <c r="Y850" s="1918"/>
      <c r="Z850" s="1918"/>
      <c r="AA850" s="1918"/>
      <c r="AB850" s="1918"/>
      <c r="AC850" s="1918"/>
      <c r="AD850" s="1918"/>
      <c r="AE850" s="1918"/>
    </row>
    <row r="851" spans="1:31" ht="15.75" customHeight="1">
      <c r="A851" s="1918"/>
      <c r="B851" s="1918"/>
      <c r="C851" s="1918"/>
      <c r="D851" s="1918"/>
      <c r="E851" s="1918"/>
      <c r="F851" s="1918"/>
      <c r="G851" s="1918"/>
      <c r="H851" s="1918"/>
      <c r="I851" s="1918"/>
      <c r="J851" s="1918"/>
      <c r="K851" s="1918"/>
      <c r="L851" s="1918"/>
      <c r="M851" s="1918"/>
      <c r="N851" s="1918"/>
      <c r="O851" s="1918"/>
      <c r="P851" s="1918"/>
      <c r="Q851" s="1918"/>
      <c r="R851" s="1918"/>
      <c r="S851" s="1918"/>
      <c r="T851" s="1918"/>
      <c r="U851" s="1918"/>
      <c r="V851" s="1918"/>
      <c r="W851" s="1918"/>
      <c r="X851" s="1918"/>
      <c r="Y851" s="1918"/>
      <c r="Z851" s="1918"/>
      <c r="AA851" s="1918"/>
      <c r="AB851" s="1918"/>
      <c r="AC851" s="1918"/>
      <c r="AD851" s="1918"/>
      <c r="AE851" s="1918"/>
    </row>
    <row r="852" spans="1:31" ht="15.75" customHeight="1">
      <c r="A852" s="1918"/>
      <c r="B852" s="1918"/>
      <c r="C852" s="1918"/>
      <c r="D852" s="1918"/>
      <c r="E852" s="1918"/>
      <c r="F852" s="1918"/>
      <c r="G852" s="1918"/>
      <c r="H852" s="1918"/>
      <c r="I852" s="1918"/>
      <c r="J852" s="1918"/>
      <c r="K852" s="1918"/>
      <c r="L852" s="1918"/>
      <c r="M852" s="1918"/>
      <c r="N852" s="1918"/>
      <c r="O852" s="1918"/>
      <c r="P852" s="1918"/>
      <c r="Q852" s="1918"/>
      <c r="R852" s="1918"/>
      <c r="S852" s="1918"/>
      <c r="T852" s="1918"/>
      <c r="U852" s="1918"/>
      <c r="V852" s="1918"/>
      <c r="W852" s="1918"/>
      <c r="X852" s="1918"/>
      <c r="Y852" s="1918"/>
      <c r="Z852" s="1918"/>
      <c r="AA852" s="1918"/>
      <c r="AB852" s="1918"/>
      <c r="AC852" s="1918"/>
      <c r="AD852" s="1918"/>
      <c r="AE852" s="1918"/>
    </row>
    <row r="853" spans="1:31" ht="15.75" customHeight="1">
      <c r="A853" s="1918"/>
      <c r="B853" s="1918"/>
      <c r="C853" s="1918"/>
      <c r="D853" s="1918"/>
      <c r="E853" s="1918"/>
      <c r="F853" s="1918"/>
      <c r="G853" s="1918"/>
      <c r="H853" s="1918"/>
      <c r="I853" s="1918"/>
      <c r="J853" s="1918"/>
      <c r="K853" s="1918"/>
      <c r="L853" s="1918"/>
      <c r="M853" s="1918"/>
      <c r="N853" s="1918"/>
      <c r="O853" s="1918"/>
      <c r="P853" s="1918"/>
      <c r="Q853" s="1918"/>
      <c r="R853" s="1918"/>
      <c r="S853" s="1918"/>
      <c r="T853" s="1918"/>
      <c r="U853" s="1918"/>
      <c r="V853" s="1918"/>
      <c r="W853" s="1918"/>
      <c r="X853" s="1918"/>
      <c r="Y853" s="1918"/>
      <c r="Z853" s="1918"/>
      <c r="AA853" s="1918"/>
      <c r="AB853" s="1918"/>
      <c r="AC853" s="1918"/>
      <c r="AD853" s="1918"/>
      <c r="AE853" s="1918"/>
    </row>
    <row r="854" spans="1:31" ht="15.75" customHeight="1">
      <c r="A854" s="1918"/>
      <c r="B854" s="1918"/>
      <c r="C854" s="1918"/>
      <c r="D854" s="1918"/>
      <c r="E854" s="1918"/>
      <c r="F854" s="1918"/>
      <c r="G854" s="1918"/>
      <c r="H854" s="1918"/>
      <c r="I854" s="1918"/>
      <c r="J854" s="1918"/>
      <c r="K854" s="1918"/>
      <c r="L854" s="1918"/>
      <c r="M854" s="1918"/>
      <c r="N854" s="1918"/>
      <c r="O854" s="1918"/>
      <c r="P854" s="1918"/>
      <c r="Q854" s="1918"/>
      <c r="R854" s="1918"/>
      <c r="S854" s="1918"/>
      <c r="T854" s="1918"/>
      <c r="U854" s="1918"/>
      <c r="V854" s="1918"/>
      <c r="W854" s="1918"/>
      <c r="X854" s="1918"/>
      <c r="Y854" s="1918"/>
      <c r="Z854" s="1918"/>
      <c r="AA854" s="1918"/>
      <c r="AB854" s="1918"/>
      <c r="AC854" s="1918"/>
      <c r="AD854" s="1918"/>
      <c r="AE854" s="1918"/>
    </row>
    <row r="855" spans="1:31" ht="15.75" customHeight="1">
      <c r="A855" s="1918"/>
      <c r="B855" s="1918"/>
      <c r="C855" s="1918"/>
      <c r="D855" s="1918"/>
      <c r="E855" s="1918"/>
      <c r="F855" s="1918"/>
      <c r="G855" s="1918"/>
      <c r="H855" s="1918"/>
      <c r="I855" s="1918"/>
      <c r="J855" s="1918"/>
      <c r="K855" s="1918"/>
      <c r="L855" s="1918"/>
      <c r="M855" s="1918"/>
      <c r="N855" s="1918"/>
      <c r="O855" s="1918"/>
      <c r="P855" s="1918"/>
      <c r="Q855" s="1918"/>
      <c r="R855" s="1918"/>
      <c r="S855" s="1918"/>
      <c r="T855" s="1918"/>
      <c r="U855" s="1918"/>
      <c r="V855" s="1918"/>
      <c r="W855" s="1918"/>
      <c r="X855" s="1918"/>
      <c r="Y855" s="1918"/>
      <c r="Z855" s="1918"/>
      <c r="AA855" s="1918"/>
      <c r="AB855" s="1918"/>
      <c r="AC855" s="1918"/>
      <c r="AD855" s="1918"/>
      <c r="AE855" s="1918"/>
    </row>
    <row r="856" spans="1:31" ht="15.75" customHeight="1">
      <c r="A856" s="1918"/>
      <c r="B856" s="1918"/>
      <c r="C856" s="1918"/>
      <c r="D856" s="1918"/>
      <c r="E856" s="1918"/>
      <c r="F856" s="1918"/>
      <c r="G856" s="1918"/>
      <c r="H856" s="1918"/>
      <c r="I856" s="1918"/>
      <c r="J856" s="1918"/>
      <c r="K856" s="1918"/>
      <c r="L856" s="1918"/>
      <c r="M856" s="1918"/>
      <c r="N856" s="1918"/>
      <c r="O856" s="1918"/>
      <c r="P856" s="1918"/>
      <c r="Q856" s="1918"/>
      <c r="R856" s="1918"/>
      <c r="S856" s="1918"/>
      <c r="T856" s="1918"/>
      <c r="U856" s="1918"/>
      <c r="V856" s="1918"/>
      <c r="W856" s="1918"/>
      <c r="X856" s="1918"/>
      <c r="Y856" s="1918"/>
      <c r="Z856" s="1918"/>
      <c r="AA856" s="1918"/>
      <c r="AB856" s="1918"/>
      <c r="AC856" s="1918"/>
      <c r="AD856" s="1918"/>
      <c r="AE856" s="1918"/>
    </row>
    <row r="857" spans="1:31" ht="15.75" customHeight="1">
      <c r="A857" s="1918"/>
      <c r="B857" s="1918"/>
      <c r="C857" s="1918"/>
      <c r="D857" s="1918"/>
      <c r="E857" s="1918"/>
      <c r="F857" s="1918"/>
      <c r="G857" s="1918"/>
      <c r="H857" s="1918"/>
      <c r="I857" s="1918"/>
      <c r="J857" s="1918"/>
      <c r="K857" s="1918"/>
      <c r="L857" s="1918"/>
      <c r="M857" s="1918"/>
      <c r="N857" s="1918"/>
      <c r="O857" s="1918"/>
      <c r="P857" s="1918"/>
      <c r="Q857" s="1918"/>
      <c r="R857" s="1918"/>
      <c r="S857" s="1918"/>
      <c r="T857" s="1918"/>
      <c r="U857" s="1918"/>
      <c r="V857" s="1918"/>
      <c r="W857" s="1918"/>
      <c r="X857" s="1918"/>
      <c r="Y857" s="1918"/>
      <c r="Z857" s="1918"/>
      <c r="AA857" s="1918"/>
      <c r="AB857" s="1918"/>
      <c r="AC857" s="1918"/>
      <c r="AD857" s="1918"/>
      <c r="AE857" s="1918"/>
    </row>
    <row r="858" spans="1:31" ht="15.75" customHeight="1">
      <c r="A858" s="1918"/>
      <c r="B858" s="1918"/>
      <c r="C858" s="1918"/>
      <c r="D858" s="1918"/>
      <c r="E858" s="1918"/>
      <c r="F858" s="1918"/>
      <c r="G858" s="1918"/>
      <c r="H858" s="1918"/>
      <c r="I858" s="1918"/>
      <c r="J858" s="1918"/>
      <c r="K858" s="1918"/>
      <c r="L858" s="1918"/>
      <c r="M858" s="1918"/>
      <c r="N858" s="1918"/>
      <c r="O858" s="1918"/>
      <c r="P858" s="1918"/>
      <c r="Q858" s="1918"/>
      <c r="R858" s="1918"/>
      <c r="S858" s="1918"/>
      <c r="T858" s="1918"/>
      <c r="U858" s="1918"/>
      <c r="V858" s="1918"/>
      <c r="W858" s="1918"/>
      <c r="X858" s="1918"/>
      <c r="Y858" s="1918"/>
      <c r="Z858" s="1918"/>
      <c r="AA858" s="1918"/>
      <c r="AB858" s="1918"/>
      <c r="AC858" s="1918"/>
      <c r="AD858" s="1918"/>
      <c r="AE858" s="1918"/>
    </row>
    <row r="859" spans="1:31" ht="15.75" customHeight="1">
      <c r="A859" s="1918"/>
      <c r="B859" s="1918"/>
      <c r="C859" s="1918"/>
      <c r="D859" s="1918"/>
      <c r="E859" s="1918"/>
      <c r="F859" s="1918"/>
      <c r="G859" s="1918"/>
      <c r="H859" s="1918"/>
      <c r="I859" s="1918"/>
      <c r="J859" s="1918"/>
      <c r="K859" s="1918"/>
      <c r="L859" s="1918"/>
      <c r="M859" s="1918"/>
      <c r="N859" s="1918"/>
      <c r="O859" s="1918"/>
      <c r="P859" s="1918"/>
      <c r="Q859" s="1918"/>
      <c r="R859" s="1918"/>
      <c r="S859" s="1918"/>
      <c r="T859" s="1918"/>
      <c r="U859" s="1918"/>
      <c r="V859" s="1918"/>
      <c r="W859" s="1918"/>
      <c r="X859" s="1918"/>
      <c r="Y859" s="1918"/>
      <c r="Z859" s="1918"/>
      <c r="AA859" s="1918"/>
      <c r="AB859" s="1918"/>
      <c r="AC859" s="1918"/>
      <c r="AD859" s="1918"/>
      <c r="AE859" s="1918"/>
    </row>
    <row r="860" spans="1:31" ht="15.75" customHeight="1">
      <c r="A860" s="1918"/>
      <c r="B860" s="1918"/>
      <c r="C860" s="1918"/>
      <c r="D860" s="1918"/>
      <c r="E860" s="1918"/>
      <c r="F860" s="1918"/>
      <c r="G860" s="1918"/>
      <c r="H860" s="1918"/>
      <c r="I860" s="1918"/>
      <c r="J860" s="1918"/>
      <c r="K860" s="1918"/>
      <c r="L860" s="1918"/>
      <c r="M860" s="1918"/>
      <c r="N860" s="1918"/>
      <c r="O860" s="1918"/>
      <c r="P860" s="1918"/>
      <c r="Q860" s="1918"/>
      <c r="R860" s="1918"/>
      <c r="S860" s="1918"/>
      <c r="T860" s="1918"/>
      <c r="U860" s="1918"/>
      <c r="V860" s="1918"/>
      <c r="W860" s="1918"/>
      <c r="X860" s="1918"/>
      <c r="Y860" s="1918"/>
      <c r="Z860" s="1918"/>
      <c r="AA860" s="1918"/>
      <c r="AB860" s="1918"/>
      <c r="AC860" s="1918"/>
      <c r="AD860" s="1918"/>
      <c r="AE860" s="1918"/>
    </row>
    <row r="861" spans="1:31" ht="15.75" customHeight="1">
      <c r="A861" s="1918"/>
      <c r="B861" s="1918"/>
      <c r="C861" s="1918"/>
      <c r="D861" s="1918"/>
      <c r="E861" s="1918"/>
      <c r="F861" s="1918"/>
      <c r="G861" s="1918"/>
      <c r="H861" s="1918"/>
      <c r="I861" s="1918"/>
      <c r="J861" s="1918"/>
      <c r="K861" s="1918"/>
      <c r="L861" s="1918"/>
      <c r="M861" s="1918"/>
      <c r="N861" s="1918"/>
      <c r="O861" s="1918"/>
      <c r="P861" s="1918"/>
      <c r="Q861" s="1918"/>
      <c r="R861" s="1918"/>
      <c r="S861" s="1918"/>
      <c r="T861" s="1918"/>
      <c r="U861" s="1918"/>
      <c r="V861" s="1918"/>
      <c r="W861" s="1918"/>
      <c r="X861" s="1918"/>
      <c r="Y861" s="1918"/>
      <c r="Z861" s="1918"/>
      <c r="AA861" s="1918"/>
      <c r="AB861" s="1918"/>
      <c r="AC861" s="1918"/>
      <c r="AD861" s="1918"/>
      <c r="AE861" s="1918"/>
    </row>
    <row r="862" spans="1:31" ht="15.75" customHeight="1">
      <c r="A862" s="1918"/>
      <c r="B862" s="1918"/>
      <c r="C862" s="1918"/>
      <c r="D862" s="1918"/>
      <c r="E862" s="1918"/>
      <c r="F862" s="1918"/>
      <c r="G862" s="1918"/>
      <c r="H862" s="1918"/>
      <c r="I862" s="1918"/>
      <c r="J862" s="1918"/>
      <c r="K862" s="1918"/>
      <c r="L862" s="1918"/>
      <c r="M862" s="1918"/>
      <c r="N862" s="1918"/>
      <c r="O862" s="1918"/>
      <c r="P862" s="1918"/>
      <c r="Q862" s="1918"/>
      <c r="R862" s="1918"/>
      <c r="S862" s="1918"/>
      <c r="T862" s="1918"/>
      <c r="U862" s="1918"/>
      <c r="V862" s="1918"/>
      <c r="W862" s="1918"/>
      <c r="X862" s="1918"/>
      <c r="Y862" s="1918"/>
      <c r="Z862" s="1918"/>
      <c r="AA862" s="1918"/>
      <c r="AB862" s="1918"/>
      <c r="AC862" s="1918"/>
      <c r="AD862" s="1918"/>
      <c r="AE862" s="1918"/>
    </row>
    <row r="863" spans="1:31" ht="15.75" customHeight="1">
      <c r="A863" s="1918"/>
      <c r="B863" s="1918"/>
      <c r="C863" s="1918"/>
      <c r="D863" s="1918"/>
      <c r="E863" s="1918"/>
      <c r="F863" s="1918"/>
      <c r="G863" s="1918"/>
      <c r="H863" s="1918"/>
      <c r="I863" s="1918"/>
      <c r="J863" s="1918"/>
      <c r="K863" s="1918"/>
      <c r="L863" s="1918"/>
      <c r="M863" s="1918"/>
      <c r="N863" s="1918"/>
      <c r="O863" s="1918"/>
      <c r="P863" s="1918"/>
      <c r="Q863" s="1918"/>
      <c r="R863" s="1918"/>
      <c r="S863" s="1918"/>
      <c r="T863" s="1918"/>
      <c r="U863" s="1918"/>
      <c r="V863" s="1918"/>
      <c r="W863" s="1918"/>
      <c r="X863" s="1918"/>
      <c r="Y863" s="1918"/>
      <c r="Z863" s="1918"/>
      <c r="AA863" s="1918"/>
      <c r="AB863" s="1918"/>
      <c r="AC863" s="1918"/>
      <c r="AD863" s="1918"/>
      <c r="AE863" s="1918"/>
    </row>
    <row r="864" spans="1:31" ht="15.75" customHeight="1">
      <c r="A864" s="1918"/>
      <c r="B864" s="1918"/>
      <c r="C864" s="1918"/>
      <c r="D864" s="1918"/>
      <c r="E864" s="1918"/>
      <c r="F864" s="1918"/>
      <c r="G864" s="1918"/>
      <c r="H864" s="1918"/>
      <c r="I864" s="1918"/>
      <c r="J864" s="1918"/>
      <c r="K864" s="1918"/>
      <c r="L864" s="1918"/>
      <c r="M864" s="1918"/>
      <c r="N864" s="1918"/>
      <c r="O864" s="1918"/>
      <c r="P864" s="1918"/>
      <c r="Q864" s="1918"/>
      <c r="R864" s="1918"/>
      <c r="S864" s="1918"/>
      <c r="T864" s="1918"/>
      <c r="U864" s="1918"/>
      <c r="V864" s="1918"/>
      <c r="W864" s="1918"/>
      <c r="X864" s="1918"/>
      <c r="Y864" s="1918"/>
      <c r="Z864" s="1918"/>
      <c r="AA864" s="1918"/>
      <c r="AB864" s="1918"/>
      <c r="AC864" s="1918"/>
      <c r="AD864" s="1918"/>
      <c r="AE864" s="1918"/>
    </row>
    <row r="865" spans="1:31" ht="15.75" customHeight="1">
      <c r="A865" s="1918"/>
      <c r="B865" s="1918"/>
      <c r="C865" s="1918"/>
      <c r="D865" s="1918"/>
      <c r="E865" s="1918"/>
      <c r="F865" s="1918"/>
      <c r="G865" s="1918"/>
      <c r="H865" s="1918"/>
      <c r="I865" s="1918"/>
      <c r="J865" s="1918"/>
      <c r="K865" s="1918"/>
      <c r="L865" s="1918"/>
      <c r="M865" s="1918"/>
      <c r="N865" s="1918"/>
      <c r="O865" s="1918"/>
      <c r="P865" s="1918"/>
      <c r="Q865" s="1918"/>
      <c r="R865" s="1918"/>
      <c r="S865" s="1918"/>
      <c r="T865" s="1918"/>
      <c r="U865" s="1918"/>
      <c r="V865" s="1918"/>
      <c r="W865" s="1918"/>
      <c r="X865" s="1918"/>
      <c r="Y865" s="1918"/>
      <c r="Z865" s="1918"/>
      <c r="AA865" s="1918"/>
      <c r="AB865" s="1918"/>
      <c r="AC865" s="1918"/>
      <c r="AD865" s="1918"/>
      <c r="AE865" s="1918"/>
    </row>
    <row r="866" spans="1:31" ht="15.75" customHeight="1">
      <c r="A866" s="1918"/>
      <c r="B866" s="1918"/>
      <c r="C866" s="1918"/>
      <c r="D866" s="1918"/>
      <c r="E866" s="1918"/>
      <c r="F866" s="1918"/>
      <c r="G866" s="1918"/>
      <c r="H866" s="1918"/>
      <c r="I866" s="1918"/>
      <c r="J866" s="1918"/>
      <c r="K866" s="1918"/>
      <c r="L866" s="1918"/>
      <c r="M866" s="1918"/>
      <c r="N866" s="1918"/>
      <c r="O866" s="1918"/>
      <c r="P866" s="1918"/>
      <c r="Q866" s="1918"/>
      <c r="R866" s="1918"/>
      <c r="S866" s="1918"/>
      <c r="T866" s="1918"/>
      <c r="U866" s="1918"/>
      <c r="V866" s="1918"/>
      <c r="W866" s="1918"/>
      <c r="X866" s="1918"/>
      <c r="Y866" s="1918"/>
      <c r="Z866" s="1918"/>
      <c r="AA866" s="1918"/>
      <c r="AB866" s="1918"/>
      <c r="AC866" s="1918"/>
      <c r="AD866" s="1918"/>
      <c r="AE866" s="1918"/>
    </row>
    <row r="867" spans="1:31" ht="15.75" customHeight="1">
      <c r="A867" s="1918"/>
      <c r="B867" s="1918"/>
      <c r="C867" s="1918"/>
      <c r="D867" s="1918"/>
      <c r="E867" s="1918"/>
      <c r="F867" s="1918"/>
      <c r="G867" s="1918"/>
      <c r="H867" s="1918"/>
      <c r="I867" s="1918"/>
      <c r="J867" s="1918"/>
      <c r="K867" s="1918"/>
      <c r="L867" s="1918"/>
      <c r="M867" s="1918"/>
      <c r="N867" s="1918"/>
      <c r="O867" s="1918"/>
      <c r="P867" s="1918"/>
      <c r="Q867" s="1918"/>
      <c r="R867" s="1918"/>
      <c r="S867" s="1918"/>
      <c r="T867" s="1918"/>
      <c r="U867" s="1918"/>
      <c r="V867" s="1918"/>
      <c r="W867" s="1918"/>
      <c r="X867" s="1918"/>
      <c r="Y867" s="1918"/>
      <c r="Z867" s="1918"/>
      <c r="AA867" s="1918"/>
      <c r="AB867" s="1918"/>
      <c r="AC867" s="1918"/>
      <c r="AD867" s="1918"/>
      <c r="AE867" s="1918"/>
    </row>
    <row r="868" spans="1:31" ht="15.75" customHeight="1">
      <c r="A868" s="1918"/>
      <c r="B868" s="1918"/>
      <c r="C868" s="1918"/>
      <c r="D868" s="1918"/>
      <c r="E868" s="1918"/>
      <c r="F868" s="1918"/>
      <c r="G868" s="1918"/>
      <c r="H868" s="1918"/>
      <c r="I868" s="1918"/>
      <c r="J868" s="1918"/>
      <c r="K868" s="1918"/>
      <c r="L868" s="1918"/>
      <c r="M868" s="1918"/>
      <c r="N868" s="1918"/>
      <c r="O868" s="1918"/>
      <c r="P868" s="1918"/>
      <c r="Q868" s="1918"/>
      <c r="R868" s="1918"/>
      <c r="S868" s="1918"/>
      <c r="T868" s="1918"/>
      <c r="U868" s="1918"/>
      <c r="V868" s="1918"/>
      <c r="W868" s="1918"/>
      <c r="X868" s="1918"/>
      <c r="Y868" s="1918"/>
      <c r="Z868" s="1918"/>
      <c r="AA868" s="1918"/>
      <c r="AB868" s="1918"/>
      <c r="AC868" s="1918"/>
      <c r="AD868" s="1918"/>
      <c r="AE868" s="1918"/>
    </row>
    <row r="869" spans="1:31" ht="15.75" customHeight="1">
      <c r="A869" s="1918"/>
      <c r="B869" s="1918"/>
      <c r="C869" s="1918"/>
      <c r="D869" s="1918"/>
      <c r="E869" s="1918"/>
      <c r="F869" s="1918"/>
      <c r="G869" s="1918"/>
      <c r="H869" s="1918"/>
      <c r="I869" s="1918"/>
      <c r="J869" s="1918"/>
      <c r="K869" s="1918"/>
      <c r="L869" s="1918"/>
      <c r="M869" s="1918"/>
      <c r="N869" s="1918"/>
      <c r="O869" s="1918"/>
      <c r="P869" s="1918"/>
      <c r="Q869" s="1918"/>
      <c r="R869" s="1918"/>
      <c r="S869" s="1918"/>
      <c r="T869" s="1918"/>
      <c r="U869" s="1918"/>
      <c r="V869" s="1918"/>
      <c r="W869" s="1918"/>
      <c r="X869" s="1918"/>
      <c r="Y869" s="1918"/>
      <c r="Z869" s="1918"/>
      <c r="AA869" s="1918"/>
      <c r="AB869" s="1918"/>
      <c r="AC869" s="1918"/>
      <c r="AD869" s="1918"/>
      <c r="AE869" s="1918"/>
    </row>
    <row r="870" spans="1:31" ht="15.75" customHeight="1">
      <c r="A870" s="1918"/>
      <c r="B870" s="1918"/>
      <c r="C870" s="1918"/>
      <c r="D870" s="1918"/>
      <c r="E870" s="1918"/>
      <c r="F870" s="1918"/>
      <c r="G870" s="1918"/>
      <c r="H870" s="1918"/>
      <c r="I870" s="1918"/>
      <c r="J870" s="1918"/>
      <c r="K870" s="1918"/>
      <c r="L870" s="1918"/>
      <c r="M870" s="1918"/>
      <c r="N870" s="1918"/>
      <c r="O870" s="1918"/>
      <c r="P870" s="1918"/>
      <c r="Q870" s="1918"/>
      <c r="R870" s="1918"/>
      <c r="S870" s="1918"/>
      <c r="T870" s="1918"/>
      <c r="U870" s="1918"/>
      <c r="V870" s="1918"/>
      <c r="W870" s="1918"/>
      <c r="X870" s="1918"/>
      <c r="Y870" s="1918"/>
      <c r="Z870" s="1918"/>
      <c r="AA870" s="1918"/>
      <c r="AB870" s="1918"/>
      <c r="AC870" s="1918"/>
      <c r="AD870" s="1918"/>
      <c r="AE870" s="1918"/>
    </row>
    <row r="871" spans="1:31" ht="15.75" customHeight="1">
      <c r="A871" s="1918"/>
      <c r="B871" s="1918"/>
      <c r="C871" s="1918"/>
      <c r="D871" s="1918"/>
      <c r="E871" s="1918"/>
      <c r="F871" s="1918"/>
      <c r="G871" s="1918"/>
      <c r="H871" s="1918"/>
      <c r="I871" s="1918"/>
      <c r="J871" s="1918"/>
      <c r="K871" s="1918"/>
      <c r="L871" s="1918"/>
      <c r="M871" s="1918"/>
      <c r="N871" s="1918"/>
      <c r="O871" s="1918"/>
      <c r="P871" s="1918"/>
      <c r="Q871" s="1918"/>
      <c r="R871" s="1918"/>
      <c r="S871" s="1918"/>
      <c r="T871" s="1918"/>
      <c r="U871" s="1918"/>
      <c r="V871" s="1918"/>
      <c r="W871" s="1918"/>
      <c r="X871" s="1918"/>
      <c r="Y871" s="1918"/>
      <c r="Z871" s="1918"/>
      <c r="AA871" s="1918"/>
      <c r="AB871" s="1918"/>
      <c r="AC871" s="1918"/>
      <c r="AD871" s="1918"/>
      <c r="AE871" s="1918"/>
    </row>
    <row r="872" spans="1:31" ht="15.75" customHeight="1">
      <c r="A872" s="1918"/>
      <c r="B872" s="1918"/>
      <c r="C872" s="1918"/>
      <c r="D872" s="1918"/>
      <c r="E872" s="1918"/>
      <c r="F872" s="1918"/>
      <c r="G872" s="1918"/>
      <c r="H872" s="1918"/>
      <c r="I872" s="1918"/>
      <c r="J872" s="1918"/>
      <c r="K872" s="1918"/>
      <c r="L872" s="1918"/>
      <c r="M872" s="1918"/>
      <c r="N872" s="1918"/>
      <c r="O872" s="1918"/>
      <c r="P872" s="1918"/>
      <c r="Q872" s="1918"/>
      <c r="R872" s="1918"/>
      <c r="S872" s="1918"/>
      <c r="T872" s="1918"/>
      <c r="U872" s="1918"/>
      <c r="V872" s="1918"/>
      <c r="W872" s="1918"/>
      <c r="X872" s="1918"/>
      <c r="Y872" s="1918"/>
      <c r="Z872" s="1918"/>
      <c r="AA872" s="1918"/>
      <c r="AB872" s="1918"/>
      <c r="AC872" s="1918"/>
      <c r="AD872" s="1918"/>
      <c r="AE872" s="1918"/>
    </row>
    <row r="873" spans="1:31" ht="15.75" customHeight="1">
      <c r="A873" s="1918"/>
      <c r="B873" s="1918"/>
      <c r="C873" s="1918"/>
      <c r="D873" s="1918"/>
      <c r="E873" s="1918"/>
      <c r="F873" s="1918"/>
      <c r="G873" s="1918"/>
      <c r="H873" s="1918"/>
      <c r="I873" s="1918"/>
      <c r="J873" s="1918"/>
      <c r="K873" s="1918"/>
      <c r="L873" s="1918"/>
      <c r="M873" s="1918"/>
      <c r="N873" s="1918"/>
      <c r="O873" s="1918"/>
      <c r="P873" s="1918"/>
      <c r="Q873" s="1918"/>
      <c r="R873" s="1918"/>
      <c r="S873" s="1918"/>
      <c r="T873" s="1918"/>
      <c r="U873" s="1918"/>
      <c r="V873" s="1918"/>
      <c r="W873" s="1918"/>
      <c r="X873" s="1918"/>
      <c r="Y873" s="1918"/>
      <c r="Z873" s="1918"/>
      <c r="AA873" s="1918"/>
      <c r="AB873" s="1918"/>
      <c r="AC873" s="1918"/>
      <c r="AD873" s="1918"/>
      <c r="AE873" s="1918"/>
    </row>
    <row r="874" spans="1:31" ht="15.75" customHeight="1">
      <c r="A874" s="1918"/>
      <c r="B874" s="1918"/>
      <c r="C874" s="1918"/>
      <c r="D874" s="1918"/>
      <c r="E874" s="1918"/>
      <c r="F874" s="1918"/>
      <c r="G874" s="1918"/>
      <c r="H874" s="1918"/>
      <c r="I874" s="1918"/>
      <c r="J874" s="1918"/>
      <c r="K874" s="1918"/>
      <c r="L874" s="1918"/>
      <c r="M874" s="1918"/>
      <c r="N874" s="1918"/>
      <c r="O874" s="1918"/>
      <c r="P874" s="1918"/>
      <c r="Q874" s="1918"/>
      <c r="R874" s="1918"/>
      <c r="S874" s="1918"/>
      <c r="T874" s="1918"/>
      <c r="U874" s="1918"/>
      <c r="V874" s="1918"/>
      <c r="W874" s="1918"/>
      <c r="X874" s="1918"/>
      <c r="Y874" s="1918"/>
      <c r="Z874" s="1918"/>
      <c r="AA874" s="1918"/>
      <c r="AB874" s="1918"/>
      <c r="AC874" s="1918"/>
      <c r="AD874" s="1918"/>
      <c r="AE874" s="1918"/>
    </row>
    <row r="875" spans="1:31" ht="15.75" customHeight="1">
      <c r="A875" s="1918"/>
      <c r="B875" s="1918"/>
      <c r="C875" s="1918"/>
      <c r="D875" s="1918"/>
      <c r="E875" s="1918"/>
      <c r="F875" s="1918"/>
      <c r="G875" s="1918"/>
      <c r="H875" s="1918"/>
      <c r="I875" s="1918"/>
      <c r="J875" s="1918"/>
      <c r="K875" s="1918"/>
      <c r="L875" s="1918"/>
      <c r="M875" s="1918"/>
      <c r="N875" s="1918"/>
      <c r="O875" s="1918"/>
      <c r="P875" s="1918"/>
      <c r="Q875" s="1918"/>
      <c r="R875" s="1918"/>
      <c r="S875" s="1918"/>
      <c r="T875" s="1918"/>
      <c r="U875" s="1918"/>
      <c r="V875" s="1918"/>
      <c r="W875" s="1918"/>
      <c r="X875" s="1918"/>
      <c r="Y875" s="1918"/>
      <c r="Z875" s="1918"/>
      <c r="AA875" s="1918"/>
      <c r="AB875" s="1918"/>
      <c r="AC875" s="1918"/>
      <c r="AD875" s="1918"/>
      <c r="AE875" s="1918"/>
    </row>
    <row r="876" spans="1:31" ht="15.75" customHeight="1">
      <c r="A876" s="1918"/>
      <c r="B876" s="1918"/>
      <c r="C876" s="1918"/>
      <c r="D876" s="1918"/>
      <c r="E876" s="1918"/>
      <c r="F876" s="1918"/>
      <c r="G876" s="1918"/>
      <c r="H876" s="1918"/>
      <c r="I876" s="1918"/>
      <c r="J876" s="1918"/>
      <c r="K876" s="1918"/>
      <c r="L876" s="1918"/>
      <c r="M876" s="1918"/>
      <c r="N876" s="1918"/>
      <c r="O876" s="1918"/>
      <c r="P876" s="1918"/>
      <c r="Q876" s="1918"/>
      <c r="R876" s="1918"/>
      <c r="S876" s="1918"/>
      <c r="T876" s="1918"/>
      <c r="U876" s="1918"/>
      <c r="V876" s="1918"/>
      <c r="W876" s="1918"/>
      <c r="X876" s="1918"/>
      <c r="Y876" s="1918"/>
      <c r="Z876" s="1918"/>
      <c r="AA876" s="1918"/>
      <c r="AB876" s="1918"/>
      <c r="AC876" s="1918"/>
      <c r="AD876" s="1918"/>
      <c r="AE876" s="1918"/>
    </row>
    <row r="877" spans="1:31" ht="15.75" customHeight="1">
      <c r="A877" s="1918"/>
      <c r="B877" s="1918"/>
      <c r="C877" s="1918"/>
      <c r="D877" s="1918"/>
      <c r="E877" s="1918"/>
      <c r="F877" s="1918"/>
      <c r="G877" s="1918"/>
      <c r="H877" s="1918"/>
      <c r="I877" s="1918"/>
      <c r="J877" s="1918"/>
      <c r="K877" s="1918"/>
      <c r="L877" s="1918"/>
      <c r="M877" s="1918"/>
      <c r="N877" s="1918"/>
      <c r="O877" s="1918"/>
      <c r="P877" s="1918"/>
      <c r="Q877" s="1918"/>
      <c r="R877" s="1918"/>
      <c r="S877" s="1918"/>
      <c r="T877" s="1918"/>
      <c r="U877" s="1918"/>
      <c r="V877" s="1918"/>
      <c r="W877" s="1918"/>
      <c r="X877" s="1918"/>
      <c r="Y877" s="1918"/>
      <c r="Z877" s="1918"/>
      <c r="AA877" s="1918"/>
      <c r="AB877" s="1918"/>
      <c r="AC877" s="1918"/>
      <c r="AD877" s="1918"/>
      <c r="AE877" s="1918"/>
    </row>
    <row r="878" spans="1:31" ht="15.75" customHeight="1">
      <c r="A878" s="1918"/>
      <c r="B878" s="1918"/>
      <c r="C878" s="1918"/>
      <c r="D878" s="1918"/>
      <c r="E878" s="1918"/>
      <c r="F878" s="1918"/>
      <c r="G878" s="1918"/>
      <c r="H878" s="1918"/>
      <c r="I878" s="1918"/>
      <c r="J878" s="1918"/>
      <c r="K878" s="1918"/>
      <c r="L878" s="1918"/>
      <c r="M878" s="1918"/>
      <c r="N878" s="1918"/>
      <c r="O878" s="1918"/>
      <c r="P878" s="1918"/>
      <c r="Q878" s="1918"/>
      <c r="R878" s="1918"/>
      <c r="S878" s="1918"/>
      <c r="T878" s="1918"/>
      <c r="U878" s="1918"/>
      <c r="V878" s="1918"/>
      <c r="W878" s="1918"/>
      <c r="X878" s="1918"/>
      <c r="Y878" s="1918"/>
      <c r="Z878" s="1918"/>
      <c r="AA878" s="1918"/>
      <c r="AB878" s="1918"/>
      <c r="AC878" s="1918"/>
      <c r="AD878" s="1918"/>
      <c r="AE878" s="1918"/>
    </row>
    <row r="879" spans="1:31" ht="15.75" customHeight="1">
      <c r="A879" s="1918"/>
      <c r="B879" s="1918"/>
      <c r="C879" s="1918"/>
      <c r="D879" s="1918"/>
      <c r="E879" s="1918"/>
      <c r="F879" s="1918"/>
      <c r="G879" s="1918"/>
      <c r="H879" s="1918"/>
      <c r="I879" s="1918"/>
      <c r="J879" s="1918"/>
      <c r="K879" s="1918"/>
      <c r="L879" s="1918"/>
      <c r="M879" s="1918"/>
      <c r="N879" s="1918"/>
      <c r="O879" s="1918"/>
      <c r="P879" s="1918"/>
      <c r="Q879" s="1918"/>
      <c r="R879" s="1918"/>
      <c r="S879" s="1918"/>
      <c r="T879" s="1918"/>
      <c r="U879" s="1918"/>
      <c r="V879" s="1918"/>
      <c r="W879" s="1918"/>
      <c r="X879" s="1918"/>
      <c r="Y879" s="1918"/>
      <c r="Z879" s="1918"/>
      <c r="AA879" s="1918"/>
      <c r="AB879" s="1918"/>
      <c r="AC879" s="1918"/>
      <c r="AD879" s="1918"/>
      <c r="AE879" s="1918"/>
    </row>
    <row r="880" spans="1:31" ht="15.75" customHeight="1">
      <c r="A880" s="1918"/>
      <c r="B880" s="1918"/>
      <c r="C880" s="1918"/>
      <c r="D880" s="1918"/>
      <c r="E880" s="1918"/>
      <c r="F880" s="1918"/>
      <c r="G880" s="1918"/>
      <c r="H880" s="1918"/>
      <c r="I880" s="1918"/>
      <c r="J880" s="1918"/>
      <c r="K880" s="1918"/>
      <c r="L880" s="1918"/>
      <c r="M880" s="1918"/>
      <c r="N880" s="1918"/>
      <c r="O880" s="1918"/>
      <c r="P880" s="1918"/>
      <c r="Q880" s="1918"/>
      <c r="R880" s="1918"/>
      <c r="S880" s="1918"/>
      <c r="T880" s="1918"/>
      <c r="U880" s="1918"/>
      <c r="V880" s="1918"/>
      <c r="W880" s="1918"/>
      <c r="X880" s="1918"/>
      <c r="Y880" s="1918"/>
      <c r="Z880" s="1918"/>
      <c r="AA880" s="1918"/>
      <c r="AB880" s="1918"/>
      <c r="AC880" s="1918"/>
      <c r="AD880" s="1918"/>
      <c r="AE880" s="1918"/>
    </row>
    <row r="881" spans="1:31" ht="15.75" customHeight="1">
      <c r="A881" s="1918"/>
      <c r="B881" s="1918"/>
      <c r="C881" s="1918"/>
      <c r="D881" s="1918"/>
      <c r="E881" s="1918"/>
      <c r="F881" s="1918"/>
      <c r="G881" s="1918"/>
      <c r="H881" s="1918"/>
      <c r="I881" s="1918"/>
      <c r="J881" s="1918"/>
      <c r="K881" s="1918"/>
      <c r="L881" s="1918"/>
      <c r="M881" s="1918"/>
      <c r="N881" s="1918"/>
      <c r="O881" s="1918"/>
      <c r="P881" s="1918"/>
      <c r="Q881" s="1918"/>
      <c r="R881" s="1918"/>
      <c r="S881" s="1918"/>
      <c r="T881" s="1918"/>
      <c r="U881" s="1918"/>
      <c r="V881" s="1918"/>
      <c r="W881" s="1918"/>
      <c r="X881" s="1918"/>
      <c r="Y881" s="1918"/>
      <c r="Z881" s="1918"/>
      <c r="AA881" s="1918"/>
      <c r="AB881" s="1918"/>
      <c r="AC881" s="1918"/>
      <c r="AD881" s="1918"/>
      <c r="AE881" s="1918"/>
    </row>
    <row r="882" spans="1:31" ht="15.75" customHeight="1">
      <c r="A882" s="1918"/>
      <c r="B882" s="1918"/>
      <c r="C882" s="1918"/>
      <c r="D882" s="1918"/>
      <c r="E882" s="1918"/>
      <c r="F882" s="1918"/>
      <c r="G882" s="1918"/>
      <c r="H882" s="1918"/>
      <c r="I882" s="1918"/>
      <c r="J882" s="1918"/>
      <c r="K882" s="1918"/>
      <c r="L882" s="1918"/>
      <c r="M882" s="1918"/>
      <c r="N882" s="1918"/>
      <c r="O882" s="1918"/>
      <c r="P882" s="1918"/>
      <c r="Q882" s="1918"/>
      <c r="R882" s="1918"/>
      <c r="S882" s="1918"/>
      <c r="T882" s="1918"/>
      <c r="U882" s="1918"/>
      <c r="V882" s="1918"/>
      <c r="W882" s="1918"/>
      <c r="X882" s="1918"/>
      <c r="Y882" s="1918"/>
      <c r="Z882" s="1918"/>
      <c r="AA882" s="1918"/>
      <c r="AB882" s="1918"/>
      <c r="AC882" s="1918"/>
      <c r="AD882" s="1918"/>
      <c r="AE882" s="1918"/>
    </row>
    <row r="883" spans="1:31" ht="15.75" customHeight="1">
      <c r="A883" s="1918"/>
      <c r="B883" s="1918"/>
      <c r="C883" s="1918"/>
      <c r="D883" s="1918"/>
      <c r="E883" s="1918"/>
      <c r="F883" s="1918"/>
      <c r="G883" s="1918"/>
      <c r="H883" s="1918"/>
      <c r="I883" s="1918"/>
      <c r="J883" s="1918"/>
      <c r="K883" s="1918"/>
      <c r="L883" s="1918"/>
      <c r="M883" s="1918"/>
      <c r="N883" s="1918"/>
      <c r="O883" s="1918"/>
      <c r="P883" s="1918"/>
      <c r="Q883" s="1918"/>
      <c r="R883" s="1918"/>
      <c r="S883" s="1918"/>
      <c r="T883" s="1918"/>
      <c r="U883" s="1918"/>
      <c r="V883" s="1918"/>
      <c r="W883" s="1918"/>
      <c r="X883" s="1918"/>
      <c r="Y883" s="1918"/>
      <c r="Z883" s="1918"/>
      <c r="AA883" s="1918"/>
      <c r="AB883" s="1918"/>
      <c r="AC883" s="1918"/>
      <c r="AD883" s="1918"/>
      <c r="AE883" s="1918"/>
    </row>
    <row r="884" spans="1:31" ht="15.75" customHeight="1">
      <c r="A884" s="1918"/>
      <c r="B884" s="1918"/>
      <c r="C884" s="1918"/>
      <c r="D884" s="1918"/>
      <c r="E884" s="1918"/>
      <c r="F884" s="1918"/>
      <c r="G884" s="1918"/>
      <c r="H884" s="1918"/>
      <c r="I884" s="1918"/>
      <c r="J884" s="1918"/>
      <c r="K884" s="1918"/>
      <c r="L884" s="1918"/>
      <c r="M884" s="1918"/>
      <c r="N884" s="1918"/>
      <c r="O884" s="1918"/>
      <c r="P884" s="1918"/>
      <c r="Q884" s="1918"/>
      <c r="R884" s="1918"/>
      <c r="S884" s="1918"/>
      <c r="T884" s="1918"/>
      <c r="U884" s="1918"/>
      <c r="V884" s="1918"/>
      <c r="W884" s="1918"/>
      <c r="X884" s="1918"/>
      <c r="Y884" s="1918"/>
      <c r="Z884" s="1918"/>
      <c r="AA884" s="1918"/>
      <c r="AB884" s="1918"/>
      <c r="AC884" s="1918"/>
      <c r="AD884" s="1918"/>
      <c r="AE884" s="1918"/>
    </row>
    <row r="885" spans="1:31" ht="15.75" customHeight="1">
      <c r="A885" s="1918"/>
      <c r="B885" s="1918"/>
      <c r="C885" s="1918"/>
      <c r="D885" s="1918"/>
      <c r="E885" s="1918"/>
      <c r="F885" s="1918"/>
      <c r="G885" s="1918"/>
      <c r="H885" s="1918"/>
      <c r="I885" s="1918"/>
      <c r="J885" s="1918"/>
      <c r="K885" s="1918"/>
      <c r="L885" s="1918"/>
      <c r="M885" s="1918"/>
      <c r="N885" s="1918"/>
      <c r="O885" s="1918"/>
      <c r="P885" s="1918"/>
      <c r="Q885" s="1918"/>
      <c r="R885" s="1918"/>
      <c r="S885" s="1918"/>
      <c r="T885" s="1918"/>
      <c r="U885" s="1918"/>
      <c r="V885" s="1918"/>
      <c r="W885" s="1918"/>
      <c r="X885" s="1918"/>
      <c r="Y885" s="1918"/>
      <c r="Z885" s="1918"/>
      <c r="AA885" s="1918"/>
      <c r="AB885" s="1918"/>
      <c r="AC885" s="1918"/>
      <c r="AD885" s="1918"/>
      <c r="AE885" s="1918"/>
    </row>
    <row r="886" spans="1:31" ht="15.75" customHeight="1">
      <c r="A886" s="1918"/>
      <c r="B886" s="1918"/>
      <c r="C886" s="1918"/>
      <c r="D886" s="1918"/>
      <c r="E886" s="1918"/>
      <c r="F886" s="1918"/>
      <c r="G886" s="1918"/>
      <c r="H886" s="1918"/>
      <c r="I886" s="1918"/>
      <c r="J886" s="1918"/>
      <c r="K886" s="1918"/>
      <c r="L886" s="1918"/>
      <c r="M886" s="1918"/>
      <c r="N886" s="1918"/>
      <c r="O886" s="1918"/>
      <c r="P886" s="1918"/>
      <c r="Q886" s="1918"/>
      <c r="R886" s="1918"/>
      <c r="S886" s="1918"/>
      <c r="T886" s="1918"/>
      <c r="U886" s="1918"/>
      <c r="V886" s="1918"/>
      <c r="W886" s="1918"/>
      <c r="X886" s="1918"/>
      <c r="Y886" s="1918"/>
      <c r="Z886" s="1918"/>
      <c r="AA886" s="1918"/>
      <c r="AB886" s="1918"/>
      <c r="AC886" s="1918"/>
      <c r="AD886" s="1918"/>
      <c r="AE886" s="1918"/>
    </row>
    <row r="887" spans="1:31" ht="15.75" customHeight="1">
      <c r="A887" s="1918"/>
      <c r="B887" s="1918"/>
      <c r="C887" s="1918"/>
      <c r="D887" s="1918"/>
      <c r="E887" s="1918"/>
      <c r="F887" s="1918"/>
      <c r="G887" s="1918"/>
      <c r="H887" s="1918"/>
      <c r="I887" s="1918"/>
      <c r="J887" s="1918"/>
      <c r="K887" s="1918"/>
      <c r="L887" s="1918"/>
      <c r="M887" s="1918"/>
      <c r="N887" s="1918"/>
      <c r="O887" s="1918"/>
      <c r="P887" s="1918"/>
      <c r="Q887" s="1918"/>
      <c r="R887" s="1918"/>
      <c r="S887" s="1918"/>
      <c r="T887" s="1918"/>
      <c r="U887" s="1918"/>
      <c r="V887" s="1918"/>
      <c r="W887" s="1918"/>
      <c r="X887" s="1918"/>
      <c r="Y887" s="1918"/>
      <c r="Z887" s="1918"/>
      <c r="AA887" s="1918"/>
      <c r="AB887" s="1918"/>
      <c r="AC887" s="1918"/>
      <c r="AD887" s="1918"/>
      <c r="AE887" s="1918"/>
    </row>
    <row r="888" spans="1:31" ht="15.75" customHeight="1">
      <c r="A888" s="1918"/>
      <c r="B888" s="1918"/>
      <c r="C888" s="1918"/>
      <c r="D888" s="1918"/>
      <c r="E888" s="1918"/>
      <c r="F888" s="1918"/>
      <c r="G888" s="1918"/>
      <c r="H888" s="1918"/>
      <c r="I888" s="1918"/>
      <c r="J888" s="1918"/>
      <c r="K888" s="1918"/>
      <c r="L888" s="1918"/>
      <c r="M888" s="1918"/>
      <c r="N888" s="1918"/>
      <c r="O888" s="1918"/>
      <c r="P888" s="1918"/>
      <c r="Q888" s="1918"/>
      <c r="R888" s="1918"/>
      <c r="S888" s="1918"/>
      <c r="T888" s="1918"/>
      <c r="U888" s="1918"/>
      <c r="V888" s="1918"/>
      <c r="W888" s="1918"/>
      <c r="X888" s="1918"/>
      <c r="Y888" s="1918"/>
      <c r="Z888" s="1918"/>
      <c r="AA888" s="1918"/>
      <c r="AB888" s="1918"/>
      <c r="AC888" s="1918"/>
      <c r="AD888" s="1918"/>
      <c r="AE888" s="1918"/>
    </row>
    <row r="889" spans="1:31" ht="15.75" customHeight="1">
      <c r="A889" s="1918"/>
      <c r="B889" s="1918"/>
      <c r="C889" s="1918"/>
      <c r="D889" s="1918"/>
      <c r="E889" s="1918"/>
      <c r="F889" s="1918"/>
      <c r="G889" s="1918"/>
      <c r="H889" s="1918"/>
      <c r="I889" s="1918"/>
      <c r="J889" s="1918"/>
      <c r="K889" s="1918"/>
      <c r="L889" s="1918"/>
      <c r="M889" s="1918"/>
      <c r="N889" s="1918"/>
      <c r="O889" s="1918"/>
      <c r="P889" s="1918"/>
      <c r="Q889" s="1918"/>
      <c r="R889" s="1918"/>
      <c r="S889" s="1918"/>
      <c r="T889" s="1918"/>
      <c r="U889" s="1918"/>
      <c r="V889" s="1918"/>
      <c r="W889" s="1918"/>
      <c r="X889" s="1918"/>
      <c r="Y889" s="1918"/>
      <c r="Z889" s="1918"/>
      <c r="AA889" s="1918"/>
      <c r="AB889" s="1918"/>
      <c r="AC889" s="1918"/>
      <c r="AD889" s="1918"/>
      <c r="AE889" s="1918"/>
    </row>
    <row r="890" spans="1:31" ht="15.75" customHeight="1">
      <c r="A890" s="1918"/>
      <c r="B890" s="1918"/>
      <c r="C890" s="1918"/>
      <c r="D890" s="1918"/>
      <c r="E890" s="1918"/>
      <c r="F890" s="1918"/>
      <c r="G890" s="1918"/>
      <c r="H890" s="1918"/>
      <c r="I890" s="1918"/>
      <c r="J890" s="1918"/>
      <c r="K890" s="1918"/>
      <c r="L890" s="1918"/>
      <c r="M890" s="1918"/>
      <c r="N890" s="1918"/>
      <c r="O890" s="1918"/>
      <c r="P890" s="1918"/>
      <c r="Q890" s="1918"/>
      <c r="R890" s="1918"/>
      <c r="S890" s="1918"/>
      <c r="T890" s="1918"/>
      <c r="U890" s="1918"/>
      <c r="V890" s="1918"/>
      <c r="W890" s="1918"/>
      <c r="X890" s="1918"/>
      <c r="Y890" s="1918"/>
      <c r="Z890" s="1918"/>
      <c r="AA890" s="1918"/>
      <c r="AB890" s="1918"/>
      <c r="AC890" s="1918"/>
      <c r="AD890" s="1918"/>
      <c r="AE890" s="1918"/>
    </row>
    <row r="891" spans="1:31" ht="15.75" customHeight="1">
      <c r="A891" s="1918"/>
      <c r="B891" s="1918"/>
      <c r="C891" s="1918"/>
      <c r="D891" s="1918"/>
      <c r="E891" s="1918"/>
      <c r="F891" s="1918"/>
      <c r="G891" s="1918"/>
      <c r="H891" s="1918"/>
      <c r="I891" s="1918"/>
      <c r="J891" s="1918"/>
      <c r="K891" s="1918"/>
      <c r="L891" s="1918"/>
      <c r="M891" s="1918"/>
      <c r="N891" s="1918"/>
      <c r="O891" s="1918"/>
      <c r="P891" s="1918"/>
      <c r="Q891" s="1918"/>
      <c r="R891" s="1918"/>
      <c r="S891" s="1918"/>
      <c r="T891" s="1918"/>
      <c r="U891" s="1918"/>
      <c r="V891" s="1918"/>
      <c r="W891" s="1918"/>
      <c r="X891" s="1918"/>
      <c r="Y891" s="1918"/>
      <c r="Z891" s="1918"/>
      <c r="AA891" s="1918"/>
      <c r="AB891" s="1918"/>
      <c r="AC891" s="1918"/>
      <c r="AD891" s="1918"/>
      <c r="AE891" s="1918"/>
    </row>
    <row r="892" spans="1:31" ht="15.75" customHeight="1">
      <c r="A892" s="1918"/>
      <c r="B892" s="1918"/>
      <c r="C892" s="1918"/>
      <c r="D892" s="1918"/>
      <c r="E892" s="1918"/>
      <c r="F892" s="1918"/>
      <c r="G892" s="1918"/>
      <c r="H892" s="1918"/>
      <c r="I892" s="1918"/>
      <c r="J892" s="1918"/>
      <c r="K892" s="1918"/>
      <c r="L892" s="1918"/>
      <c r="M892" s="1918"/>
      <c r="N892" s="1918"/>
      <c r="O892" s="1918"/>
      <c r="P892" s="1918"/>
      <c r="Q892" s="1918"/>
      <c r="R892" s="1918"/>
      <c r="S892" s="1918"/>
      <c r="T892" s="1918"/>
      <c r="U892" s="1918"/>
      <c r="V892" s="1918"/>
      <c r="W892" s="1918"/>
      <c r="X892" s="1918"/>
      <c r="Y892" s="1918"/>
      <c r="Z892" s="1918"/>
      <c r="AA892" s="1918"/>
      <c r="AB892" s="1918"/>
      <c r="AC892" s="1918"/>
      <c r="AD892" s="1918"/>
      <c r="AE892" s="1918"/>
    </row>
    <row r="893" spans="1:31" ht="15.75" customHeight="1">
      <c r="A893" s="1918"/>
      <c r="B893" s="1918"/>
      <c r="C893" s="1918"/>
      <c r="D893" s="1918"/>
      <c r="E893" s="1918"/>
      <c r="F893" s="1918"/>
      <c r="G893" s="1918"/>
      <c r="H893" s="1918"/>
      <c r="I893" s="1918"/>
      <c r="J893" s="1918"/>
      <c r="K893" s="1918"/>
      <c r="L893" s="1918"/>
      <c r="M893" s="1918"/>
      <c r="N893" s="1918"/>
      <c r="O893" s="1918"/>
      <c r="P893" s="1918"/>
      <c r="Q893" s="1918"/>
      <c r="R893" s="1918"/>
      <c r="S893" s="1918"/>
      <c r="T893" s="1918"/>
      <c r="U893" s="1918"/>
      <c r="V893" s="1918"/>
      <c r="W893" s="1918"/>
      <c r="X893" s="1918"/>
      <c r="Y893" s="1918"/>
      <c r="Z893" s="1918"/>
      <c r="AA893" s="1918"/>
      <c r="AB893" s="1918"/>
      <c r="AC893" s="1918"/>
      <c r="AD893" s="1918"/>
      <c r="AE893" s="1918"/>
    </row>
    <row r="894" spans="1:31" ht="15.75" customHeight="1">
      <c r="A894" s="1918"/>
      <c r="B894" s="1918"/>
      <c r="C894" s="1918"/>
      <c r="D894" s="1918"/>
      <c r="E894" s="1918"/>
      <c r="F894" s="1918"/>
      <c r="G894" s="1918"/>
      <c r="H894" s="1918"/>
      <c r="I894" s="1918"/>
      <c r="J894" s="1918"/>
      <c r="K894" s="1918"/>
      <c r="L894" s="1918"/>
      <c r="M894" s="1918"/>
      <c r="N894" s="1918"/>
      <c r="O894" s="1918"/>
      <c r="P894" s="1918"/>
      <c r="Q894" s="1918"/>
      <c r="R894" s="1918"/>
      <c r="S894" s="1918"/>
      <c r="T894" s="1918"/>
      <c r="U894" s="1918"/>
      <c r="V894" s="1918"/>
      <c r="W894" s="1918"/>
      <c r="X894" s="1918"/>
      <c r="Y894" s="1918"/>
      <c r="Z894" s="1918"/>
      <c r="AA894" s="1918"/>
      <c r="AB894" s="1918"/>
      <c r="AC894" s="1918"/>
      <c r="AD894" s="1918"/>
      <c r="AE894" s="1918"/>
    </row>
    <row r="895" spans="1:31" ht="15.75" customHeight="1">
      <c r="A895" s="1918"/>
      <c r="B895" s="1918"/>
      <c r="C895" s="1918"/>
      <c r="D895" s="1918"/>
      <c r="E895" s="1918"/>
      <c r="F895" s="1918"/>
      <c r="G895" s="1918"/>
      <c r="H895" s="1918"/>
      <c r="I895" s="1918"/>
      <c r="J895" s="1918"/>
      <c r="K895" s="1918"/>
      <c r="L895" s="1918"/>
      <c r="M895" s="1918"/>
      <c r="N895" s="1918"/>
      <c r="O895" s="1918"/>
      <c r="P895" s="1918"/>
      <c r="Q895" s="1918"/>
      <c r="R895" s="1918"/>
      <c r="S895" s="1918"/>
      <c r="T895" s="1918"/>
      <c r="U895" s="1918"/>
      <c r="V895" s="1918"/>
      <c r="W895" s="1918"/>
      <c r="X895" s="1918"/>
      <c r="Y895" s="1918"/>
      <c r="Z895" s="1918"/>
      <c r="AA895" s="1918"/>
      <c r="AB895" s="1918"/>
      <c r="AC895" s="1918"/>
      <c r="AD895" s="1918"/>
      <c r="AE895" s="1918"/>
    </row>
    <row r="896" spans="1:31" ht="15.75" customHeight="1">
      <c r="A896" s="1918"/>
      <c r="B896" s="1918"/>
      <c r="C896" s="1918"/>
      <c r="D896" s="1918"/>
      <c r="E896" s="1918"/>
      <c r="F896" s="1918"/>
      <c r="G896" s="1918"/>
      <c r="H896" s="1918"/>
      <c r="I896" s="1918"/>
      <c r="J896" s="1918"/>
      <c r="K896" s="1918"/>
      <c r="L896" s="1918"/>
      <c r="M896" s="1918"/>
      <c r="N896" s="1918"/>
      <c r="O896" s="1918"/>
      <c r="P896" s="1918"/>
      <c r="Q896" s="1918"/>
      <c r="R896" s="1918"/>
      <c r="S896" s="1918"/>
      <c r="T896" s="1918"/>
      <c r="U896" s="1918"/>
      <c r="V896" s="1918"/>
      <c r="W896" s="1918"/>
      <c r="X896" s="1918"/>
      <c r="Y896" s="1918"/>
      <c r="Z896" s="1918"/>
      <c r="AA896" s="1918"/>
      <c r="AB896" s="1918"/>
      <c r="AC896" s="1918"/>
      <c r="AD896" s="1918"/>
      <c r="AE896" s="1918"/>
    </row>
    <row r="897" spans="1:31" ht="15.75" customHeight="1">
      <c r="A897" s="1918"/>
      <c r="B897" s="1918"/>
      <c r="C897" s="1918"/>
      <c r="D897" s="1918"/>
      <c r="E897" s="1918"/>
      <c r="F897" s="1918"/>
      <c r="G897" s="1918"/>
      <c r="H897" s="1918"/>
      <c r="I897" s="1918"/>
      <c r="J897" s="1918"/>
      <c r="K897" s="1918"/>
      <c r="L897" s="1918"/>
      <c r="M897" s="1918"/>
      <c r="N897" s="1918"/>
      <c r="O897" s="1918"/>
      <c r="P897" s="1918"/>
      <c r="Q897" s="1918"/>
      <c r="R897" s="1918"/>
      <c r="S897" s="1918"/>
      <c r="T897" s="1918"/>
      <c r="U897" s="1918"/>
      <c r="V897" s="1918"/>
      <c r="W897" s="1918"/>
      <c r="X897" s="1918"/>
      <c r="Y897" s="1918"/>
      <c r="Z897" s="1918"/>
      <c r="AA897" s="1918"/>
      <c r="AB897" s="1918"/>
      <c r="AC897" s="1918"/>
      <c r="AD897" s="1918"/>
      <c r="AE897" s="1918"/>
    </row>
    <row r="898" spans="1:31" ht="15.75" customHeight="1">
      <c r="A898" s="1918"/>
      <c r="B898" s="1918"/>
      <c r="C898" s="1918"/>
      <c r="D898" s="1918"/>
      <c r="E898" s="1918"/>
      <c r="F898" s="1918"/>
      <c r="G898" s="1918"/>
      <c r="H898" s="1918"/>
      <c r="I898" s="1918"/>
      <c r="J898" s="1918"/>
      <c r="K898" s="1918"/>
      <c r="L898" s="1918"/>
      <c r="M898" s="1918"/>
      <c r="N898" s="1918"/>
      <c r="O898" s="1918"/>
      <c r="P898" s="1918"/>
      <c r="Q898" s="1918"/>
      <c r="R898" s="1918"/>
      <c r="S898" s="1918"/>
      <c r="T898" s="1918"/>
      <c r="U898" s="1918"/>
      <c r="V898" s="1918"/>
      <c r="W898" s="1918"/>
      <c r="X898" s="1918"/>
      <c r="Y898" s="1918"/>
      <c r="Z898" s="1918"/>
      <c r="AA898" s="1918"/>
      <c r="AB898" s="1918"/>
      <c r="AC898" s="1918"/>
      <c r="AD898" s="1918"/>
      <c r="AE898" s="1918"/>
    </row>
    <row r="899" spans="1:31" ht="15.75" customHeight="1">
      <c r="A899" s="1918"/>
      <c r="B899" s="1918"/>
      <c r="C899" s="1918"/>
      <c r="D899" s="1918"/>
      <c r="E899" s="1918"/>
      <c r="F899" s="1918"/>
      <c r="G899" s="1918"/>
      <c r="H899" s="1918"/>
      <c r="I899" s="1918"/>
      <c r="J899" s="1918"/>
      <c r="K899" s="1918"/>
      <c r="L899" s="1918"/>
      <c r="M899" s="1918"/>
      <c r="N899" s="1918"/>
      <c r="O899" s="1918"/>
      <c r="P899" s="1918"/>
      <c r="Q899" s="1918"/>
      <c r="R899" s="1918"/>
      <c r="S899" s="1918"/>
      <c r="T899" s="1918"/>
      <c r="U899" s="1918"/>
      <c r="V899" s="1918"/>
      <c r="W899" s="1918"/>
      <c r="X899" s="1918"/>
      <c r="Y899" s="1918"/>
      <c r="Z899" s="1918"/>
      <c r="AA899" s="1918"/>
      <c r="AB899" s="1918"/>
      <c r="AC899" s="1918"/>
      <c r="AD899" s="1918"/>
      <c r="AE899" s="1918"/>
    </row>
    <row r="900" spans="1:31" ht="15.75" customHeight="1">
      <c r="A900" s="1918"/>
      <c r="B900" s="1918"/>
      <c r="C900" s="1918"/>
      <c r="D900" s="1918"/>
      <c r="E900" s="1918"/>
      <c r="F900" s="1918"/>
      <c r="G900" s="1918"/>
      <c r="H900" s="1918"/>
      <c r="I900" s="1918"/>
      <c r="J900" s="1918"/>
      <c r="K900" s="1918"/>
      <c r="L900" s="1918"/>
      <c r="M900" s="1918"/>
      <c r="N900" s="1918"/>
      <c r="O900" s="1918"/>
      <c r="P900" s="1918"/>
      <c r="Q900" s="1918"/>
      <c r="R900" s="1918"/>
      <c r="S900" s="1918"/>
      <c r="T900" s="1918"/>
      <c r="U900" s="1918"/>
      <c r="V900" s="1918"/>
      <c r="W900" s="1918"/>
      <c r="X900" s="1918"/>
      <c r="Y900" s="1918"/>
      <c r="Z900" s="1918"/>
      <c r="AA900" s="1918"/>
      <c r="AB900" s="1918"/>
      <c r="AC900" s="1918"/>
      <c r="AD900" s="1918"/>
      <c r="AE900" s="1918"/>
    </row>
    <row r="901" spans="1:31" ht="15.75" customHeight="1">
      <c r="A901" s="1918"/>
      <c r="B901" s="1918"/>
      <c r="C901" s="1918"/>
      <c r="D901" s="1918"/>
      <c r="E901" s="1918"/>
      <c r="F901" s="1918"/>
      <c r="G901" s="1918"/>
      <c r="H901" s="1918"/>
      <c r="I901" s="1918"/>
      <c r="J901" s="1918"/>
      <c r="K901" s="1918"/>
      <c r="L901" s="1918"/>
      <c r="M901" s="1918"/>
      <c r="N901" s="1918"/>
      <c r="O901" s="1918"/>
      <c r="P901" s="1918"/>
      <c r="Q901" s="1918"/>
      <c r="R901" s="1918"/>
      <c r="S901" s="1918"/>
      <c r="T901" s="1918"/>
      <c r="U901" s="1918"/>
      <c r="V901" s="1918"/>
      <c r="W901" s="1918"/>
      <c r="X901" s="1918"/>
      <c r="Y901" s="1918"/>
      <c r="Z901" s="1918"/>
      <c r="AA901" s="1918"/>
      <c r="AB901" s="1918"/>
      <c r="AC901" s="1918"/>
      <c r="AD901" s="1918"/>
      <c r="AE901" s="1918"/>
    </row>
    <row r="902" spans="1:31" ht="15.75" customHeight="1">
      <c r="A902" s="1918"/>
      <c r="B902" s="1918"/>
      <c r="C902" s="1918"/>
      <c r="D902" s="1918"/>
      <c r="E902" s="1918"/>
      <c r="F902" s="1918"/>
      <c r="G902" s="1918"/>
      <c r="H902" s="1918"/>
      <c r="I902" s="1918"/>
      <c r="J902" s="1918"/>
      <c r="K902" s="1918"/>
      <c r="L902" s="1918"/>
      <c r="M902" s="1918"/>
      <c r="N902" s="1918"/>
      <c r="O902" s="1918"/>
      <c r="P902" s="1918"/>
      <c r="Q902" s="1918"/>
      <c r="R902" s="1918"/>
      <c r="S902" s="1918"/>
      <c r="T902" s="1918"/>
      <c r="U902" s="1918"/>
      <c r="V902" s="1918"/>
      <c r="W902" s="1918"/>
      <c r="X902" s="1918"/>
      <c r="Y902" s="1918"/>
      <c r="Z902" s="1918"/>
      <c r="AA902" s="1918"/>
      <c r="AB902" s="1918"/>
      <c r="AC902" s="1918"/>
      <c r="AD902" s="1918"/>
      <c r="AE902" s="1918"/>
    </row>
    <row r="903" spans="1:31" ht="15.75" customHeight="1">
      <c r="A903" s="1918"/>
      <c r="B903" s="1918"/>
      <c r="C903" s="1918"/>
      <c r="D903" s="1918"/>
      <c r="E903" s="1918"/>
      <c r="F903" s="1918"/>
      <c r="G903" s="1918"/>
      <c r="H903" s="1918"/>
      <c r="I903" s="1918"/>
      <c r="J903" s="1918"/>
      <c r="K903" s="1918"/>
      <c r="L903" s="1918"/>
      <c r="M903" s="1918"/>
      <c r="N903" s="1918"/>
      <c r="O903" s="1918"/>
      <c r="P903" s="1918"/>
      <c r="Q903" s="1918"/>
      <c r="R903" s="1918"/>
      <c r="S903" s="1918"/>
      <c r="T903" s="1918"/>
      <c r="U903" s="1918"/>
      <c r="V903" s="1918"/>
      <c r="W903" s="1918"/>
      <c r="X903" s="1918"/>
      <c r="Y903" s="1918"/>
      <c r="Z903" s="1918"/>
      <c r="AA903" s="1918"/>
      <c r="AB903" s="1918"/>
      <c r="AC903" s="1918"/>
      <c r="AD903" s="1918"/>
      <c r="AE903" s="1918"/>
    </row>
    <row r="904" spans="1:31" ht="15.75" customHeight="1">
      <c r="A904" s="1918"/>
      <c r="B904" s="1918"/>
      <c r="C904" s="1918"/>
      <c r="D904" s="1918"/>
      <c r="E904" s="1918"/>
      <c r="F904" s="1918"/>
      <c r="G904" s="1918"/>
      <c r="H904" s="1918"/>
      <c r="I904" s="1918"/>
      <c r="J904" s="1918"/>
      <c r="K904" s="1918"/>
      <c r="L904" s="1918"/>
      <c r="M904" s="1918"/>
      <c r="N904" s="1918"/>
      <c r="O904" s="1918"/>
      <c r="P904" s="1918"/>
      <c r="Q904" s="1918"/>
      <c r="R904" s="1918"/>
      <c r="S904" s="1918"/>
      <c r="T904" s="1918"/>
      <c r="U904" s="1918"/>
      <c r="V904" s="1918"/>
      <c r="W904" s="1918"/>
      <c r="X904" s="1918"/>
      <c r="Y904" s="1918"/>
      <c r="Z904" s="1918"/>
      <c r="AA904" s="1918"/>
      <c r="AB904" s="1918"/>
      <c r="AC904" s="1918"/>
      <c r="AD904" s="1918"/>
      <c r="AE904" s="1918"/>
    </row>
    <row r="905" spans="1:31" ht="15.75" customHeight="1">
      <c r="A905" s="1918"/>
      <c r="B905" s="1918"/>
      <c r="C905" s="1918"/>
      <c r="D905" s="1918"/>
      <c r="E905" s="1918"/>
      <c r="F905" s="1918"/>
      <c r="G905" s="1918"/>
      <c r="H905" s="1918"/>
      <c r="I905" s="1918"/>
      <c r="J905" s="1918"/>
      <c r="K905" s="1918"/>
      <c r="L905" s="1918"/>
      <c r="M905" s="1918"/>
      <c r="N905" s="1918"/>
      <c r="O905" s="1918"/>
      <c r="P905" s="1918"/>
      <c r="Q905" s="1918"/>
      <c r="R905" s="1918"/>
      <c r="S905" s="1918"/>
      <c r="T905" s="1918"/>
      <c r="U905" s="1918"/>
      <c r="V905" s="1918"/>
      <c r="W905" s="1918"/>
      <c r="X905" s="1918"/>
      <c r="Y905" s="1918"/>
      <c r="Z905" s="1918"/>
      <c r="AA905" s="1918"/>
      <c r="AB905" s="1918"/>
      <c r="AC905" s="1918"/>
      <c r="AD905" s="1918"/>
      <c r="AE905" s="1918"/>
    </row>
    <row r="906" spans="1:31" ht="15.75" customHeight="1">
      <c r="A906" s="1918"/>
      <c r="B906" s="1918"/>
      <c r="C906" s="1918"/>
      <c r="D906" s="1918"/>
      <c r="E906" s="1918"/>
      <c r="F906" s="1918"/>
      <c r="G906" s="1918"/>
      <c r="H906" s="1918"/>
      <c r="I906" s="1918"/>
      <c r="J906" s="1918"/>
      <c r="K906" s="1918"/>
      <c r="L906" s="1918"/>
      <c r="M906" s="1918"/>
      <c r="N906" s="1918"/>
      <c r="O906" s="1918"/>
      <c r="P906" s="1918"/>
      <c r="Q906" s="1918"/>
      <c r="R906" s="1918"/>
      <c r="S906" s="1918"/>
      <c r="T906" s="1918"/>
      <c r="U906" s="1918"/>
      <c r="V906" s="1918"/>
      <c r="W906" s="1918"/>
      <c r="X906" s="1918"/>
      <c r="Y906" s="1918"/>
      <c r="Z906" s="1918"/>
      <c r="AA906" s="1918"/>
      <c r="AB906" s="1918"/>
      <c r="AC906" s="1918"/>
      <c r="AD906" s="1918"/>
      <c r="AE906" s="1918"/>
    </row>
    <row r="907" spans="1:31" ht="15.75" customHeight="1">
      <c r="A907" s="1918"/>
      <c r="B907" s="1918"/>
      <c r="C907" s="1918"/>
      <c r="D907" s="1918"/>
      <c r="E907" s="1918"/>
      <c r="F907" s="1918"/>
      <c r="G907" s="1918"/>
      <c r="H907" s="1918"/>
      <c r="I907" s="1918"/>
      <c r="J907" s="1918"/>
      <c r="K907" s="1918"/>
      <c r="L907" s="1918"/>
      <c r="M907" s="1918"/>
      <c r="N907" s="1918"/>
      <c r="O907" s="1918"/>
      <c r="P907" s="1918"/>
      <c r="Q907" s="1918"/>
      <c r="R907" s="1918"/>
      <c r="S907" s="1918"/>
      <c r="T907" s="1918"/>
      <c r="U907" s="1918"/>
      <c r="V907" s="1918"/>
      <c r="W907" s="1918"/>
      <c r="X907" s="1918"/>
      <c r="Y907" s="1918"/>
      <c r="Z907" s="1918"/>
      <c r="AA907" s="1918"/>
      <c r="AB907" s="1918"/>
      <c r="AC907" s="1918"/>
      <c r="AD907" s="1918"/>
      <c r="AE907" s="1918"/>
    </row>
    <row r="908" spans="1:31" ht="15.75" customHeight="1">
      <c r="A908" s="1918"/>
      <c r="B908" s="1918"/>
      <c r="C908" s="1918"/>
      <c r="D908" s="1918"/>
      <c r="E908" s="1918"/>
      <c r="F908" s="1918"/>
      <c r="G908" s="1918"/>
      <c r="H908" s="1918"/>
      <c r="I908" s="1918"/>
      <c r="J908" s="1918"/>
      <c r="K908" s="1918"/>
      <c r="L908" s="1918"/>
      <c r="M908" s="1918"/>
      <c r="N908" s="1918"/>
      <c r="O908" s="1918"/>
      <c r="P908" s="1918"/>
      <c r="Q908" s="1918"/>
      <c r="R908" s="1918"/>
      <c r="S908" s="1918"/>
      <c r="T908" s="1918"/>
      <c r="U908" s="1918"/>
      <c r="V908" s="1918"/>
      <c r="W908" s="1918"/>
      <c r="X908" s="1918"/>
      <c r="Y908" s="1918"/>
      <c r="Z908" s="1918"/>
      <c r="AA908" s="1918"/>
      <c r="AB908" s="1918"/>
      <c r="AC908" s="1918"/>
      <c r="AD908" s="1918"/>
      <c r="AE908" s="1918"/>
    </row>
    <row r="909" spans="1:31" ht="15.75" customHeight="1">
      <c r="A909" s="1918"/>
      <c r="B909" s="1918"/>
      <c r="C909" s="1918"/>
      <c r="D909" s="1918"/>
      <c r="E909" s="1918"/>
      <c r="F909" s="1918"/>
      <c r="G909" s="1918"/>
      <c r="H909" s="1918"/>
      <c r="I909" s="1918"/>
      <c r="J909" s="1918"/>
      <c r="K909" s="1918"/>
      <c r="L909" s="1918"/>
      <c r="M909" s="1918"/>
      <c r="N909" s="1918"/>
      <c r="O909" s="1918"/>
      <c r="P909" s="1918"/>
      <c r="Q909" s="1918"/>
      <c r="R909" s="1918"/>
      <c r="S909" s="1918"/>
      <c r="T909" s="1918"/>
      <c r="U909" s="1918"/>
      <c r="V909" s="1918"/>
      <c r="W909" s="1918"/>
      <c r="X909" s="1918"/>
      <c r="Y909" s="1918"/>
      <c r="Z909" s="1918"/>
      <c r="AA909" s="1918"/>
      <c r="AB909" s="1918"/>
      <c r="AC909" s="1918"/>
      <c r="AD909" s="1918"/>
      <c r="AE909" s="1918"/>
    </row>
    <row r="910" spans="1:31" ht="15.75" customHeight="1">
      <c r="A910" s="1918"/>
      <c r="B910" s="1918"/>
      <c r="C910" s="1918"/>
      <c r="D910" s="1918"/>
      <c r="E910" s="1918"/>
      <c r="F910" s="1918"/>
      <c r="G910" s="1918"/>
      <c r="H910" s="1918"/>
      <c r="I910" s="1918"/>
      <c r="J910" s="1918"/>
      <c r="K910" s="1918"/>
      <c r="L910" s="1918"/>
      <c r="M910" s="1918"/>
      <c r="N910" s="1918"/>
      <c r="O910" s="1918"/>
      <c r="P910" s="1918"/>
      <c r="Q910" s="1918"/>
      <c r="R910" s="1918"/>
      <c r="S910" s="1918"/>
      <c r="T910" s="1918"/>
      <c r="U910" s="1918"/>
      <c r="V910" s="1918"/>
      <c r="W910" s="1918"/>
      <c r="X910" s="1918"/>
      <c r="Y910" s="1918"/>
      <c r="Z910" s="1918"/>
      <c r="AA910" s="1918"/>
      <c r="AB910" s="1918"/>
      <c r="AC910" s="1918"/>
      <c r="AD910" s="1918"/>
      <c r="AE910" s="1918"/>
    </row>
    <row r="911" spans="1:31" ht="15.75" customHeight="1">
      <c r="A911" s="1918"/>
      <c r="B911" s="1918"/>
      <c r="C911" s="1918"/>
      <c r="D911" s="1918"/>
      <c r="E911" s="1918"/>
      <c r="F911" s="1918"/>
      <c r="G911" s="1918"/>
      <c r="H911" s="1918"/>
      <c r="I911" s="1918"/>
      <c r="J911" s="1918"/>
      <c r="K911" s="1918"/>
      <c r="L911" s="1918"/>
      <c r="M911" s="1918"/>
      <c r="N911" s="1918"/>
      <c r="O911" s="1918"/>
      <c r="P911" s="1918"/>
      <c r="Q911" s="1918"/>
      <c r="R911" s="1918"/>
      <c r="S911" s="1918"/>
      <c r="T911" s="1918"/>
      <c r="U911" s="1918"/>
      <c r="V911" s="1918"/>
      <c r="W911" s="1918"/>
      <c r="X911" s="1918"/>
      <c r="Y911" s="1918"/>
      <c r="Z911" s="1918"/>
      <c r="AA911" s="1918"/>
      <c r="AB911" s="1918"/>
      <c r="AC911" s="1918"/>
      <c r="AD911" s="1918"/>
      <c r="AE911" s="1918"/>
    </row>
    <row r="912" spans="1:31" ht="15.75" customHeight="1">
      <c r="A912" s="1918"/>
      <c r="B912" s="1918"/>
      <c r="C912" s="1918"/>
      <c r="D912" s="1918"/>
      <c r="E912" s="1918"/>
      <c r="F912" s="1918"/>
      <c r="G912" s="1918"/>
      <c r="H912" s="1918"/>
      <c r="I912" s="1918"/>
      <c r="J912" s="1918"/>
      <c r="K912" s="1918"/>
      <c r="L912" s="1918"/>
      <c r="M912" s="1918"/>
      <c r="N912" s="1918"/>
      <c r="O912" s="1918"/>
      <c r="P912" s="1918"/>
      <c r="Q912" s="1918"/>
      <c r="R912" s="1918"/>
      <c r="S912" s="1918"/>
      <c r="T912" s="1918"/>
      <c r="U912" s="1918"/>
      <c r="V912" s="1918"/>
      <c r="W912" s="1918"/>
      <c r="X912" s="1918"/>
      <c r="Y912" s="1918"/>
      <c r="Z912" s="1918"/>
      <c r="AA912" s="1918"/>
      <c r="AB912" s="1918"/>
      <c r="AC912" s="1918"/>
      <c r="AD912" s="1918"/>
      <c r="AE912" s="1918"/>
    </row>
    <row r="913" spans="1:31" ht="15.75" customHeight="1">
      <c r="A913" s="1918"/>
      <c r="B913" s="1918"/>
      <c r="C913" s="1918"/>
      <c r="D913" s="1918"/>
      <c r="E913" s="1918"/>
      <c r="F913" s="1918"/>
      <c r="G913" s="1918"/>
      <c r="H913" s="1918"/>
      <c r="I913" s="1918"/>
      <c r="J913" s="1918"/>
      <c r="K913" s="1918"/>
      <c r="L913" s="1918"/>
      <c r="M913" s="1918"/>
      <c r="N913" s="1918"/>
      <c r="O913" s="1918"/>
      <c r="P913" s="1918"/>
      <c r="Q913" s="1918"/>
      <c r="R913" s="1918"/>
      <c r="S913" s="1918"/>
      <c r="T913" s="1918"/>
      <c r="U913" s="1918"/>
      <c r="V913" s="1918"/>
      <c r="W913" s="1918"/>
      <c r="X913" s="1918"/>
      <c r="Y913" s="1918"/>
      <c r="Z913" s="1918"/>
      <c r="AA913" s="1918"/>
      <c r="AB913" s="1918"/>
      <c r="AC913" s="1918"/>
      <c r="AD913" s="1918"/>
      <c r="AE913" s="1918"/>
    </row>
    <row r="914" spans="1:31" ht="15.75" customHeight="1">
      <c r="A914" s="1918"/>
      <c r="B914" s="1918"/>
      <c r="C914" s="1918"/>
      <c r="D914" s="1918"/>
      <c r="E914" s="1918"/>
      <c r="F914" s="1918"/>
      <c r="G914" s="1918"/>
      <c r="H914" s="1918"/>
      <c r="I914" s="1918"/>
      <c r="J914" s="1918"/>
      <c r="K914" s="1918"/>
      <c r="L914" s="1918"/>
      <c r="M914" s="1918"/>
      <c r="N914" s="1918"/>
      <c r="O914" s="1918"/>
      <c r="P914" s="1918"/>
      <c r="Q914" s="1918"/>
      <c r="R914" s="1918"/>
      <c r="S914" s="1918"/>
      <c r="T914" s="1918"/>
      <c r="U914" s="1918"/>
      <c r="V914" s="1918"/>
      <c r="W914" s="1918"/>
      <c r="X914" s="1918"/>
      <c r="Y914" s="1918"/>
      <c r="Z914" s="1918"/>
      <c r="AA914" s="1918"/>
      <c r="AB914" s="1918"/>
      <c r="AC914" s="1918"/>
      <c r="AD914" s="1918"/>
      <c r="AE914" s="1918"/>
    </row>
    <row r="915" spans="1:31" ht="15.75" customHeight="1">
      <c r="A915" s="1918"/>
      <c r="B915" s="1918"/>
      <c r="C915" s="1918"/>
      <c r="D915" s="1918"/>
      <c r="E915" s="1918"/>
      <c r="F915" s="1918"/>
      <c r="G915" s="1918"/>
      <c r="H915" s="1918"/>
      <c r="I915" s="1918"/>
      <c r="J915" s="1918"/>
      <c r="K915" s="1918"/>
      <c r="L915" s="1918"/>
      <c r="M915" s="1918"/>
      <c r="N915" s="1918"/>
      <c r="O915" s="1918"/>
      <c r="P915" s="1918"/>
      <c r="Q915" s="1918"/>
      <c r="R915" s="1918"/>
      <c r="S915" s="1918"/>
      <c r="T915" s="1918"/>
      <c r="U915" s="1918"/>
      <c r="V915" s="1918"/>
      <c r="W915" s="1918"/>
      <c r="X915" s="1918"/>
      <c r="Y915" s="1918"/>
      <c r="Z915" s="1918"/>
      <c r="AA915" s="1918"/>
      <c r="AB915" s="1918"/>
      <c r="AC915" s="1918"/>
      <c r="AD915" s="1918"/>
      <c r="AE915" s="1918"/>
    </row>
    <row r="916" spans="1:31" ht="15.75" customHeight="1">
      <c r="A916" s="1918"/>
      <c r="B916" s="1918"/>
      <c r="C916" s="1918"/>
      <c r="D916" s="1918"/>
      <c r="E916" s="1918"/>
      <c r="F916" s="1918"/>
      <c r="G916" s="1918"/>
      <c r="H916" s="1918"/>
      <c r="I916" s="1918"/>
      <c r="J916" s="1918"/>
      <c r="K916" s="1918"/>
      <c r="L916" s="1918"/>
      <c r="M916" s="1918"/>
      <c r="N916" s="1918"/>
      <c r="O916" s="1918"/>
      <c r="P916" s="1918"/>
      <c r="Q916" s="1918"/>
      <c r="R916" s="1918"/>
      <c r="S916" s="1918"/>
      <c r="T916" s="1918"/>
      <c r="U916" s="1918"/>
      <c r="V916" s="1918"/>
      <c r="W916" s="1918"/>
      <c r="X916" s="1918"/>
      <c r="Y916" s="1918"/>
      <c r="Z916" s="1918"/>
      <c r="AA916" s="1918"/>
      <c r="AB916" s="1918"/>
      <c r="AC916" s="1918"/>
      <c r="AD916" s="1918"/>
      <c r="AE916" s="1918"/>
    </row>
    <row r="917" spans="1:31" ht="15.75" customHeight="1">
      <c r="A917" s="1918"/>
      <c r="B917" s="1918"/>
      <c r="C917" s="1918"/>
      <c r="D917" s="1918"/>
      <c r="E917" s="1918"/>
      <c r="F917" s="1918"/>
      <c r="G917" s="1918"/>
      <c r="H917" s="1918"/>
      <c r="I917" s="1918"/>
      <c r="J917" s="1918"/>
      <c r="K917" s="1918"/>
      <c r="L917" s="1918"/>
      <c r="M917" s="1918"/>
      <c r="N917" s="1918"/>
      <c r="O917" s="1918"/>
      <c r="P917" s="1918"/>
      <c r="Q917" s="1918"/>
      <c r="R917" s="1918"/>
      <c r="S917" s="1918"/>
      <c r="T917" s="1918"/>
      <c r="U917" s="1918"/>
      <c r="V917" s="1918"/>
      <c r="W917" s="1918"/>
      <c r="X917" s="1918"/>
      <c r="Y917" s="1918"/>
      <c r="Z917" s="1918"/>
      <c r="AA917" s="1918"/>
      <c r="AB917" s="1918"/>
      <c r="AC917" s="1918"/>
      <c r="AD917" s="1918"/>
      <c r="AE917" s="1918"/>
    </row>
    <row r="918" spans="1:31" ht="15.75" customHeight="1">
      <c r="A918" s="1918"/>
      <c r="B918" s="1918"/>
      <c r="C918" s="1918"/>
      <c r="D918" s="1918"/>
      <c r="E918" s="1918"/>
      <c r="F918" s="1918"/>
      <c r="G918" s="1918"/>
      <c r="H918" s="1918"/>
      <c r="I918" s="1918"/>
      <c r="J918" s="1918"/>
      <c r="K918" s="1918"/>
      <c r="L918" s="1918"/>
      <c r="M918" s="1918"/>
      <c r="N918" s="1918"/>
      <c r="O918" s="1918"/>
      <c r="P918" s="1918"/>
      <c r="Q918" s="1918"/>
      <c r="R918" s="1918"/>
      <c r="S918" s="1918"/>
      <c r="T918" s="1918"/>
      <c r="U918" s="1918"/>
      <c r="V918" s="1918"/>
      <c r="W918" s="1918"/>
      <c r="X918" s="1918"/>
      <c r="Y918" s="1918"/>
      <c r="Z918" s="1918"/>
      <c r="AA918" s="1918"/>
      <c r="AB918" s="1918"/>
      <c r="AC918" s="1918"/>
      <c r="AD918" s="1918"/>
      <c r="AE918" s="1918"/>
    </row>
    <row r="919" spans="1:31" ht="15.75" customHeight="1">
      <c r="A919" s="1918"/>
      <c r="B919" s="1918"/>
      <c r="C919" s="1918"/>
      <c r="D919" s="1918"/>
      <c r="E919" s="1918"/>
      <c r="F919" s="1918"/>
      <c r="G919" s="1918"/>
      <c r="H919" s="1918"/>
      <c r="I919" s="1918"/>
      <c r="J919" s="1918"/>
      <c r="K919" s="1918"/>
      <c r="L919" s="1918"/>
      <c r="M919" s="1918"/>
      <c r="N919" s="1918"/>
      <c r="O919" s="1918"/>
      <c r="P919" s="1918"/>
      <c r="Q919" s="1918"/>
      <c r="R919" s="1918"/>
      <c r="S919" s="1918"/>
      <c r="T919" s="1918"/>
      <c r="U919" s="1918"/>
      <c r="V919" s="1918"/>
      <c r="W919" s="1918"/>
      <c r="X919" s="1918"/>
      <c r="Y919" s="1918"/>
      <c r="Z919" s="1918"/>
      <c r="AA919" s="1918"/>
      <c r="AB919" s="1918"/>
      <c r="AC919" s="1918"/>
      <c r="AD919" s="1918"/>
      <c r="AE919" s="1918"/>
    </row>
    <row r="920" spans="1:31" ht="15.75" customHeight="1">
      <c r="A920" s="1918"/>
      <c r="B920" s="1918"/>
      <c r="C920" s="1918"/>
      <c r="D920" s="1918"/>
      <c r="E920" s="1918"/>
      <c r="F920" s="1918"/>
      <c r="G920" s="1918"/>
      <c r="H920" s="1918"/>
      <c r="I920" s="1918"/>
      <c r="J920" s="1918"/>
      <c r="K920" s="1918"/>
      <c r="L920" s="1918"/>
      <c r="M920" s="1918"/>
      <c r="N920" s="1918"/>
      <c r="O920" s="1918"/>
      <c r="P920" s="1918"/>
      <c r="Q920" s="1918"/>
      <c r="R920" s="1918"/>
      <c r="S920" s="1918"/>
      <c r="T920" s="1918"/>
      <c r="U920" s="1918"/>
      <c r="V920" s="1918"/>
      <c r="W920" s="1918"/>
      <c r="X920" s="1918"/>
      <c r="Y920" s="1918"/>
      <c r="Z920" s="1918"/>
      <c r="AA920" s="1918"/>
      <c r="AB920" s="1918"/>
      <c r="AC920" s="1918"/>
      <c r="AD920" s="1918"/>
      <c r="AE920" s="1918"/>
    </row>
    <row r="921" spans="1:31" ht="15.75" customHeight="1">
      <c r="A921" s="1918"/>
      <c r="B921" s="1918"/>
      <c r="C921" s="1918"/>
      <c r="D921" s="1918"/>
      <c r="E921" s="1918"/>
      <c r="F921" s="1918"/>
      <c r="G921" s="1918"/>
      <c r="H921" s="1918"/>
      <c r="I921" s="1918"/>
      <c r="J921" s="1918"/>
      <c r="K921" s="1918"/>
      <c r="L921" s="1918"/>
      <c r="M921" s="1918"/>
      <c r="N921" s="1918"/>
      <c r="O921" s="1918"/>
      <c r="P921" s="1918"/>
      <c r="Q921" s="1918"/>
      <c r="R921" s="1918"/>
      <c r="S921" s="1918"/>
      <c r="T921" s="1918"/>
      <c r="U921" s="1918"/>
      <c r="V921" s="1918"/>
      <c r="W921" s="1918"/>
      <c r="X921" s="1918"/>
      <c r="Y921" s="1918"/>
      <c r="Z921" s="1918"/>
      <c r="AA921" s="1918"/>
      <c r="AB921" s="1918"/>
      <c r="AC921" s="1918"/>
      <c r="AD921" s="1918"/>
      <c r="AE921" s="1918"/>
    </row>
    <row r="922" spans="1:31" ht="15.75" customHeight="1">
      <c r="A922" s="1918"/>
      <c r="B922" s="1918"/>
      <c r="C922" s="1918"/>
      <c r="D922" s="1918"/>
      <c r="E922" s="1918"/>
      <c r="F922" s="1918"/>
      <c r="G922" s="1918"/>
      <c r="H922" s="1918"/>
      <c r="I922" s="1918"/>
      <c r="J922" s="1918"/>
      <c r="K922" s="1918"/>
      <c r="L922" s="1918"/>
      <c r="M922" s="1918"/>
      <c r="N922" s="1918"/>
      <c r="O922" s="1918"/>
      <c r="P922" s="1918"/>
      <c r="Q922" s="1918"/>
      <c r="R922" s="1918"/>
      <c r="S922" s="1918"/>
      <c r="T922" s="1918"/>
      <c r="U922" s="1918"/>
      <c r="V922" s="1918"/>
      <c r="W922" s="1918"/>
      <c r="X922" s="1918"/>
      <c r="Y922" s="1918"/>
      <c r="Z922" s="1918"/>
      <c r="AA922" s="1918"/>
      <c r="AB922" s="1918"/>
      <c r="AC922" s="1918"/>
      <c r="AD922" s="1918"/>
      <c r="AE922" s="1918"/>
    </row>
    <row r="923" spans="1:31" ht="15.75" customHeight="1">
      <c r="A923" s="1918"/>
      <c r="B923" s="1918"/>
      <c r="C923" s="1918"/>
      <c r="D923" s="1918"/>
      <c r="E923" s="1918"/>
      <c r="F923" s="1918"/>
      <c r="G923" s="1918"/>
      <c r="H923" s="1918"/>
      <c r="I923" s="1918"/>
      <c r="J923" s="1918"/>
      <c r="K923" s="1918"/>
      <c r="L923" s="1918"/>
      <c r="M923" s="1918"/>
      <c r="N923" s="1918"/>
      <c r="O923" s="1918"/>
      <c r="P923" s="1918"/>
      <c r="Q923" s="1918"/>
      <c r="R923" s="1918"/>
      <c r="S923" s="1918"/>
      <c r="T923" s="1918"/>
      <c r="U923" s="1918"/>
      <c r="V923" s="1918"/>
      <c r="W923" s="1918"/>
      <c r="X923" s="1918"/>
      <c r="Y923" s="1918"/>
      <c r="Z923" s="1918"/>
      <c r="AA923" s="1918"/>
      <c r="AB923" s="1918"/>
      <c r="AC923" s="1918"/>
      <c r="AD923" s="1918"/>
      <c r="AE923" s="1918"/>
    </row>
    <row r="924" spans="1:31" ht="15.75" customHeight="1">
      <c r="A924" s="1918"/>
      <c r="B924" s="1918"/>
      <c r="C924" s="1918"/>
      <c r="D924" s="1918"/>
      <c r="E924" s="1918"/>
      <c r="F924" s="1918"/>
      <c r="G924" s="1918"/>
      <c r="H924" s="1918"/>
      <c r="I924" s="1918"/>
      <c r="J924" s="1918"/>
      <c r="K924" s="1918"/>
      <c r="L924" s="1918"/>
      <c r="M924" s="1918"/>
      <c r="N924" s="1918"/>
      <c r="O924" s="1918"/>
      <c r="P924" s="1918"/>
      <c r="Q924" s="1918"/>
      <c r="R924" s="1918"/>
      <c r="S924" s="1918"/>
      <c r="T924" s="1918"/>
      <c r="U924" s="1918"/>
      <c r="V924" s="1918"/>
      <c r="W924" s="1918"/>
      <c r="X924" s="1918"/>
      <c r="Y924" s="1918"/>
      <c r="Z924" s="1918"/>
      <c r="AA924" s="1918"/>
      <c r="AB924" s="1918"/>
      <c r="AC924" s="1918"/>
      <c r="AD924" s="1918"/>
      <c r="AE924" s="1918"/>
    </row>
    <row r="925" spans="1:31" ht="15.75" customHeight="1">
      <c r="A925" s="1918"/>
      <c r="B925" s="1918"/>
      <c r="C925" s="1918"/>
      <c r="D925" s="1918"/>
      <c r="E925" s="1918"/>
      <c r="F925" s="1918"/>
      <c r="G925" s="1918"/>
      <c r="H925" s="1918"/>
      <c r="I925" s="1918"/>
      <c r="J925" s="1918"/>
      <c r="K925" s="1918"/>
      <c r="L925" s="1918"/>
      <c r="M925" s="1918"/>
      <c r="N925" s="1918"/>
      <c r="O925" s="1918"/>
      <c r="P925" s="1918"/>
      <c r="Q925" s="1918"/>
      <c r="R925" s="1918"/>
      <c r="S925" s="1918"/>
      <c r="T925" s="1918"/>
      <c r="U925" s="1918"/>
      <c r="V925" s="1918"/>
      <c r="W925" s="1918"/>
      <c r="X925" s="1918"/>
      <c r="Y925" s="1918"/>
      <c r="Z925" s="1918"/>
      <c r="AA925" s="1918"/>
      <c r="AB925" s="1918"/>
      <c r="AC925" s="1918"/>
      <c r="AD925" s="1918"/>
      <c r="AE925" s="1918"/>
    </row>
    <row r="926" spans="1:31" ht="15.75" customHeight="1">
      <c r="A926" s="1918"/>
      <c r="B926" s="1918"/>
      <c r="C926" s="1918"/>
      <c r="D926" s="1918"/>
      <c r="E926" s="1918"/>
      <c r="F926" s="1918"/>
      <c r="G926" s="1918"/>
      <c r="H926" s="1918"/>
      <c r="I926" s="1918"/>
      <c r="J926" s="1918"/>
      <c r="K926" s="1918"/>
      <c r="L926" s="1918"/>
      <c r="M926" s="1918"/>
      <c r="N926" s="1918"/>
      <c r="O926" s="1918"/>
      <c r="P926" s="1918"/>
      <c r="Q926" s="1918"/>
      <c r="R926" s="1918"/>
      <c r="S926" s="1918"/>
      <c r="T926" s="1918"/>
      <c r="U926" s="1918"/>
      <c r="V926" s="1918"/>
      <c r="W926" s="1918"/>
      <c r="X926" s="1918"/>
      <c r="Y926" s="1918"/>
      <c r="Z926" s="1918"/>
      <c r="AA926" s="1918"/>
      <c r="AB926" s="1918"/>
      <c r="AC926" s="1918"/>
      <c r="AD926" s="1918"/>
      <c r="AE926" s="1918"/>
    </row>
    <row r="927" spans="1:31" ht="15.75" customHeight="1">
      <c r="A927" s="1918"/>
      <c r="B927" s="1918"/>
      <c r="C927" s="1918"/>
      <c r="D927" s="1918"/>
      <c r="E927" s="1918"/>
      <c r="F927" s="1918"/>
      <c r="G927" s="1918"/>
      <c r="H927" s="1918"/>
      <c r="I927" s="1918"/>
      <c r="J927" s="1918"/>
      <c r="K927" s="1918"/>
      <c r="L927" s="1918"/>
      <c r="M927" s="1918"/>
      <c r="N927" s="1918"/>
      <c r="O927" s="1918"/>
      <c r="P927" s="1918"/>
      <c r="Q927" s="1918"/>
      <c r="R927" s="1918"/>
      <c r="S927" s="1918"/>
      <c r="T927" s="1918"/>
      <c r="U927" s="1918"/>
      <c r="V927" s="1918"/>
      <c r="W927" s="1918"/>
      <c r="X927" s="1918"/>
      <c r="Y927" s="1918"/>
      <c r="Z927" s="1918"/>
      <c r="AA927" s="1918"/>
      <c r="AB927" s="1918"/>
      <c r="AC927" s="1918"/>
      <c r="AD927" s="1918"/>
      <c r="AE927" s="1918"/>
    </row>
    <row r="928" spans="1:31" ht="15.75" customHeight="1">
      <c r="A928" s="1918"/>
      <c r="B928" s="1918"/>
      <c r="C928" s="1918"/>
      <c r="D928" s="1918"/>
      <c r="E928" s="1918"/>
      <c r="F928" s="1918"/>
      <c r="G928" s="1918"/>
      <c r="H928" s="1918"/>
      <c r="I928" s="1918"/>
      <c r="J928" s="1918"/>
      <c r="K928" s="1918"/>
      <c r="L928" s="1918"/>
      <c r="M928" s="1918"/>
      <c r="N928" s="1918"/>
      <c r="O928" s="1918"/>
      <c r="P928" s="1918"/>
      <c r="Q928" s="1918"/>
      <c r="R928" s="1918"/>
      <c r="S928" s="1918"/>
      <c r="T928" s="1918"/>
      <c r="U928" s="1918"/>
      <c r="V928" s="1918"/>
      <c r="W928" s="1918"/>
      <c r="X928" s="1918"/>
      <c r="Y928" s="1918"/>
      <c r="Z928" s="1918"/>
      <c r="AA928" s="1918"/>
      <c r="AB928" s="1918"/>
      <c r="AC928" s="1918"/>
      <c r="AD928" s="1918"/>
      <c r="AE928" s="1918"/>
    </row>
    <row r="929" spans="1:31" ht="15.75" customHeight="1">
      <c r="A929" s="1918"/>
      <c r="B929" s="1918"/>
      <c r="C929" s="1918"/>
      <c r="D929" s="1918"/>
      <c r="E929" s="1918"/>
      <c r="F929" s="1918"/>
      <c r="G929" s="1918"/>
      <c r="H929" s="1918"/>
      <c r="I929" s="1918"/>
      <c r="J929" s="1918"/>
      <c r="K929" s="1918"/>
      <c r="L929" s="1918"/>
      <c r="M929" s="1918"/>
      <c r="N929" s="1918"/>
      <c r="O929" s="1918"/>
      <c r="P929" s="1918"/>
      <c r="Q929" s="1918"/>
      <c r="R929" s="1918"/>
      <c r="S929" s="1918"/>
      <c r="T929" s="1918"/>
      <c r="U929" s="1918"/>
      <c r="V929" s="1918"/>
      <c r="W929" s="1918"/>
      <c r="X929" s="1918"/>
      <c r="Y929" s="1918"/>
      <c r="Z929" s="1918"/>
      <c r="AA929" s="1918"/>
      <c r="AB929" s="1918"/>
      <c r="AC929" s="1918"/>
      <c r="AD929" s="1918"/>
      <c r="AE929" s="1918"/>
    </row>
    <row r="930" spans="1:31" ht="15.75" customHeight="1">
      <c r="A930" s="1918"/>
      <c r="B930" s="1918"/>
      <c r="C930" s="1918"/>
      <c r="D930" s="1918"/>
      <c r="E930" s="1918"/>
      <c r="F930" s="1918"/>
      <c r="G930" s="1918"/>
      <c r="H930" s="1918"/>
      <c r="I930" s="1918"/>
      <c r="J930" s="1918"/>
      <c r="K930" s="1918"/>
      <c r="L930" s="1918"/>
      <c r="M930" s="1918"/>
      <c r="N930" s="1918"/>
      <c r="O930" s="1918"/>
      <c r="P930" s="1918"/>
      <c r="Q930" s="1918"/>
      <c r="R930" s="1918"/>
      <c r="S930" s="1918"/>
      <c r="T930" s="1918"/>
      <c r="U930" s="1918"/>
      <c r="V930" s="1918"/>
      <c r="W930" s="1918"/>
      <c r="X930" s="1918"/>
      <c r="Y930" s="1918"/>
      <c r="Z930" s="1918"/>
      <c r="AA930" s="1918"/>
      <c r="AB930" s="1918"/>
      <c r="AC930" s="1918"/>
      <c r="AD930" s="1918"/>
      <c r="AE930" s="1918"/>
    </row>
    <row r="931" spans="1:31" ht="15.75" customHeight="1">
      <c r="A931" s="1918"/>
      <c r="B931" s="1918"/>
      <c r="C931" s="1918"/>
      <c r="D931" s="1918"/>
      <c r="E931" s="1918"/>
      <c r="F931" s="1918"/>
      <c r="G931" s="1918"/>
      <c r="H931" s="1918"/>
      <c r="I931" s="1918"/>
      <c r="J931" s="1918"/>
      <c r="K931" s="1918"/>
      <c r="L931" s="1918"/>
      <c r="M931" s="1918"/>
      <c r="N931" s="1918"/>
      <c r="O931" s="1918"/>
      <c r="P931" s="1918"/>
      <c r="Q931" s="1918"/>
      <c r="R931" s="1918"/>
      <c r="S931" s="1918"/>
      <c r="T931" s="1918"/>
      <c r="U931" s="1918"/>
      <c r="V931" s="1918"/>
      <c r="W931" s="1918"/>
      <c r="X931" s="1918"/>
      <c r="Y931" s="1918"/>
      <c r="Z931" s="1918"/>
      <c r="AA931" s="1918"/>
      <c r="AB931" s="1918"/>
      <c r="AC931" s="1918"/>
      <c r="AD931" s="1918"/>
      <c r="AE931" s="1918"/>
    </row>
    <row r="932" spans="1:31" ht="15.75" customHeight="1">
      <c r="A932" s="1918"/>
      <c r="B932" s="1918"/>
      <c r="C932" s="1918"/>
      <c r="D932" s="1918"/>
      <c r="E932" s="1918"/>
      <c r="F932" s="1918"/>
      <c r="G932" s="1918"/>
      <c r="H932" s="1918"/>
      <c r="I932" s="1918"/>
      <c r="J932" s="1918"/>
      <c r="K932" s="1918"/>
      <c r="L932" s="1918"/>
      <c r="M932" s="1918"/>
      <c r="N932" s="1918"/>
      <c r="O932" s="1918"/>
      <c r="P932" s="1918"/>
      <c r="Q932" s="1918"/>
      <c r="R932" s="1918"/>
      <c r="S932" s="1918"/>
      <c r="T932" s="1918"/>
      <c r="U932" s="1918"/>
      <c r="V932" s="1918"/>
      <c r="W932" s="1918"/>
      <c r="X932" s="1918"/>
      <c r="Y932" s="1918"/>
      <c r="Z932" s="1918"/>
      <c r="AA932" s="1918"/>
      <c r="AB932" s="1918"/>
      <c r="AC932" s="1918"/>
      <c r="AD932" s="1918"/>
      <c r="AE932" s="1918"/>
    </row>
    <row r="933" spans="1:31" ht="15.75" customHeight="1">
      <c r="A933" s="1918"/>
      <c r="B933" s="1918"/>
      <c r="C933" s="1918"/>
      <c r="D933" s="1918"/>
      <c r="E933" s="1918"/>
      <c r="F933" s="1918"/>
      <c r="G933" s="1918"/>
      <c r="H933" s="1918"/>
      <c r="I933" s="1918"/>
      <c r="J933" s="1918"/>
      <c r="K933" s="1918"/>
      <c r="L933" s="1918"/>
      <c r="M933" s="1918"/>
      <c r="N933" s="1918"/>
      <c r="O933" s="1918"/>
      <c r="P933" s="1918"/>
      <c r="Q933" s="1918"/>
      <c r="R933" s="1918"/>
      <c r="S933" s="1918"/>
      <c r="T933" s="1918"/>
      <c r="U933" s="1918"/>
      <c r="V933" s="1918"/>
      <c r="W933" s="1918"/>
      <c r="X933" s="1918"/>
      <c r="Y933" s="1918"/>
      <c r="Z933" s="1918"/>
      <c r="AA933" s="1918"/>
      <c r="AB933" s="1918"/>
      <c r="AC933" s="1918"/>
      <c r="AD933" s="1918"/>
      <c r="AE933" s="1918"/>
    </row>
    <row r="934" spans="1:31" ht="15.75" customHeight="1">
      <c r="A934" s="1918"/>
      <c r="B934" s="1918"/>
      <c r="C934" s="1918"/>
      <c r="D934" s="1918"/>
      <c r="E934" s="1918"/>
      <c r="F934" s="1918"/>
      <c r="G934" s="1918"/>
      <c r="H934" s="1918"/>
      <c r="I934" s="1918"/>
      <c r="J934" s="1918"/>
      <c r="K934" s="1918"/>
      <c r="L934" s="1918"/>
      <c r="M934" s="1918"/>
      <c r="N934" s="1918"/>
      <c r="O934" s="1918"/>
      <c r="P934" s="1918"/>
      <c r="Q934" s="1918"/>
      <c r="R934" s="1918"/>
      <c r="S934" s="1918"/>
      <c r="T934" s="1918"/>
      <c r="U934" s="1918"/>
      <c r="V934" s="1918"/>
      <c r="W934" s="1918"/>
      <c r="X934" s="1918"/>
      <c r="Y934" s="1918"/>
      <c r="Z934" s="1918"/>
      <c r="AA934" s="1918"/>
      <c r="AB934" s="1918"/>
      <c r="AC934" s="1918"/>
      <c r="AD934" s="1918"/>
      <c r="AE934" s="1918"/>
    </row>
    <row r="935" spans="1:31" ht="15.75" customHeight="1">
      <c r="A935" s="1918"/>
      <c r="B935" s="1918"/>
      <c r="C935" s="1918"/>
      <c r="D935" s="1918"/>
      <c r="E935" s="1918"/>
      <c r="F935" s="1918"/>
      <c r="G935" s="1918"/>
      <c r="H935" s="1918"/>
      <c r="I935" s="1918"/>
      <c r="J935" s="1918"/>
      <c r="K935" s="1918"/>
      <c r="L935" s="1918"/>
      <c r="M935" s="1918"/>
      <c r="N935" s="1918"/>
      <c r="O935" s="1918"/>
      <c r="P935" s="1918"/>
      <c r="Q935" s="1918"/>
      <c r="R935" s="1918"/>
      <c r="S935" s="1918"/>
      <c r="T935" s="1918"/>
      <c r="U935" s="1918"/>
      <c r="V935" s="1918"/>
      <c r="W935" s="1918"/>
      <c r="X935" s="1918"/>
      <c r="Y935" s="1918"/>
      <c r="Z935" s="1918"/>
      <c r="AA935" s="1918"/>
      <c r="AB935" s="1918"/>
      <c r="AC935" s="1918"/>
      <c r="AD935" s="1918"/>
      <c r="AE935" s="1918"/>
    </row>
    <row r="936" spans="1:31" ht="15.75" customHeight="1">
      <c r="A936" s="1918"/>
      <c r="B936" s="1918"/>
      <c r="C936" s="1918"/>
      <c r="D936" s="1918"/>
      <c r="E936" s="1918"/>
      <c r="F936" s="1918"/>
      <c r="G936" s="1918"/>
      <c r="H936" s="1918"/>
      <c r="I936" s="1918"/>
      <c r="J936" s="1918"/>
      <c r="K936" s="1918"/>
      <c r="L936" s="1918"/>
      <c r="M936" s="1918"/>
      <c r="N936" s="1918"/>
      <c r="O936" s="1918"/>
      <c r="P936" s="1918"/>
      <c r="Q936" s="1918"/>
      <c r="R936" s="1918"/>
      <c r="S936" s="1918"/>
      <c r="T936" s="1918"/>
      <c r="U936" s="1918"/>
      <c r="V936" s="1918"/>
      <c r="W936" s="1918"/>
      <c r="X936" s="1918"/>
      <c r="Y936" s="1918"/>
      <c r="Z936" s="1918"/>
      <c r="AA936" s="1918"/>
      <c r="AB936" s="1918"/>
      <c r="AC936" s="1918"/>
      <c r="AD936" s="1918"/>
      <c r="AE936" s="1918"/>
    </row>
    <row r="937" spans="1:31" ht="15.75" customHeight="1">
      <c r="A937" s="1918"/>
      <c r="B937" s="1918"/>
      <c r="C937" s="1918"/>
      <c r="D937" s="1918"/>
      <c r="E937" s="1918"/>
      <c r="F937" s="1918"/>
      <c r="G937" s="1918"/>
      <c r="H937" s="1918"/>
      <c r="I937" s="1918"/>
      <c r="J937" s="1918"/>
      <c r="K937" s="1918"/>
      <c r="L937" s="1918"/>
      <c r="M937" s="1918"/>
      <c r="N937" s="1918"/>
      <c r="O937" s="1918"/>
      <c r="P937" s="1918"/>
      <c r="Q937" s="1918"/>
      <c r="R937" s="1918"/>
      <c r="S937" s="1918"/>
      <c r="T937" s="1918"/>
      <c r="U937" s="1918"/>
      <c r="V937" s="1918"/>
      <c r="W937" s="1918"/>
      <c r="X937" s="1918"/>
      <c r="Y937" s="1918"/>
      <c r="Z937" s="1918"/>
      <c r="AA937" s="1918"/>
      <c r="AB937" s="1918"/>
      <c r="AC937" s="1918"/>
      <c r="AD937" s="1918"/>
      <c r="AE937" s="1918"/>
    </row>
    <row r="938" spans="1:31" ht="15.75" customHeight="1">
      <c r="A938" s="1918"/>
      <c r="B938" s="1918"/>
      <c r="C938" s="1918"/>
      <c r="D938" s="1918"/>
      <c r="E938" s="1918"/>
      <c r="F938" s="1918"/>
      <c r="G938" s="1918"/>
      <c r="H938" s="1918"/>
      <c r="I938" s="1918"/>
      <c r="J938" s="1918"/>
      <c r="K938" s="1918"/>
      <c r="L938" s="1918"/>
      <c r="M938" s="1918"/>
      <c r="N938" s="1918"/>
      <c r="O938" s="1918"/>
      <c r="P938" s="1918"/>
      <c r="Q938" s="1918"/>
      <c r="R938" s="1918"/>
      <c r="S938" s="1918"/>
      <c r="T938" s="1918"/>
      <c r="U938" s="1918"/>
      <c r="V938" s="1918"/>
      <c r="W938" s="1918"/>
      <c r="X938" s="1918"/>
      <c r="Y938" s="1918"/>
      <c r="Z938" s="1918"/>
      <c r="AA938" s="1918"/>
      <c r="AB938" s="1918"/>
      <c r="AC938" s="1918"/>
      <c r="AD938" s="1918"/>
      <c r="AE938" s="1918"/>
    </row>
    <row r="939" spans="1:31" ht="15.75" customHeight="1">
      <c r="A939" s="1918"/>
      <c r="B939" s="1918"/>
      <c r="C939" s="1918"/>
      <c r="D939" s="1918"/>
      <c r="E939" s="1918"/>
      <c r="F939" s="1918"/>
      <c r="G939" s="1918"/>
      <c r="H939" s="1918"/>
      <c r="I939" s="1918"/>
      <c r="J939" s="1918"/>
      <c r="K939" s="1918"/>
      <c r="L939" s="1918"/>
      <c r="M939" s="1918"/>
      <c r="N939" s="1918"/>
      <c r="O939" s="1918"/>
      <c r="P939" s="1918"/>
      <c r="Q939" s="1918"/>
      <c r="R939" s="1918"/>
      <c r="S939" s="1918"/>
      <c r="T939" s="1918"/>
      <c r="U939" s="1918"/>
      <c r="V939" s="1918"/>
      <c r="W939" s="1918"/>
      <c r="X939" s="1918"/>
      <c r="Y939" s="1918"/>
      <c r="Z939" s="1918"/>
      <c r="AA939" s="1918"/>
      <c r="AB939" s="1918"/>
      <c r="AC939" s="1918"/>
      <c r="AD939" s="1918"/>
      <c r="AE939" s="1918"/>
    </row>
    <row r="940" spans="1:31" ht="15.75" customHeight="1">
      <c r="A940" s="1918"/>
      <c r="B940" s="1918"/>
      <c r="C940" s="1918"/>
      <c r="D940" s="1918"/>
      <c r="E940" s="1918"/>
      <c r="F940" s="1918"/>
      <c r="G940" s="1918"/>
      <c r="H940" s="1918"/>
      <c r="I940" s="1918"/>
      <c r="J940" s="1918"/>
      <c r="K940" s="1918"/>
      <c r="L940" s="1918"/>
      <c r="M940" s="1918"/>
      <c r="N940" s="1918"/>
      <c r="O940" s="1918"/>
      <c r="P940" s="1918"/>
      <c r="Q940" s="1918"/>
      <c r="R940" s="1918"/>
      <c r="S940" s="1918"/>
      <c r="T940" s="1918"/>
      <c r="U940" s="1918"/>
      <c r="V940" s="1918"/>
      <c r="W940" s="1918"/>
      <c r="X940" s="1918"/>
      <c r="Y940" s="1918"/>
      <c r="Z940" s="1918"/>
      <c r="AA940" s="1918"/>
      <c r="AB940" s="1918"/>
      <c r="AC940" s="1918"/>
      <c r="AD940" s="1918"/>
      <c r="AE940" s="1918"/>
    </row>
    <row r="941" spans="1:31" ht="15.75" customHeight="1">
      <c r="A941" s="1918"/>
      <c r="B941" s="1918"/>
      <c r="C941" s="1918"/>
      <c r="D941" s="1918"/>
      <c r="E941" s="1918"/>
      <c r="F941" s="1918"/>
      <c r="G941" s="1918"/>
      <c r="H941" s="1918"/>
      <c r="I941" s="1918"/>
      <c r="J941" s="1918"/>
      <c r="K941" s="1918"/>
      <c r="L941" s="1918"/>
      <c r="M941" s="1918"/>
      <c r="N941" s="1918"/>
      <c r="O941" s="1918"/>
      <c r="P941" s="1918"/>
      <c r="Q941" s="1918"/>
      <c r="R941" s="1918"/>
      <c r="S941" s="1918"/>
      <c r="T941" s="1918"/>
      <c r="U941" s="1918"/>
      <c r="V941" s="1918"/>
      <c r="W941" s="1918"/>
      <c r="X941" s="1918"/>
      <c r="Y941" s="1918"/>
      <c r="Z941" s="1918"/>
      <c r="AA941" s="1918"/>
      <c r="AB941" s="1918"/>
      <c r="AC941" s="1918"/>
      <c r="AD941" s="1918"/>
      <c r="AE941" s="1918"/>
    </row>
    <row r="942" spans="1:31" ht="15.75" customHeight="1">
      <c r="A942" s="1918"/>
      <c r="B942" s="1918"/>
      <c r="C942" s="1918"/>
      <c r="D942" s="1918"/>
      <c r="E942" s="1918"/>
      <c r="F942" s="1918"/>
      <c r="G942" s="1918"/>
      <c r="H942" s="1918"/>
      <c r="I942" s="1918"/>
      <c r="J942" s="1918"/>
      <c r="K942" s="1918"/>
      <c r="L942" s="1918"/>
      <c r="M942" s="1918"/>
      <c r="N942" s="1918"/>
      <c r="O942" s="1918"/>
      <c r="P942" s="1918"/>
      <c r="Q942" s="1918"/>
      <c r="R942" s="1918"/>
      <c r="S942" s="1918"/>
      <c r="T942" s="1918"/>
      <c r="U942" s="1918"/>
      <c r="V942" s="1918"/>
      <c r="W942" s="1918"/>
      <c r="X942" s="1918"/>
      <c r="Y942" s="1918"/>
      <c r="Z942" s="1918"/>
      <c r="AA942" s="1918"/>
      <c r="AB942" s="1918"/>
      <c r="AC942" s="1918"/>
      <c r="AD942" s="1918"/>
      <c r="AE942" s="1918"/>
    </row>
    <row r="943" spans="1:31" ht="15.75" customHeight="1">
      <c r="A943" s="1918"/>
      <c r="B943" s="1918"/>
      <c r="C943" s="1918"/>
      <c r="D943" s="1918"/>
      <c r="E943" s="1918"/>
      <c r="F943" s="1918"/>
      <c r="G943" s="1918"/>
      <c r="H943" s="1918"/>
      <c r="I943" s="1918"/>
      <c r="J943" s="1918"/>
      <c r="K943" s="1918"/>
      <c r="L943" s="1918"/>
      <c r="M943" s="1918"/>
      <c r="N943" s="1918"/>
      <c r="O943" s="1918"/>
      <c r="P943" s="1918"/>
      <c r="Q943" s="1918"/>
      <c r="R943" s="1918"/>
      <c r="S943" s="1918"/>
      <c r="T943" s="1918"/>
      <c r="U943" s="1918"/>
      <c r="V943" s="1918"/>
      <c r="W943" s="1918"/>
      <c r="X943" s="1918"/>
      <c r="Y943" s="1918"/>
      <c r="Z943" s="1918"/>
      <c r="AA943" s="1918"/>
      <c r="AB943" s="1918"/>
      <c r="AC943" s="1918"/>
      <c r="AD943" s="1918"/>
      <c r="AE943" s="1918"/>
    </row>
    <row r="944" spans="1:31" ht="15.75" customHeight="1">
      <c r="A944" s="1918"/>
      <c r="B944" s="1918"/>
      <c r="C944" s="1918"/>
      <c r="D944" s="1918"/>
      <c r="E944" s="1918"/>
      <c r="F944" s="1918"/>
      <c r="G944" s="1918"/>
      <c r="H944" s="1918"/>
      <c r="I944" s="1918"/>
      <c r="J944" s="1918"/>
      <c r="K944" s="1918"/>
      <c r="L944" s="1918"/>
      <c r="M944" s="1918"/>
      <c r="N944" s="1918"/>
      <c r="O944" s="1918"/>
      <c r="P944" s="1918"/>
      <c r="Q944" s="1918"/>
      <c r="R944" s="1918"/>
      <c r="S944" s="1918"/>
      <c r="T944" s="1918"/>
      <c r="U944" s="1918"/>
      <c r="V944" s="1918"/>
      <c r="W944" s="1918"/>
      <c r="X944" s="1918"/>
      <c r="Y944" s="1918"/>
      <c r="Z944" s="1918"/>
      <c r="AA944" s="1918"/>
      <c r="AB944" s="1918"/>
      <c r="AC944" s="1918"/>
      <c r="AD944" s="1918"/>
      <c r="AE944" s="1918"/>
    </row>
    <row r="945" spans="1:31" ht="15.75" customHeight="1">
      <c r="A945" s="1918"/>
      <c r="B945" s="1918"/>
      <c r="C945" s="1918"/>
      <c r="D945" s="1918"/>
      <c r="E945" s="1918"/>
      <c r="F945" s="1918"/>
      <c r="G945" s="1918"/>
      <c r="H945" s="1918"/>
      <c r="I945" s="1918"/>
      <c r="J945" s="1918"/>
      <c r="K945" s="1918"/>
      <c r="L945" s="1918"/>
      <c r="M945" s="1918"/>
      <c r="N945" s="1918"/>
      <c r="O945" s="1918"/>
      <c r="P945" s="1918"/>
      <c r="Q945" s="1918"/>
      <c r="R945" s="1918"/>
      <c r="S945" s="1918"/>
      <c r="T945" s="1918"/>
      <c r="U945" s="1918"/>
      <c r="V945" s="1918"/>
      <c r="W945" s="1918"/>
      <c r="X945" s="1918"/>
      <c r="Y945" s="1918"/>
      <c r="Z945" s="1918"/>
      <c r="AA945" s="1918"/>
      <c r="AB945" s="1918"/>
      <c r="AC945" s="1918"/>
      <c r="AD945" s="1918"/>
      <c r="AE945" s="1918"/>
    </row>
    <row r="946" spans="1:31" ht="15.75" customHeight="1">
      <c r="A946" s="1918"/>
      <c r="B946" s="1918"/>
      <c r="C946" s="1918"/>
      <c r="D946" s="1918"/>
      <c r="E946" s="1918"/>
      <c r="F946" s="1918"/>
      <c r="G946" s="1918"/>
      <c r="H946" s="1918"/>
      <c r="I946" s="1918"/>
      <c r="J946" s="1918"/>
      <c r="K946" s="1918"/>
      <c r="L946" s="1918"/>
      <c r="M946" s="1918"/>
      <c r="N946" s="1918"/>
      <c r="O946" s="1918"/>
      <c r="P946" s="1918"/>
      <c r="Q946" s="1918"/>
      <c r="R946" s="1918"/>
      <c r="S946" s="1918"/>
      <c r="T946" s="1918"/>
      <c r="U946" s="1918"/>
      <c r="V946" s="1918"/>
      <c r="W946" s="1918"/>
      <c r="X946" s="1918"/>
      <c r="Y946" s="1918"/>
      <c r="Z946" s="1918"/>
      <c r="AA946" s="1918"/>
      <c r="AB946" s="1918"/>
      <c r="AC946" s="1918"/>
      <c r="AD946" s="1918"/>
      <c r="AE946" s="1918"/>
    </row>
    <row r="947" spans="1:31" ht="15.75" customHeight="1">
      <c r="A947" s="1918"/>
      <c r="B947" s="1918"/>
      <c r="C947" s="1918"/>
      <c r="D947" s="1918"/>
      <c r="E947" s="1918"/>
      <c r="F947" s="1918"/>
      <c r="G947" s="1918"/>
      <c r="H947" s="1918"/>
      <c r="I947" s="1918"/>
      <c r="J947" s="1918"/>
      <c r="K947" s="1918"/>
      <c r="L947" s="1918"/>
      <c r="M947" s="1918"/>
      <c r="N947" s="1918"/>
      <c r="O947" s="1918"/>
      <c r="P947" s="1918"/>
      <c r="Q947" s="1918"/>
      <c r="R947" s="1918"/>
      <c r="S947" s="1918"/>
      <c r="T947" s="1918"/>
      <c r="U947" s="1918"/>
      <c r="V947" s="1918"/>
      <c r="W947" s="1918"/>
      <c r="X947" s="1918"/>
      <c r="Y947" s="1918"/>
      <c r="Z947" s="1918"/>
      <c r="AA947" s="1918"/>
      <c r="AB947" s="1918"/>
      <c r="AC947" s="1918"/>
      <c r="AD947" s="1918"/>
      <c r="AE947" s="1918"/>
    </row>
    <row r="948" spans="1:31" ht="15.75" customHeight="1">
      <c r="A948" s="1918"/>
      <c r="B948" s="1918"/>
      <c r="C948" s="1918"/>
      <c r="D948" s="1918"/>
      <c r="E948" s="1918"/>
      <c r="F948" s="1918"/>
      <c r="G948" s="1918"/>
      <c r="H948" s="1918"/>
      <c r="I948" s="1918"/>
      <c r="J948" s="1918"/>
      <c r="K948" s="1918"/>
      <c r="L948" s="1918"/>
      <c r="M948" s="1918"/>
      <c r="N948" s="1918"/>
      <c r="O948" s="1918"/>
      <c r="P948" s="1918"/>
      <c r="Q948" s="1918"/>
      <c r="R948" s="1918"/>
      <c r="S948" s="1918"/>
      <c r="T948" s="1918"/>
      <c r="U948" s="1918"/>
      <c r="V948" s="1918"/>
      <c r="W948" s="1918"/>
      <c r="X948" s="1918"/>
      <c r="Y948" s="1918"/>
      <c r="Z948" s="1918"/>
      <c r="AA948" s="1918"/>
      <c r="AB948" s="1918"/>
      <c r="AC948" s="1918"/>
      <c r="AD948" s="1918"/>
      <c r="AE948" s="1918"/>
    </row>
    <row r="949" spans="1:31" ht="15.75" customHeight="1">
      <c r="A949" s="1918"/>
      <c r="B949" s="1918"/>
      <c r="C949" s="1918"/>
      <c r="D949" s="1918"/>
      <c r="E949" s="1918"/>
      <c r="F949" s="1918"/>
      <c r="G949" s="1918"/>
      <c r="H949" s="1918"/>
      <c r="I949" s="1918"/>
      <c r="J949" s="1918"/>
      <c r="K949" s="1918"/>
      <c r="L949" s="1918"/>
      <c r="M949" s="1918"/>
      <c r="N949" s="1918"/>
      <c r="O949" s="1918"/>
      <c r="P949" s="1918"/>
      <c r="Q949" s="1918"/>
      <c r="R949" s="1918"/>
      <c r="S949" s="1918"/>
      <c r="T949" s="1918"/>
      <c r="U949" s="1918"/>
      <c r="V949" s="1918"/>
      <c r="W949" s="1918"/>
      <c r="X949" s="1918"/>
      <c r="Y949" s="1918"/>
      <c r="Z949" s="1918"/>
      <c r="AA949" s="1918"/>
      <c r="AB949" s="1918"/>
      <c r="AC949" s="1918"/>
      <c r="AD949" s="1918"/>
      <c r="AE949" s="1918"/>
    </row>
    <row r="950" spans="1:31" ht="15.75" customHeight="1">
      <c r="A950" s="1918"/>
      <c r="B950" s="1918"/>
      <c r="C950" s="1918"/>
      <c r="D950" s="1918"/>
      <c r="E950" s="1918"/>
      <c r="F950" s="1918"/>
      <c r="G950" s="1918"/>
      <c r="H950" s="1918"/>
      <c r="I950" s="1918"/>
      <c r="J950" s="1918"/>
      <c r="K950" s="1918"/>
      <c r="L950" s="1918"/>
      <c r="M950" s="1918"/>
      <c r="N950" s="1918"/>
      <c r="O950" s="1918"/>
      <c r="P950" s="1918"/>
      <c r="Q950" s="1918"/>
      <c r="R950" s="1918"/>
      <c r="S950" s="1918"/>
      <c r="T950" s="1918"/>
      <c r="U950" s="1918"/>
      <c r="V950" s="1918"/>
      <c r="W950" s="1918"/>
      <c r="X950" s="1918"/>
      <c r="Y950" s="1918"/>
      <c r="Z950" s="1918"/>
      <c r="AA950" s="1918"/>
      <c r="AB950" s="1918"/>
      <c r="AC950" s="1918"/>
      <c r="AD950" s="1918"/>
      <c r="AE950" s="1918"/>
    </row>
    <row r="951" spans="1:31" ht="15.75" customHeight="1">
      <c r="A951" s="1918"/>
      <c r="B951" s="1918"/>
      <c r="C951" s="1918"/>
      <c r="D951" s="1918"/>
      <c r="E951" s="1918"/>
      <c r="F951" s="1918"/>
      <c r="G951" s="1918"/>
      <c r="H951" s="1918"/>
      <c r="I951" s="1918"/>
      <c r="J951" s="1918"/>
      <c r="K951" s="1918"/>
      <c r="L951" s="1918"/>
      <c r="M951" s="1918"/>
      <c r="N951" s="1918"/>
      <c r="O951" s="1918"/>
      <c r="P951" s="1918"/>
      <c r="Q951" s="1918"/>
      <c r="R951" s="1918"/>
      <c r="S951" s="1918"/>
      <c r="T951" s="1918"/>
      <c r="U951" s="1918"/>
      <c r="V951" s="1918"/>
      <c r="W951" s="1918"/>
      <c r="X951" s="1918"/>
      <c r="Y951" s="1918"/>
      <c r="Z951" s="1918"/>
      <c r="AA951" s="1918"/>
      <c r="AB951" s="1918"/>
      <c r="AC951" s="1918"/>
      <c r="AD951" s="1918"/>
      <c r="AE951" s="1918"/>
    </row>
    <row r="952" spans="1:31" ht="15.75" customHeight="1">
      <c r="A952" s="1918"/>
      <c r="B952" s="1918"/>
      <c r="C952" s="1918"/>
      <c r="D952" s="1918"/>
      <c r="E952" s="1918"/>
      <c r="F952" s="1918"/>
      <c r="G952" s="1918"/>
      <c r="H952" s="1918"/>
      <c r="I952" s="1918"/>
      <c r="J952" s="1918"/>
      <c r="K952" s="1918"/>
      <c r="L952" s="1918"/>
      <c r="M952" s="1918"/>
      <c r="N952" s="1918"/>
      <c r="O952" s="1918"/>
      <c r="P952" s="1918"/>
      <c r="Q952" s="1918"/>
      <c r="R952" s="1918"/>
      <c r="S952" s="1918"/>
      <c r="T952" s="1918"/>
      <c r="U952" s="1918"/>
      <c r="V952" s="1918"/>
      <c r="W952" s="1918"/>
      <c r="X952" s="1918"/>
      <c r="Y952" s="1918"/>
      <c r="Z952" s="1918"/>
      <c r="AA952" s="1918"/>
      <c r="AB952" s="1918"/>
      <c r="AC952" s="1918"/>
      <c r="AD952" s="1918"/>
      <c r="AE952" s="1918"/>
    </row>
    <row r="953" spans="1:31" ht="15.75" customHeight="1">
      <c r="A953" s="1918"/>
      <c r="B953" s="1918"/>
      <c r="C953" s="1918"/>
      <c r="D953" s="1918"/>
      <c r="E953" s="1918"/>
      <c r="F953" s="1918"/>
      <c r="G953" s="1918"/>
      <c r="H953" s="1918"/>
      <c r="I953" s="1918"/>
      <c r="J953" s="1918"/>
      <c r="K953" s="1918"/>
      <c r="L953" s="1918"/>
      <c r="M953" s="1918"/>
      <c r="N953" s="1918"/>
      <c r="O953" s="1918"/>
      <c r="P953" s="1918"/>
      <c r="Q953" s="1918"/>
      <c r="R953" s="1918"/>
      <c r="S953" s="1918"/>
      <c r="T953" s="1918"/>
      <c r="U953" s="1918"/>
      <c r="V953" s="1918"/>
      <c r="W953" s="1918"/>
      <c r="X953" s="1918"/>
      <c r="Y953" s="1918"/>
      <c r="Z953" s="1918"/>
      <c r="AA953" s="1918"/>
      <c r="AB953" s="1918"/>
      <c r="AC953" s="1918"/>
      <c r="AD953" s="1918"/>
      <c r="AE953" s="1918"/>
    </row>
    <row r="954" spans="1:31" ht="15.75" customHeight="1">
      <c r="A954" s="1918"/>
      <c r="B954" s="1918"/>
      <c r="C954" s="1918"/>
      <c r="D954" s="1918"/>
      <c r="E954" s="1918"/>
      <c r="F954" s="1918"/>
      <c r="G954" s="1918"/>
      <c r="H954" s="1918"/>
      <c r="I954" s="1918"/>
      <c r="J954" s="1918"/>
      <c r="K954" s="1918"/>
      <c r="L954" s="1918"/>
      <c r="M954" s="1918"/>
      <c r="N954" s="1918"/>
      <c r="O954" s="1918"/>
      <c r="P954" s="1918"/>
      <c r="Q954" s="1918"/>
      <c r="R954" s="1918"/>
      <c r="S954" s="1918"/>
      <c r="T954" s="1918"/>
      <c r="U954" s="1918"/>
      <c r="V954" s="1918"/>
      <c r="W954" s="1918"/>
      <c r="X954" s="1918"/>
      <c r="Y954" s="1918"/>
      <c r="Z954" s="1918"/>
      <c r="AA954" s="1918"/>
      <c r="AB954" s="1918"/>
      <c r="AC954" s="1918"/>
      <c r="AD954" s="1918"/>
      <c r="AE954" s="1918"/>
    </row>
    <row r="955" spans="1:31" ht="15.75" customHeight="1">
      <c r="A955" s="1918"/>
      <c r="B955" s="1918"/>
      <c r="C955" s="1918"/>
      <c r="D955" s="1918"/>
      <c r="E955" s="1918"/>
      <c r="F955" s="1918"/>
      <c r="G955" s="1918"/>
      <c r="H955" s="1918"/>
      <c r="I955" s="1918"/>
      <c r="J955" s="1918"/>
      <c r="K955" s="1918"/>
      <c r="L955" s="1918"/>
      <c r="M955" s="1918"/>
      <c r="N955" s="1918"/>
      <c r="O955" s="1918"/>
      <c r="P955" s="1918"/>
      <c r="Q955" s="1918"/>
      <c r="R955" s="1918"/>
      <c r="S955" s="1918"/>
      <c r="T955" s="1918"/>
      <c r="U955" s="1918"/>
      <c r="V955" s="1918"/>
      <c r="W955" s="1918"/>
      <c r="X955" s="1918"/>
      <c r="Y955" s="1918"/>
      <c r="Z955" s="1918"/>
      <c r="AA955" s="1918"/>
      <c r="AB955" s="1918"/>
      <c r="AC955" s="1918"/>
      <c r="AD955" s="1918"/>
      <c r="AE955" s="1918"/>
    </row>
    <row r="956" spans="1:31" ht="15.75" customHeight="1">
      <c r="A956" s="1918"/>
      <c r="B956" s="1918"/>
      <c r="C956" s="1918"/>
      <c r="D956" s="1918"/>
      <c r="E956" s="1918"/>
      <c r="F956" s="1918"/>
      <c r="G956" s="1918"/>
      <c r="H956" s="1918"/>
      <c r="I956" s="1918"/>
      <c r="J956" s="1918"/>
      <c r="K956" s="1918"/>
      <c r="L956" s="1918"/>
      <c r="M956" s="1918"/>
      <c r="N956" s="1918"/>
      <c r="O956" s="1918"/>
      <c r="P956" s="1918"/>
      <c r="Q956" s="1918"/>
      <c r="R956" s="1918"/>
      <c r="S956" s="1918"/>
      <c r="T956" s="1918"/>
      <c r="U956" s="1918"/>
      <c r="V956" s="1918"/>
      <c r="W956" s="1918"/>
      <c r="X956" s="1918"/>
      <c r="Y956" s="1918"/>
      <c r="Z956" s="1918"/>
      <c r="AA956" s="1918"/>
      <c r="AB956" s="1918"/>
      <c r="AC956" s="1918"/>
      <c r="AD956" s="1918"/>
      <c r="AE956" s="1918"/>
    </row>
    <row r="957" spans="1:31" ht="15.75" customHeight="1">
      <c r="A957" s="1918"/>
      <c r="B957" s="1918"/>
      <c r="C957" s="1918"/>
      <c r="D957" s="1918"/>
      <c r="E957" s="1918"/>
      <c r="F957" s="1918"/>
      <c r="G957" s="1918"/>
      <c r="H957" s="1918"/>
      <c r="I957" s="1918"/>
      <c r="J957" s="1918"/>
      <c r="K957" s="1918"/>
      <c r="L957" s="1918"/>
      <c r="M957" s="1918"/>
      <c r="N957" s="1918"/>
      <c r="O957" s="1918"/>
      <c r="P957" s="1918"/>
      <c r="Q957" s="1918"/>
      <c r="R957" s="1918"/>
      <c r="S957" s="1918"/>
      <c r="T957" s="1918"/>
      <c r="U957" s="1918"/>
      <c r="V957" s="1918"/>
      <c r="W957" s="1918"/>
      <c r="X957" s="1918"/>
      <c r="Y957" s="1918"/>
      <c r="Z957" s="1918"/>
      <c r="AA957" s="1918"/>
      <c r="AB957" s="1918"/>
      <c r="AC957" s="1918"/>
      <c r="AD957" s="1918"/>
      <c r="AE957" s="1918"/>
    </row>
    <row r="958" spans="1:31" ht="15.75" customHeight="1">
      <c r="A958" s="1918"/>
      <c r="B958" s="1918"/>
      <c r="C958" s="1918"/>
      <c r="D958" s="1918"/>
      <c r="E958" s="1918"/>
      <c r="F958" s="1918"/>
      <c r="G958" s="1918"/>
      <c r="H958" s="1918"/>
      <c r="I958" s="1918"/>
      <c r="J958" s="1918"/>
      <c r="K958" s="1918"/>
      <c r="L958" s="1918"/>
      <c r="M958" s="1918"/>
      <c r="N958" s="1918"/>
      <c r="O958" s="1918"/>
      <c r="P958" s="1918"/>
      <c r="Q958" s="1918"/>
      <c r="R958" s="1918"/>
      <c r="S958" s="1918"/>
      <c r="T958" s="1918"/>
      <c r="U958" s="1918"/>
      <c r="V958" s="1918"/>
      <c r="W958" s="1918"/>
      <c r="X958" s="1918"/>
      <c r="Y958" s="1918"/>
      <c r="Z958" s="1918"/>
      <c r="AA958" s="1918"/>
      <c r="AB958" s="1918"/>
      <c r="AC958" s="1918"/>
      <c r="AD958" s="1918"/>
      <c r="AE958" s="1918"/>
    </row>
    <row r="959" spans="1:31" ht="15.75" customHeight="1">
      <c r="A959" s="1918"/>
      <c r="B959" s="1918"/>
      <c r="C959" s="1918"/>
      <c r="D959" s="1918"/>
      <c r="E959" s="1918"/>
      <c r="F959" s="1918"/>
      <c r="G959" s="1918"/>
      <c r="H959" s="1918"/>
      <c r="I959" s="1918"/>
      <c r="J959" s="1918"/>
      <c r="K959" s="1918"/>
      <c r="L959" s="1918"/>
      <c r="M959" s="1918"/>
      <c r="N959" s="1918"/>
      <c r="O959" s="1918"/>
      <c r="P959" s="1918"/>
      <c r="Q959" s="1918"/>
      <c r="R959" s="1918"/>
      <c r="S959" s="1918"/>
      <c r="T959" s="1918"/>
      <c r="U959" s="1918"/>
      <c r="V959" s="1918"/>
      <c r="W959" s="1918"/>
      <c r="X959" s="1918"/>
      <c r="Y959" s="1918"/>
      <c r="Z959" s="1918"/>
      <c r="AA959" s="1918"/>
      <c r="AB959" s="1918"/>
      <c r="AC959" s="1918"/>
      <c r="AD959" s="1918"/>
      <c r="AE959" s="1918"/>
    </row>
    <row r="960" spans="1:31" ht="15.75" customHeight="1">
      <c r="A960" s="1918"/>
      <c r="B960" s="1918"/>
      <c r="C960" s="1918"/>
      <c r="D960" s="1918"/>
      <c r="E960" s="1918"/>
      <c r="F960" s="1918"/>
      <c r="G960" s="1918"/>
      <c r="H960" s="1918"/>
      <c r="I960" s="1918"/>
      <c r="J960" s="1918"/>
      <c r="K960" s="1918"/>
      <c r="L960" s="1918"/>
      <c r="M960" s="1918"/>
      <c r="N960" s="1918"/>
      <c r="O960" s="1918"/>
      <c r="P960" s="1918"/>
      <c r="Q960" s="1918"/>
      <c r="R960" s="1918"/>
      <c r="S960" s="1918"/>
      <c r="T960" s="1918"/>
      <c r="U960" s="1918"/>
      <c r="V960" s="1918"/>
      <c r="W960" s="1918"/>
      <c r="X960" s="1918"/>
      <c r="Y960" s="1918"/>
      <c r="Z960" s="1918"/>
      <c r="AA960" s="1918"/>
      <c r="AB960" s="1918"/>
      <c r="AC960" s="1918"/>
      <c r="AD960" s="1918"/>
      <c r="AE960" s="1918"/>
    </row>
    <row r="961" spans="1:31" ht="15.75" customHeight="1">
      <c r="A961" s="1918"/>
      <c r="B961" s="1918"/>
      <c r="C961" s="1918"/>
      <c r="D961" s="1918"/>
      <c r="E961" s="1918"/>
      <c r="F961" s="1918"/>
      <c r="G961" s="1918"/>
      <c r="H961" s="1918"/>
      <c r="I961" s="1918"/>
      <c r="J961" s="1918"/>
      <c r="K961" s="1918"/>
      <c r="L961" s="1918"/>
      <c r="M961" s="1918"/>
      <c r="N961" s="1918"/>
      <c r="O961" s="1918"/>
      <c r="P961" s="1918"/>
      <c r="Q961" s="1918"/>
      <c r="R961" s="1918"/>
      <c r="S961" s="1918"/>
      <c r="T961" s="1918"/>
      <c r="U961" s="1918"/>
      <c r="V961" s="1918"/>
      <c r="W961" s="1918"/>
      <c r="X961" s="1918"/>
      <c r="Y961" s="1918"/>
      <c r="Z961" s="1918"/>
      <c r="AA961" s="1918"/>
      <c r="AB961" s="1918"/>
      <c r="AC961" s="1918"/>
      <c r="AD961" s="1918"/>
      <c r="AE961" s="1918"/>
    </row>
    <row r="962" spans="1:31" ht="15.75" customHeight="1">
      <c r="A962" s="1918"/>
      <c r="B962" s="1918"/>
      <c r="C962" s="1918"/>
      <c r="D962" s="1918"/>
      <c r="E962" s="1918"/>
      <c r="F962" s="1918"/>
      <c r="G962" s="1918"/>
      <c r="H962" s="1918"/>
      <c r="I962" s="1918"/>
      <c r="J962" s="1918"/>
      <c r="K962" s="1918"/>
      <c r="L962" s="1918"/>
      <c r="M962" s="1918"/>
      <c r="N962" s="1918"/>
      <c r="O962" s="1918"/>
      <c r="P962" s="1918"/>
      <c r="Q962" s="1918"/>
      <c r="R962" s="1918"/>
      <c r="S962" s="1918"/>
      <c r="T962" s="1918"/>
      <c r="U962" s="1918"/>
      <c r="V962" s="1918"/>
      <c r="W962" s="1918"/>
      <c r="X962" s="1918"/>
      <c r="Y962" s="1918"/>
      <c r="Z962" s="1918"/>
      <c r="AA962" s="1918"/>
      <c r="AB962" s="1918"/>
      <c r="AC962" s="1918"/>
      <c r="AD962" s="1918"/>
      <c r="AE962" s="1918"/>
    </row>
    <row r="963" spans="1:31" ht="15.75" customHeight="1">
      <c r="A963" s="1918"/>
      <c r="B963" s="1918"/>
      <c r="C963" s="1918"/>
      <c r="D963" s="1918"/>
      <c r="E963" s="1918"/>
      <c r="F963" s="1918"/>
      <c r="G963" s="1918"/>
      <c r="H963" s="1918"/>
      <c r="I963" s="1918"/>
      <c r="J963" s="1918"/>
      <c r="K963" s="1918"/>
      <c r="L963" s="1918"/>
      <c r="M963" s="1918"/>
      <c r="N963" s="1918"/>
      <c r="O963" s="1918"/>
      <c r="P963" s="1918"/>
      <c r="Q963" s="1918"/>
      <c r="R963" s="1918"/>
      <c r="S963" s="1918"/>
      <c r="T963" s="1918"/>
      <c r="U963" s="1918"/>
      <c r="V963" s="1918"/>
      <c r="W963" s="1918"/>
      <c r="X963" s="1918"/>
      <c r="Y963" s="1918"/>
      <c r="Z963" s="1918"/>
      <c r="AA963" s="1918"/>
      <c r="AB963" s="1918"/>
      <c r="AC963" s="1918"/>
      <c r="AD963" s="1918"/>
      <c r="AE963" s="1918"/>
    </row>
    <row r="964" spans="1:31" ht="15.75" customHeight="1">
      <c r="A964" s="1918"/>
      <c r="B964" s="1918"/>
      <c r="C964" s="1918"/>
      <c r="D964" s="1918"/>
      <c r="E964" s="1918"/>
      <c r="F964" s="1918"/>
      <c r="G964" s="1918"/>
      <c r="H964" s="1918"/>
      <c r="I964" s="1918"/>
      <c r="J964" s="1918"/>
      <c r="K964" s="1918"/>
      <c r="L964" s="1918"/>
      <c r="M964" s="1918"/>
      <c r="N964" s="1918"/>
      <c r="O964" s="1918"/>
      <c r="P964" s="1918"/>
      <c r="Q964" s="1918"/>
      <c r="R964" s="1918"/>
      <c r="S964" s="1918"/>
      <c r="T964" s="1918"/>
      <c r="U964" s="1918"/>
      <c r="V964" s="1918"/>
      <c r="W964" s="1918"/>
      <c r="X964" s="1918"/>
      <c r="Y964" s="1918"/>
      <c r="Z964" s="1918"/>
      <c r="AA964" s="1918"/>
      <c r="AB964" s="1918"/>
      <c r="AC964" s="1918"/>
      <c r="AD964" s="1918"/>
      <c r="AE964" s="1918"/>
    </row>
    <row r="965" spans="1:31" ht="15.75" customHeight="1">
      <c r="A965" s="1918"/>
      <c r="B965" s="1918"/>
      <c r="C965" s="1918"/>
      <c r="D965" s="1918"/>
      <c r="E965" s="1918"/>
      <c r="F965" s="1918"/>
      <c r="G965" s="1918"/>
      <c r="H965" s="1918"/>
      <c r="I965" s="1918"/>
      <c r="J965" s="1918"/>
      <c r="K965" s="1918"/>
      <c r="L965" s="1918"/>
      <c r="M965" s="1918"/>
      <c r="N965" s="1918"/>
      <c r="O965" s="1918"/>
      <c r="P965" s="1918"/>
      <c r="Q965" s="1918"/>
      <c r="R965" s="1918"/>
      <c r="S965" s="1918"/>
      <c r="T965" s="1918"/>
      <c r="U965" s="1918"/>
      <c r="V965" s="1918"/>
      <c r="W965" s="1918"/>
      <c r="X965" s="1918"/>
      <c r="Y965" s="1918"/>
      <c r="Z965" s="1918"/>
      <c r="AA965" s="1918"/>
      <c r="AB965" s="1918"/>
      <c r="AC965" s="1918"/>
      <c r="AD965" s="1918"/>
      <c r="AE965" s="1918"/>
    </row>
    <row r="966" spans="1:31" ht="15.75" customHeight="1">
      <c r="A966" s="1918"/>
      <c r="B966" s="1918"/>
      <c r="C966" s="1918"/>
      <c r="D966" s="1918"/>
      <c r="E966" s="1918"/>
      <c r="F966" s="1918"/>
      <c r="G966" s="1918"/>
      <c r="H966" s="1918"/>
      <c r="I966" s="1918"/>
      <c r="J966" s="1918"/>
      <c r="K966" s="1918"/>
      <c r="L966" s="1918"/>
      <c r="M966" s="1918"/>
      <c r="N966" s="1918"/>
      <c r="O966" s="1918"/>
      <c r="P966" s="1918"/>
      <c r="Q966" s="1918"/>
      <c r="R966" s="1918"/>
      <c r="S966" s="1918"/>
      <c r="T966" s="1918"/>
      <c r="U966" s="1918"/>
      <c r="V966" s="1918"/>
      <c r="W966" s="1918"/>
      <c r="X966" s="1918"/>
      <c r="Y966" s="1918"/>
      <c r="Z966" s="1918"/>
      <c r="AA966" s="1918"/>
      <c r="AB966" s="1918"/>
      <c r="AC966" s="1918"/>
      <c r="AD966" s="1918"/>
      <c r="AE966" s="1918"/>
    </row>
    <row r="967" spans="1:31" ht="15.75" customHeight="1">
      <c r="A967" s="1918"/>
      <c r="B967" s="1918"/>
      <c r="C967" s="1918"/>
      <c r="D967" s="1918"/>
      <c r="E967" s="1918"/>
      <c r="F967" s="1918"/>
      <c r="G967" s="1918"/>
      <c r="H967" s="1918"/>
      <c r="I967" s="1918"/>
      <c r="J967" s="1918"/>
      <c r="K967" s="1918"/>
      <c r="L967" s="1918"/>
      <c r="M967" s="1918"/>
      <c r="N967" s="1918"/>
      <c r="O967" s="1918"/>
      <c r="P967" s="1918"/>
      <c r="Q967" s="1918"/>
      <c r="R967" s="1918"/>
      <c r="S967" s="1918"/>
      <c r="T967" s="1918"/>
      <c r="U967" s="1918"/>
      <c r="V967" s="1918"/>
      <c r="W967" s="1918"/>
      <c r="X967" s="1918"/>
      <c r="Y967" s="1918"/>
      <c r="Z967" s="1918"/>
      <c r="AA967" s="1918"/>
      <c r="AB967" s="1918"/>
      <c r="AC967" s="1918"/>
      <c r="AD967" s="1918"/>
      <c r="AE967" s="1918"/>
    </row>
    <row r="968" spans="1:31" ht="15.75" customHeight="1">
      <c r="A968" s="1918"/>
      <c r="B968" s="1918"/>
      <c r="C968" s="1918"/>
      <c r="D968" s="1918"/>
      <c r="E968" s="1918"/>
      <c r="F968" s="1918"/>
      <c r="G968" s="1918"/>
      <c r="H968" s="1918"/>
      <c r="I968" s="1918"/>
      <c r="J968" s="1918"/>
      <c r="K968" s="1918"/>
      <c r="L968" s="1918"/>
      <c r="M968" s="1918"/>
      <c r="N968" s="1918"/>
      <c r="O968" s="1918"/>
      <c r="P968" s="1918"/>
      <c r="Q968" s="1918"/>
      <c r="R968" s="1918"/>
      <c r="S968" s="1918"/>
      <c r="T968" s="1918"/>
      <c r="U968" s="1918"/>
      <c r="V968" s="1918"/>
      <c r="W968" s="1918"/>
      <c r="X968" s="1918"/>
      <c r="Y968" s="1918"/>
      <c r="Z968" s="1918"/>
      <c r="AA968" s="1918"/>
      <c r="AB968" s="1918"/>
      <c r="AC968" s="1918"/>
      <c r="AD968" s="1918"/>
      <c r="AE968" s="1918"/>
    </row>
    <row r="969" spans="1:31" ht="15.75" customHeight="1">
      <c r="A969" s="1918"/>
      <c r="B969" s="1918"/>
      <c r="C969" s="1918"/>
      <c r="D969" s="1918"/>
      <c r="E969" s="1918"/>
      <c r="F969" s="1918"/>
      <c r="G969" s="1918"/>
      <c r="H969" s="1918"/>
      <c r="I969" s="1918"/>
      <c r="J969" s="1918"/>
      <c r="K969" s="1918"/>
      <c r="L969" s="1918"/>
      <c r="M969" s="1918"/>
      <c r="N969" s="1918"/>
      <c r="O969" s="1918"/>
      <c r="P969" s="1918"/>
      <c r="Q969" s="1918"/>
      <c r="R969" s="1918"/>
      <c r="S969" s="1918"/>
      <c r="T969" s="1918"/>
      <c r="U969" s="1918"/>
      <c r="V969" s="1918"/>
      <c r="W969" s="1918"/>
      <c r="X969" s="1918"/>
      <c r="Y969" s="1918"/>
      <c r="Z969" s="1918"/>
      <c r="AA969" s="1918"/>
      <c r="AB969" s="1918"/>
      <c r="AC969" s="1918"/>
      <c r="AD969" s="1918"/>
      <c r="AE969" s="1918"/>
    </row>
    <row r="970" spans="1:31" ht="15.75" customHeight="1">
      <c r="A970" s="1918"/>
      <c r="B970" s="1918"/>
      <c r="C970" s="1918"/>
      <c r="D970" s="1918"/>
      <c r="E970" s="1918"/>
      <c r="F970" s="1918"/>
      <c r="G970" s="1918"/>
      <c r="H970" s="1918"/>
      <c r="I970" s="1918"/>
      <c r="J970" s="1918"/>
      <c r="K970" s="1918"/>
      <c r="L970" s="1918"/>
      <c r="M970" s="1918"/>
      <c r="N970" s="1918"/>
      <c r="O970" s="1918"/>
      <c r="P970" s="1918"/>
      <c r="Q970" s="1918"/>
      <c r="R970" s="1918"/>
      <c r="S970" s="1918"/>
      <c r="T970" s="1918"/>
      <c r="U970" s="1918"/>
      <c r="V970" s="1918"/>
      <c r="W970" s="1918"/>
      <c r="X970" s="1918"/>
      <c r="Y970" s="1918"/>
      <c r="Z970" s="1918"/>
      <c r="AA970" s="1918"/>
      <c r="AB970" s="1918"/>
      <c r="AC970" s="1918"/>
      <c r="AD970" s="1918"/>
      <c r="AE970" s="1918"/>
    </row>
    <row r="971" spans="1:31" ht="15.75" customHeight="1">
      <c r="A971" s="1918"/>
      <c r="B971" s="1918"/>
      <c r="C971" s="1918"/>
      <c r="D971" s="1918"/>
      <c r="E971" s="1918"/>
      <c r="F971" s="1918"/>
      <c r="G971" s="1918"/>
      <c r="H971" s="1918"/>
      <c r="I971" s="1918"/>
      <c r="J971" s="1918"/>
      <c r="K971" s="1918"/>
      <c r="L971" s="1918"/>
      <c r="M971" s="1918"/>
      <c r="N971" s="1918"/>
      <c r="O971" s="1918"/>
      <c r="P971" s="1918"/>
      <c r="Q971" s="1918"/>
      <c r="R971" s="1918"/>
      <c r="S971" s="1918"/>
      <c r="T971" s="1918"/>
      <c r="U971" s="1918"/>
      <c r="V971" s="1918"/>
      <c r="W971" s="1918"/>
      <c r="X971" s="1918"/>
      <c r="Y971" s="1918"/>
      <c r="Z971" s="1918"/>
      <c r="AA971" s="1918"/>
      <c r="AB971" s="1918"/>
      <c r="AC971" s="1918"/>
      <c r="AD971" s="1918"/>
      <c r="AE971" s="1918"/>
    </row>
    <row r="972" spans="1:31" ht="15.75" customHeight="1">
      <c r="A972" s="1918"/>
      <c r="B972" s="1918"/>
      <c r="C972" s="1918"/>
      <c r="D972" s="1918"/>
      <c r="E972" s="1918"/>
      <c r="F972" s="1918"/>
      <c r="G972" s="1918"/>
      <c r="H972" s="1918"/>
      <c r="I972" s="1918"/>
      <c r="J972" s="1918"/>
      <c r="K972" s="1918"/>
      <c r="L972" s="1918"/>
      <c r="M972" s="1918"/>
      <c r="N972" s="1918"/>
      <c r="O972" s="1918"/>
      <c r="P972" s="1918"/>
      <c r="Q972" s="1918"/>
      <c r="R972" s="1918"/>
      <c r="S972" s="1918"/>
      <c r="T972" s="1918"/>
      <c r="U972" s="1918"/>
      <c r="V972" s="1918"/>
      <c r="W972" s="1918"/>
      <c r="X972" s="1918"/>
      <c r="Y972" s="1918"/>
      <c r="Z972" s="1918"/>
      <c r="AA972" s="1918"/>
      <c r="AB972" s="1918"/>
      <c r="AC972" s="1918"/>
      <c r="AD972" s="1918"/>
      <c r="AE972" s="1918"/>
    </row>
    <row r="973" spans="1:31" ht="15.75" customHeight="1">
      <c r="A973" s="1918"/>
      <c r="B973" s="1918"/>
      <c r="C973" s="1918"/>
      <c r="D973" s="1918"/>
      <c r="E973" s="1918"/>
      <c r="F973" s="1918"/>
      <c r="G973" s="1918"/>
      <c r="H973" s="1918"/>
      <c r="I973" s="1918"/>
      <c r="J973" s="1918"/>
      <c r="K973" s="1918"/>
      <c r="L973" s="1918"/>
      <c r="M973" s="1918"/>
      <c r="N973" s="1918"/>
      <c r="O973" s="1918"/>
      <c r="P973" s="1918"/>
      <c r="Q973" s="1918"/>
      <c r="R973" s="1918"/>
      <c r="S973" s="1918"/>
      <c r="T973" s="1918"/>
      <c r="U973" s="1918"/>
      <c r="V973" s="1918"/>
      <c r="W973" s="1918"/>
      <c r="X973" s="1918"/>
      <c r="Y973" s="1918"/>
      <c r="Z973" s="1918"/>
      <c r="AA973" s="1918"/>
      <c r="AB973" s="1918"/>
      <c r="AC973" s="1918"/>
      <c r="AD973" s="1918"/>
      <c r="AE973" s="1918"/>
    </row>
    <row r="974" spans="1:31" ht="15.75" customHeight="1">
      <c r="A974" s="1918"/>
      <c r="B974" s="1918"/>
      <c r="C974" s="1918"/>
      <c r="D974" s="1918"/>
      <c r="E974" s="1918"/>
      <c r="F974" s="1918"/>
      <c r="G974" s="1918"/>
      <c r="H974" s="1918"/>
      <c r="I974" s="1918"/>
      <c r="J974" s="1918"/>
      <c r="K974" s="1918"/>
      <c r="L974" s="1918"/>
      <c r="M974" s="1918"/>
      <c r="N974" s="1918"/>
      <c r="O974" s="1918"/>
      <c r="P974" s="1918"/>
      <c r="Q974" s="1918"/>
      <c r="R974" s="1918"/>
      <c r="S974" s="1918"/>
      <c r="T974" s="1918"/>
      <c r="U974" s="1918"/>
      <c r="V974" s="1918"/>
      <c r="W974" s="1918"/>
      <c r="X974" s="1918"/>
      <c r="Y974" s="1918"/>
      <c r="Z974" s="1918"/>
      <c r="AA974" s="1918"/>
      <c r="AB974" s="1918"/>
      <c r="AC974" s="1918"/>
      <c r="AD974" s="1918"/>
      <c r="AE974" s="1918"/>
    </row>
    <row r="975" spans="1:31" ht="15.75" customHeight="1">
      <c r="A975" s="1918"/>
      <c r="B975" s="1918"/>
      <c r="C975" s="1918"/>
      <c r="D975" s="1918"/>
      <c r="E975" s="1918"/>
      <c r="F975" s="1918"/>
      <c r="G975" s="1918"/>
      <c r="H975" s="1918"/>
      <c r="I975" s="1918"/>
      <c r="J975" s="1918"/>
      <c r="K975" s="1918"/>
      <c r="L975" s="1918"/>
      <c r="M975" s="1918"/>
      <c r="N975" s="1918"/>
      <c r="O975" s="1918"/>
      <c r="P975" s="1918"/>
      <c r="Q975" s="1918"/>
      <c r="R975" s="1918"/>
      <c r="S975" s="1918"/>
      <c r="T975" s="1918"/>
      <c r="U975" s="1918"/>
      <c r="V975" s="1918"/>
      <c r="W975" s="1918"/>
      <c r="X975" s="1918"/>
      <c r="Y975" s="1918"/>
      <c r="Z975" s="1918"/>
      <c r="AA975" s="1918"/>
      <c r="AB975" s="1918"/>
      <c r="AC975" s="1918"/>
      <c r="AD975" s="1918"/>
      <c r="AE975" s="1918"/>
    </row>
    <row r="976" spans="1:31" ht="15.75" customHeight="1">
      <c r="A976" s="1918"/>
      <c r="B976" s="1918"/>
      <c r="C976" s="1918"/>
      <c r="D976" s="1918"/>
      <c r="E976" s="1918"/>
      <c r="F976" s="1918"/>
      <c r="G976" s="1918"/>
      <c r="H976" s="1918"/>
      <c r="I976" s="1918"/>
      <c r="J976" s="1918"/>
      <c r="K976" s="1918"/>
      <c r="L976" s="1918"/>
      <c r="M976" s="1918"/>
      <c r="N976" s="1918"/>
      <c r="O976" s="1918"/>
      <c r="P976" s="1918"/>
      <c r="Q976" s="1918"/>
      <c r="R976" s="1918"/>
      <c r="S976" s="1918"/>
      <c r="T976" s="1918"/>
      <c r="U976" s="1918"/>
      <c r="V976" s="1918"/>
      <c r="W976" s="1918"/>
      <c r="X976" s="1918"/>
      <c r="Y976" s="1918"/>
      <c r="Z976" s="1918"/>
      <c r="AA976" s="1918"/>
      <c r="AB976" s="1918"/>
      <c r="AC976" s="1918"/>
      <c r="AD976" s="1918"/>
      <c r="AE976" s="1918"/>
    </row>
    <row r="977" spans="1:31" ht="15.75" customHeight="1">
      <c r="A977" s="1918"/>
      <c r="B977" s="1918"/>
      <c r="C977" s="1918"/>
      <c r="D977" s="1918"/>
      <c r="E977" s="1918"/>
      <c r="F977" s="1918"/>
      <c r="G977" s="1918"/>
      <c r="H977" s="1918"/>
      <c r="I977" s="1918"/>
      <c r="J977" s="1918"/>
      <c r="K977" s="1918"/>
      <c r="L977" s="1918"/>
      <c r="M977" s="1918"/>
      <c r="N977" s="1918"/>
      <c r="O977" s="1918"/>
      <c r="P977" s="1918"/>
      <c r="Q977" s="1918"/>
      <c r="R977" s="1918"/>
      <c r="S977" s="1918"/>
      <c r="T977" s="1918"/>
      <c r="U977" s="1918"/>
      <c r="V977" s="1918"/>
      <c r="W977" s="1918"/>
      <c r="X977" s="1918"/>
      <c r="Y977" s="1918"/>
      <c r="Z977" s="1918"/>
      <c r="AA977" s="1918"/>
      <c r="AB977" s="1918"/>
      <c r="AC977" s="1918"/>
      <c r="AD977" s="1918"/>
      <c r="AE977" s="1918"/>
    </row>
    <row r="978" spans="1:31" ht="15.75" customHeight="1">
      <c r="A978" s="1918"/>
      <c r="B978" s="1918"/>
      <c r="C978" s="1918"/>
      <c r="D978" s="1918"/>
      <c r="E978" s="1918"/>
      <c r="F978" s="1918"/>
      <c r="G978" s="1918"/>
      <c r="H978" s="1918"/>
      <c r="I978" s="1918"/>
      <c r="J978" s="1918"/>
      <c r="K978" s="1918"/>
      <c r="L978" s="1918"/>
      <c r="M978" s="1918"/>
      <c r="N978" s="1918"/>
      <c r="O978" s="1918"/>
      <c r="P978" s="1918"/>
      <c r="Q978" s="1918"/>
      <c r="R978" s="1918"/>
      <c r="S978" s="1918"/>
      <c r="T978" s="1918"/>
      <c r="U978" s="1918"/>
      <c r="V978" s="1918"/>
      <c r="W978" s="1918"/>
      <c r="X978" s="1918"/>
      <c r="Y978" s="1918"/>
      <c r="Z978" s="1918"/>
      <c r="AA978" s="1918"/>
      <c r="AB978" s="1918"/>
      <c r="AC978" s="1918"/>
      <c r="AD978" s="1918"/>
      <c r="AE978" s="1918"/>
    </row>
    <row r="979" spans="1:31" ht="15.75" customHeight="1">
      <c r="A979" s="1918"/>
      <c r="B979" s="1918"/>
      <c r="C979" s="1918"/>
      <c r="D979" s="1918"/>
      <c r="E979" s="1918"/>
      <c r="F979" s="1918"/>
      <c r="G979" s="1918"/>
      <c r="H979" s="1918"/>
      <c r="I979" s="1918"/>
      <c r="J979" s="1918"/>
      <c r="K979" s="1918"/>
      <c r="L979" s="1918"/>
      <c r="M979" s="1918"/>
      <c r="N979" s="1918"/>
      <c r="O979" s="1918"/>
      <c r="P979" s="1918"/>
      <c r="Q979" s="1918"/>
      <c r="R979" s="1918"/>
      <c r="S979" s="1918"/>
      <c r="T979" s="1918"/>
      <c r="U979" s="1918"/>
      <c r="V979" s="1918"/>
      <c r="W979" s="1918"/>
      <c r="X979" s="1918"/>
      <c r="Y979" s="1918"/>
      <c r="Z979" s="1918"/>
      <c r="AA979" s="1918"/>
      <c r="AB979" s="1918"/>
      <c r="AC979" s="1918"/>
      <c r="AD979" s="1918"/>
      <c r="AE979" s="1918"/>
    </row>
    <row r="980" spans="1:31" ht="15.75" customHeight="1">
      <c r="A980" s="1918"/>
      <c r="B980" s="1918"/>
      <c r="C980" s="1918"/>
      <c r="D980" s="1918"/>
      <c r="E980" s="1918"/>
      <c r="F980" s="1918"/>
      <c r="G980" s="1918"/>
      <c r="H980" s="1918"/>
      <c r="I980" s="1918"/>
      <c r="J980" s="1918"/>
      <c r="K980" s="1918"/>
      <c r="L980" s="1918"/>
      <c r="M980" s="1918"/>
      <c r="N980" s="1918"/>
      <c r="O980" s="1918"/>
      <c r="P980" s="1918"/>
      <c r="Q980" s="1918"/>
      <c r="R980" s="1918"/>
      <c r="S980" s="1918"/>
      <c r="T980" s="1918"/>
      <c r="U980" s="1918"/>
      <c r="V980" s="1918"/>
      <c r="W980" s="1918"/>
      <c r="X980" s="1918"/>
      <c r="Y980" s="1918"/>
      <c r="Z980" s="1918"/>
      <c r="AA980" s="1918"/>
      <c r="AB980" s="1918"/>
      <c r="AC980" s="1918"/>
      <c r="AD980" s="1918"/>
      <c r="AE980" s="1918"/>
    </row>
    <row r="981" spans="1:31" ht="15.75" customHeight="1">
      <c r="A981" s="1918"/>
      <c r="B981" s="1918"/>
      <c r="C981" s="1918"/>
      <c r="D981" s="1918"/>
      <c r="E981" s="1918"/>
      <c r="F981" s="1918"/>
      <c r="G981" s="1918"/>
      <c r="H981" s="1918"/>
      <c r="I981" s="1918"/>
      <c r="J981" s="1918"/>
      <c r="K981" s="1918"/>
      <c r="L981" s="1918"/>
      <c r="M981" s="1918"/>
      <c r="N981" s="1918"/>
      <c r="O981" s="1918"/>
      <c r="P981" s="1918"/>
      <c r="Q981" s="1918"/>
      <c r="R981" s="1918"/>
      <c r="S981" s="1918"/>
      <c r="T981" s="1918"/>
      <c r="U981" s="1918"/>
      <c r="V981" s="1918"/>
      <c r="W981" s="1918"/>
      <c r="X981" s="1918"/>
      <c r="Y981" s="1918"/>
      <c r="Z981" s="1918"/>
      <c r="AA981" s="1918"/>
      <c r="AB981" s="1918"/>
      <c r="AC981" s="1918"/>
      <c r="AD981" s="1918"/>
      <c r="AE981" s="1918"/>
    </row>
    <row r="982" spans="1:31" ht="15.75" customHeight="1">
      <c r="A982" s="1918"/>
      <c r="B982" s="1918"/>
      <c r="C982" s="1918"/>
      <c r="D982" s="1918"/>
      <c r="E982" s="1918"/>
      <c r="F982" s="1918"/>
      <c r="G982" s="1918"/>
      <c r="H982" s="1918"/>
      <c r="I982" s="1918"/>
      <c r="J982" s="1918"/>
      <c r="K982" s="1918"/>
      <c r="L982" s="1918"/>
      <c r="M982" s="1918"/>
      <c r="N982" s="1918"/>
      <c r="O982" s="1918"/>
      <c r="P982" s="1918"/>
      <c r="Q982" s="1918"/>
      <c r="R982" s="1918"/>
      <c r="S982" s="1918"/>
      <c r="T982" s="1918"/>
      <c r="U982" s="1918"/>
      <c r="V982" s="1918"/>
      <c r="W982" s="1918"/>
      <c r="X982" s="1918"/>
      <c r="Y982" s="1918"/>
      <c r="Z982" s="1918"/>
      <c r="AA982" s="1918"/>
      <c r="AB982" s="1918"/>
      <c r="AC982" s="1918"/>
      <c r="AD982" s="1918"/>
      <c r="AE982" s="1918"/>
    </row>
    <row r="983" spans="1:31" ht="15.75" customHeight="1">
      <c r="A983" s="1918"/>
      <c r="B983" s="1918"/>
      <c r="C983" s="1918"/>
      <c r="D983" s="1918"/>
      <c r="E983" s="1918"/>
      <c r="F983" s="1918"/>
      <c r="G983" s="1918"/>
      <c r="H983" s="1918"/>
      <c r="I983" s="1918"/>
      <c r="J983" s="1918"/>
      <c r="K983" s="1918"/>
      <c r="L983" s="1918"/>
      <c r="M983" s="1918"/>
      <c r="N983" s="1918"/>
      <c r="O983" s="1918"/>
      <c r="P983" s="1918"/>
      <c r="Q983" s="1918"/>
      <c r="R983" s="1918"/>
      <c r="S983" s="1918"/>
      <c r="T983" s="1918"/>
      <c r="U983" s="1918"/>
      <c r="V983" s="1918"/>
      <c r="W983" s="1918"/>
      <c r="X983" s="1918"/>
      <c r="Y983" s="1918"/>
      <c r="Z983" s="1918"/>
      <c r="AA983" s="1918"/>
      <c r="AB983" s="1918"/>
      <c r="AC983" s="1918"/>
      <c r="AD983" s="1918"/>
      <c r="AE983" s="1918"/>
    </row>
    <row r="984" spans="1:31" ht="15.75" customHeight="1">
      <c r="A984" s="1918"/>
      <c r="B984" s="1918"/>
      <c r="C984" s="1918"/>
      <c r="D984" s="1918"/>
      <c r="E984" s="1918"/>
      <c r="F984" s="1918"/>
      <c r="G984" s="1918"/>
      <c r="H984" s="1918"/>
      <c r="I984" s="1918"/>
      <c r="J984" s="1918"/>
      <c r="K984" s="1918"/>
      <c r="L984" s="1918"/>
      <c r="M984" s="1918"/>
      <c r="N984" s="1918"/>
      <c r="O984" s="1918"/>
      <c r="P984" s="1918"/>
      <c r="Q984" s="1918"/>
      <c r="R984" s="1918"/>
      <c r="S984" s="1918"/>
      <c r="T984" s="1918"/>
      <c r="U984" s="1918"/>
      <c r="V984" s="1918"/>
      <c r="W984" s="1918"/>
      <c r="X984" s="1918"/>
      <c r="Y984" s="1918"/>
      <c r="Z984" s="1918"/>
      <c r="AA984" s="1918"/>
      <c r="AB984" s="1918"/>
      <c r="AC984" s="1918"/>
      <c r="AD984" s="1918"/>
      <c r="AE984" s="1918"/>
    </row>
    <row r="985" spans="1:31" ht="15.75" customHeight="1">
      <c r="A985" s="1918"/>
      <c r="B985" s="1918"/>
      <c r="C985" s="1918"/>
      <c r="D985" s="1918"/>
      <c r="E985" s="1918"/>
      <c r="F985" s="1918"/>
      <c r="G985" s="1918"/>
      <c r="H985" s="1918"/>
      <c r="I985" s="1918"/>
      <c r="J985" s="1918"/>
      <c r="K985" s="1918"/>
      <c r="L985" s="1918"/>
      <c r="M985" s="1918"/>
      <c r="N985" s="1918"/>
      <c r="O985" s="1918"/>
      <c r="P985" s="1918"/>
      <c r="Q985" s="1918"/>
      <c r="R985" s="1918"/>
      <c r="S985" s="1918"/>
      <c r="T985" s="1918"/>
      <c r="U985" s="1918"/>
      <c r="V985" s="1918"/>
      <c r="W985" s="1918"/>
      <c r="X985" s="1918"/>
      <c r="Y985" s="1918"/>
      <c r="Z985" s="1918"/>
      <c r="AA985" s="1918"/>
      <c r="AB985" s="1918"/>
      <c r="AC985" s="1918"/>
      <c r="AD985" s="1918"/>
      <c r="AE985" s="1918"/>
    </row>
    <row r="986" spans="1:31" ht="15.75" customHeight="1">
      <c r="A986" s="1918"/>
      <c r="B986" s="1918"/>
      <c r="C986" s="1918"/>
      <c r="D986" s="1918"/>
      <c r="E986" s="1918"/>
      <c r="F986" s="1918"/>
      <c r="G986" s="1918"/>
      <c r="H986" s="1918"/>
      <c r="I986" s="1918"/>
      <c r="J986" s="1918"/>
      <c r="K986" s="1918"/>
      <c r="L986" s="1918"/>
      <c r="M986" s="1918"/>
      <c r="N986" s="1918"/>
      <c r="O986" s="1918"/>
      <c r="P986" s="1918"/>
      <c r="Q986" s="1918"/>
      <c r="R986" s="1918"/>
      <c r="S986" s="1918"/>
      <c r="T986" s="1918"/>
      <c r="U986" s="1918"/>
      <c r="V986" s="1918"/>
      <c r="W986" s="1918"/>
      <c r="X986" s="1918"/>
      <c r="Y986" s="1918"/>
      <c r="Z986" s="1918"/>
      <c r="AA986" s="1918"/>
      <c r="AB986" s="1918"/>
      <c r="AC986" s="1918"/>
      <c r="AD986" s="1918"/>
      <c r="AE986" s="1918"/>
    </row>
    <row r="987" spans="1:31" ht="15.75" customHeight="1">
      <c r="A987" s="1918"/>
      <c r="B987" s="1918"/>
      <c r="C987" s="1918"/>
      <c r="D987" s="1918"/>
      <c r="E987" s="1918"/>
      <c r="F987" s="1918"/>
      <c r="G987" s="1918"/>
      <c r="H987" s="1918"/>
      <c r="I987" s="1918"/>
      <c r="J987" s="1918"/>
      <c r="K987" s="1918"/>
      <c r="L987" s="1918"/>
      <c r="M987" s="1918"/>
      <c r="N987" s="1918"/>
      <c r="O987" s="1918"/>
      <c r="P987" s="1918"/>
      <c r="Q987" s="1918"/>
      <c r="R987" s="1918"/>
      <c r="S987" s="1918"/>
      <c r="T987" s="1918"/>
      <c r="U987" s="1918"/>
      <c r="V987" s="1918"/>
      <c r="W987" s="1918"/>
      <c r="X987" s="1918"/>
      <c r="Y987" s="1918"/>
      <c r="Z987" s="1918"/>
      <c r="AA987" s="1918"/>
      <c r="AB987" s="1918"/>
      <c r="AC987" s="1918"/>
      <c r="AD987" s="1918"/>
      <c r="AE987" s="1918"/>
    </row>
    <row r="988" spans="1:31" ht="15.75" customHeight="1">
      <c r="A988" s="1918"/>
      <c r="B988" s="1918"/>
      <c r="C988" s="1918"/>
      <c r="D988" s="1918"/>
      <c r="E988" s="1918"/>
      <c r="F988" s="1918"/>
      <c r="G988" s="1918"/>
      <c r="H988" s="1918"/>
      <c r="I988" s="1918"/>
      <c r="J988" s="1918"/>
      <c r="K988" s="1918"/>
      <c r="L988" s="1918"/>
      <c r="M988" s="1918"/>
      <c r="N988" s="1918"/>
      <c r="O988" s="1918"/>
      <c r="P988" s="1918"/>
      <c r="Q988" s="1918"/>
      <c r="R988" s="1918"/>
      <c r="S988" s="1918"/>
      <c r="T988" s="1918"/>
      <c r="U988" s="1918"/>
      <c r="V988" s="1918"/>
      <c r="W988" s="1918"/>
      <c r="X988" s="1918"/>
      <c r="Y988" s="1918"/>
      <c r="Z988" s="1918"/>
      <c r="AA988" s="1918"/>
      <c r="AB988" s="1918"/>
      <c r="AC988" s="1918"/>
      <c r="AD988" s="1918"/>
      <c r="AE988" s="1918"/>
    </row>
    <row r="989" spans="1:31" ht="15.75" customHeight="1">
      <c r="A989" s="1918"/>
      <c r="B989" s="1918"/>
      <c r="C989" s="1918"/>
      <c r="D989" s="1918"/>
      <c r="E989" s="1918"/>
      <c r="F989" s="1918"/>
      <c r="G989" s="1918"/>
      <c r="H989" s="1918"/>
      <c r="I989" s="1918"/>
      <c r="J989" s="1918"/>
      <c r="K989" s="1918"/>
      <c r="L989" s="1918"/>
      <c r="M989" s="1918"/>
      <c r="N989" s="1918"/>
      <c r="O989" s="1918"/>
      <c r="P989" s="1918"/>
      <c r="Q989" s="1918"/>
      <c r="R989" s="1918"/>
      <c r="S989" s="1918"/>
      <c r="T989" s="1918"/>
      <c r="U989" s="1918"/>
      <c r="V989" s="1918"/>
      <c r="W989" s="1918"/>
      <c r="X989" s="1918"/>
      <c r="Y989" s="1918"/>
      <c r="Z989" s="1918"/>
      <c r="AA989" s="1918"/>
      <c r="AB989" s="1918"/>
      <c r="AC989" s="1918"/>
      <c r="AD989" s="1918"/>
      <c r="AE989" s="1918"/>
    </row>
    <row r="990" spans="1:31" ht="15.75" customHeight="1">
      <c r="A990" s="1918"/>
      <c r="B990" s="1918"/>
      <c r="C990" s="1918"/>
      <c r="D990" s="1918"/>
      <c r="E990" s="1918"/>
      <c r="F990" s="1918"/>
      <c r="G990" s="1918"/>
      <c r="H990" s="1918"/>
      <c r="I990" s="1918"/>
      <c r="J990" s="1918"/>
      <c r="K990" s="1918"/>
      <c r="L990" s="1918"/>
      <c r="M990" s="1918"/>
      <c r="N990" s="1918"/>
      <c r="O990" s="1918"/>
      <c r="P990" s="1918"/>
      <c r="Q990" s="1918"/>
      <c r="R990" s="1918"/>
      <c r="S990" s="1918"/>
      <c r="T990" s="1918"/>
      <c r="U990" s="1918"/>
      <c r="V990" s="1918"/>
      <c r="W990" s="1918"/>
      <c r="X990" s="1918"/>
      <c r="Y990" s="1918"/>
      <c r="Z990" s="1918"/>
      <c r="AA990" s="1918"/>
      <c r="AB990" s="1918"/>
      <c r="AC990" s="1918"/>
      <c r="AD990" s="1918"/>
      <c r="AE990" s="1918"/>
    </row>
    <row r="991" spans="1:31" ht="15.75" customHeight="1">
      <c r="A991" s="1918"/>
      <c r="B991" s="1918"/>
      <c r="C991" s="1918"/>
      <c r="D991" s="1918"/>
      <c r="E991" s="1918"/>
      <c r="F991" s="1918"/>
      <c r="G991" s="1918"/>
      <c r="H991" s="1918"/>
      <c r="I991" s="1918"/>
      <c r="J991" s="1918"/>
      <c r="K991" s="1918"/>
      <c r="L991" s="1918"/>
      <c r="M991" s="1918"/>
      <c r="N991" s="1918"/>
      <c r="O991" s="1918"/>
      <c r="P991" s="1918"/>
      <c r="Q991" s="1918"/>
      <c r="R991" s="1918"/>
      <c r="S991" s="1918"/>
      <c r="T991" s="1918"/>
      <c r="U991" s="1918"/>
      <c r="V991" s="1918"/>
      <c r="W991" s="1918"/>
      <c r="X991" s="1918"/>
      <c r="Y991" s="1918"/>
      <c r="Z991" s="1918"/>
      <c r="AA991" s="1918"/>
      <c r="AB991" s="1918"/>
      <c r="AC991" s="1918"/>
      <c r="AD991" s="1918"/>
      <c r="AE991" s="1918"/>
    </row>
    <row r="992" spans="1:31" ht="15.75" customHeight="1">
      <c r="A992" s="1918"/>
      <c r="B992" s="1918"/>
      <c r="C992" s="1918"/>
      <c r="D992" s="1918"/>
      <c r="E992" s="1918"/>
      <c r="F992" s="1918"/>
      <c r="G992" s="1918"/>
      <c r="H992" s="1918"/>
      <c r="I992" s="1918"/>
      <c r="J992" s="1918"/>
      <c r="K992" s="1918"/>
      <c r="L992" s="1918"/>
      <c r="M992" s="1918"/>
      <c r="N992" s="1918"/>
      <c r="O992" s="1918"/>
      <c r="P992" s="1918"/>
      <c r="Q992" s="1918"/>
      <c r="R992" s="1918"/>
      <c r="S992" s="1918"/>
      <c r="T992" s="1918"/>
      <c r="U992" s="1918"/>
      <c r="V992" s="1918"/>
      <c r="W992" s="1918"/>
      <c r="X992" s="1918"/>
      <c r="Y992" s="1918"/>
      <c r="Z992" s="1918"/>
      <c r="AA992" s="1918"/>
      <c r="AB992" s="1918"/>
      <c r="AC992" s="1918"/>
      <c r="AD992" s="1918"/>
      <c r="AE992" s="1918"/>
    </row>
    <row r="993" spans="1:31" ht="15.75" customHeight="1">
      <c r="A993" s="1918"/>
      <c r="B993" s="1918"/>
      <c r="C993" s="1918"/>
      <c r="D993" s="1918"/>
      <c r="E993" s="1918"/>
      <c r="F993" s="1918"/>
      <c r="G993" s="1918"/>
      <c r="H993" s="1918"/>
      <c r="I993" s="1918"/>
      <c r="J993" s="1918"/>
      <c r="K993" s="1918"/>
      <c r="L993" s="1918"/>
      <c r="M993" s="1918"/>
      <c r="N993" s="1918"/>
      <c r="O993" s="1918"/>
      <c r="P993" s="1918"/>
      <c r="Q993" s="1918"/>
      <c r="R993" s="1918"/>
      <c r="S993" s="1918"/>
      <c r="T993" s="1918"/>
      <c r="U993" s="1918"/>
      <c r="V993" s="1918"/>
      <c r="W993" s="1918"/>
      <c r="X993" s="1918"/>
      <c r="Y993" s="1918"/>
      <c r="Z993" s="1918"/>
      <c r="AA993" s="1918"/>
      <c r="AB993" s="1918"/>
      <c r="AC993" s="1918"/>
      <c r="AD993" s="1918"/>
      <c r="AE993" s="1918"/>
    </row>
    <row r="994" spans="1:31" ht="15.75" customHeight="1">
      <c r="A994" s="1918"/>
      <c r="B994" s="1918"/>
      <c r="C994" s="1918"/>
      <c r="D994" s="1918"/>
      <c r="E994" s="1918"/>
      <c r="F994" s="1918"/>
      <c r="G994" s="1918"/>
      <c r="H994" s="1918"/>
      <c r="I994" s="1918"/>
      <c r="J994" s="1918"/>
      <c r="K994" s="1918"/>
      <c r="L994" s="1918"/>
      <c r="M994" s="1918"/>
      <c r="N994" s="1918"/>
      <c r="O994" s="1918"/>
      <c r="P994" s="1918"/>
      <c r="Q994" s="1918"/>
      <c r="R994" s="1918"/>
      <c r="S994" s="1918"/>
      <c r="T994" s="1918"/>
      <c r="U994" s="1918"/>
      <c r="V994" s="1918"/>
      <c r="W994" s="1918"/>
      <c r="X994" s="1918"/>
      <c r="Y994" s="1918"/>
      <c r="Z994" s="1918"/>
      <c r="AA994" s="1918"/>
      <c r="AB994" s="1918"/>
      <c r="AC994" s="1918"/>
      <c r="AD994" s="1918"/>
      <c r="AE994" s="1918"/>
    </row>
    <row r="995" spans="1:31" ht="15.75" customHeight="1">
      <c r="A995" s="1918"/>
      <c r="B995" s="1918"/>
      <c r="C995" s="1918"/>
      <c r="D995" s="1918"/>
      <c r="E995" s="1918"/>
      <c r="F995" s="1918"/>
      <c r="G995" s="1918"/>
      <c r="H995" s="1918"/>
      <c r="I995" s="1918"/>
      <c r="J995" s="1918"/>
      <c r="K995" s="1918"/>
      <c r="L995" s="1918"/>
      <c r="M995" s="1918"/>
      <c r="N995" s="1918"/>
      <c r="O995" s="1918"/>
      <c r="P995" s="1918"/>
      <c r="Q995" s="1918"/>
      <c r="R995" s="1918"/>
      <c r="S995" s="1918"/>
      <c r="T995" s="1918"/>
      <c r="U995" s="1918"/>
      <c r="V995" s="1918"/>
      <c r="W995" s="1918"/>
      <c r="X995" s="1918"/>
      <c r="Y995" s="1918"/>
      <c r="Z995" s="1918"/>
      <c r="AA995" s="1918"/>
      <c r="AB995" s="1918"/>
      <c r="AC995" s="1918"/>
      <c r="AD995" s="1918"/>
      <c r="AE995" s="1918"/>
    </row>
    <row r="996" spans="1:31" ht="15.75" customHeight="1">
      <c r="A996" s="1918"/>
      <c r="B996" s="1918"/>
      <c r="C996" s="1918"/>
      <c r="D996" s="1918"/>
      <c r="E996" s="1918"/>
      <c r="F996" s="1918"/>
      <c r="G996" s="1918"/>
      <c r="H996" s="1918"/>
      <c r="I996" s="1918"/>
      <c r="J996" s="1918"/>
      <c r="K996" s="1918"/>
      <c r="L996" s="1918"/>
      <c r="M996" s="1918"/>
      <c r="N996" s="1918"/>
      <c r="O996" s="1918"/>
      <c r="P996" s="1918"/>
      <c r="Q996" s="1918"/>
      <c r="R996" s="1918"/>
      <c r="S996" s="1918"/>
      <c r="T996" s="1918"/>
      <c r="U996" s="1918"/>
      <c r="V996" s="1918"/>
      <c r="W996" s="1918"/>
      <c r="X996" s="1918"/>
      <c r="Y996" s="1918"/>
      <c r="Z996" s="1918"/>
      <c r="AA996" s="1918"/>
      <c r="AB996" s="1918"/>
      <c r="AC996" s="1918"/>
      <c r="AD996" s="1918"/>
      <c r="AE996" s="1918"/>
    </row>
    <row r="997" spans="1:31" ht="15.75" customHeight="1">
      <c r="A997" s="1918"/>
      <c r="B997" s="1918"/>
      <c r="C997" s="1918"/>
      <c r="D997" s="1918"/>
      <c r="E997" s="1918"/>
      <c r="F997" s="1918"/>
      <c r="G997" s="1918"/>
      <c r="H997" s="1918"/>
      <c r="I997" s="1918"/>
      <c r="J997" s="1918"/>
      <c r="K997" s="1918"/>
      <c r="L997" s="1918"/>
      <c r="M997" s="1918"/>
      <c r="N997" s="1918"/>
      <c r="O997" s="1918"/>
      <c r="P997" s="1918"/>
      <c r="Q997" s="1918"/>
      <c r="R997" s="1918"/>
      <c r="S997" s="1918"/>
      <c r="T997" s="1918"/>
      <c r="U997" s="1918"/>
      <c r="V997" s="1918"/>
      <c r="W997" s="1918"/>
      <c r="X997" s="1918"/>
      <c r="Y997" s="1918"/>
      <c r="Z997" s="1918"/>
      <c r="AA997" s="1918"/>
      <c r="AB997" s="1918"/>
      <c r="AC997" s="1918"/>
      <c r="AD997" s="1918"/>
      <c r="AE997" s="1918"/>
    </row>
    <row r="998" spans="1:31" ht="15.75" customHeight="1">
      <c r="A998" s="1918"/>
      <c r="B998" s="1918"/>
      <c r="C998" s="1918"/>
      <c r="D998" s="1918"/>
      <c r="E998" s="1918"/>
      <c r="F998" s="1918"/>
      <c r="G998" s="1918"/>
      <c r="H998" s="1918"/>
      <c r="I998" s="1918"/>
      <c r="J998" s="1918"/>
      <c r="K998" s="1918"/>
      <c r="L998" s="1918"/>
      <c r="M998" s="1918"/>
      <c r="N998" s="1918"/>
      <c r="O998" s="1918"/>
      <c r="P998" s="1918"/>
      <c r="Q998" s="1918"/>
      <c r="R998" s="1918"/>
      <c r="S998" s="1918"/>
      <c r="T998" s="1918"/>
      <c r="U998" s="1918"/>
      <c r="V998" s="1918"/>
      <c r="W998" s="1918"/>
      <c r="X998" s="1918"/>
      <c r="Y998" s="1918"/>
      <c r="Z998" s="1918"/>
      <c r="AA998" s="1918"/>
      <c r="AB998" s="1918"/>
      <c r="AC998" s="1918"/>
      <c r="AD998" s="1918"/>
      <c r="AE998" s="1918"/>
    </row>
    <row r="999" spans="1:31" ht="15.75" customHeight="1">
      <c r="A999" s="1918"/>
      <c r="B999" s="1918"/>
      <c r="C999" s="1918"/>
      <c r="D999" s="1918"/>
      <c r="E999" s="1918"/>
      <c r="F999" s="1918"/>
      <c r="G999" s="1918"/>
      <c r="H999" s="1918"/>
      <c r="I999" s="1918"/>
      <c r="J999" s="1918"/>
      <c r="K999" s="1918"/>
      <c r="L999" s="1918"/>
      <c r="M999" s="1918"/>
      <c r="N999" s="1918"/>
      <c r="O999" s="1918"/>
      <c r="P999" s="1918"/>
      <c r="Q999" s="1918"/>
      <c r="R999" s="1918"/>
      <c r="S999" s="1918"/>
      <c r="T999" s="1918"/>
      <c r="U999" s="1918"/>
      <c r="V999" s="1918"/>
      <c r="W999" s="1918"/>
      <c r="X999" s="1918"/>
      <c r="Y999" s="1918"/>
      <c r="Z999" s="1918"/>
      <c r="AA999" s="1918"/>
      <c r="AB999" s="1918"/>
      <c r="AC999" s="1918"/>
      <c r="AD999" s="1918"/>
      <c r="AE999" s="1918"/>
    </row>
    <row r="1000" spans="1:31" ht="15.75" customHeight="1">
      <c r="A1000" s="1918"/>
      <c r="B1000" s="1918"/>
      <c r="C1000" s="1918"/>
      <c r="D1000" s="1918"/>
      <c r="E1000" s="1918"/>
      <c r="F1000" s="1918"/>
      <c r="G1000" s="1918"/>
      <c r="H1000" s="1918"/>
      <c r="I1000" s="1918"/>
      <c r="J1000" s="1918"/>
      <c r="K1000" s="1918"/>
      <c r="L1000" s="1918"/>
      <c r="M1000" s="1918"/>
      <c r="N1000" s="1918"/>
      <c r="O1000" s="1918"/>
      <c r="P1000" s="1918"/>
      <c r="Q1000" s="1918"/>
      <c r="R1000" s="1918"/>
      <c r="S1000" s="1918"/>
      <c r="T1000" s="1918"/>
      <c r="U1000" s="1918"/>
      <c r="V1000" s="1918"/>
      <c r="W1000" s="1918"/>
      <c r="X1000" s="1918"/>
      <c r="Y1000" s="1918"/>
      <c r="Z1000" s="1918"/>
      <c r="AA1000" s="1918"/>
      <c r="AB1000" s="1918"/>
      <c r="AC1000" s="1918"/>
      <c r="AD1000" s="1918"/>
      <c r="AE1000" s="1918"/>
    </row>
  </sheetData>
  <mergeCells count="12">
    <mergeCell ref="I22:K22"/>
    <mergeCell ref="M22:O22"/>
    <mergeCell ref="I23:K23"/>
    <mergeCell ref="M23:O23"/>
    <mergeCell ref="B4:C4"/>
    <mergeCell ref="B5:C5"/>
    <mergeCell ref="B6:C6"/>
    <mergeCell ref="B7:C7"/>
    <mergeCell ref="B8:C8"/>
    <mergeCell ref="B10:C10"/>
    <mergeCell ref="C22:E22"/>
    <mergeCell ref="C23:E23"/>
  </mergeCells>
  <pageMargins left="0.7" right="0.7" top="0.75" bottom="0.75" header="0" footer="0"/>
  <pageSetup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1000"/>
  <sheetViews>
    <sheetView workbookViewId="0"/>
  </sheetViews>
  <sheetFormatPr defaultColWidth="16.85546875" defaultRowHeight="15" customHeight="1"/>
  <cols>
    <col min="1" max="1" width="3.85546875" customWidth="1"/>
    <col min="2" max="2" width="23" customWidth="1"/>
    <col min="3" max="3" width="13" customWidth="1"/>
    <col min="4" max="4" width="2.85546875" customWidth="1"/>
    <col min="5" max="5" width="11.85546875" customWidth="1"/>
    <col min="6" max="6" width="2" customWidth="1"/>
    <col min="7" max="7" width="16.42578125" customWidth="1"/>
    <col min="8" max="8" width="2" customWidth="1"/>
    <col min="9" max="9" width="13.28515625" customWidth="1"/>
    <col min="10" max="10" width="2.42578125" customWidth="1"/>
    <col min="11" max="11" width="18.85546875" customWidth="1"/>
    <col min="12" max="12" width="2.42578125" customWidth="1"/>
    <col min="13" max="13" width="12.28515625" customWidth="1"/>
    <col min="14" max="14" width="2.7109375" customWidth="1"/>
    <col min="15" max="15" width="12.42578125" customWidth="1"/>
    <col min="16" max="16" width="1.85546875" customWidth="1"/>
    <col min="17" max="17" width="9.85546875" customWidth="1"/>
    <col min="18" max="18" width="3.7109375" customWidth="1"/>
    <col min="19" max="19" width="14.140625" customWidth="1"/>
    <col min="20" max="20" width="2.7109375" customWidth="1"/>
    <col min="21" max="21" width="12.42578125" customWidth="1"/>
    <col min="22" max="22" width="2.28515625" customWidth="1"/>
    <col min="23" max="23" width="10.85546875" customWidth="1"/>
    <col min="24" max="24" width="2.7109375" customWidth="1"/>
    <col min="26" max="26" width="2.85546875" customWidth="1"/>
    <col min="27" max="27" width="10.7109375" customWidth="1"/>
    <col min="28" max="28" width="1.85546875" customWidth="1"/>
    <col min="29" max="29" width="11.28515625" customWidth="1"/>
    <col min="30" max="30" width="1.7109375" customWidth="1"/>
    <col min="31" max="31" width="8.85546875" customWidth="1"/>
    <col min="32" max="32" width="2" customWidth="1"/>
    <col min="33" max="33" width="10.28515625" customWidth="1"/>
    <col min="34" max="34" width="1.85546875" customWidth="1"/>
    <col min="35" max="35" width="10.140625" customWidth="1"/>
    <col min="36" max="36" width="1.7109375" customWidth="1"/>
    <col min="37" max="37" width="10.7109375" customWidth="1"/>
    <col min="38" max="38" width="2.140625" customWidth="1"/>
    <col min="39" max="39" width="12" customWidth="1"/>
  </cols>
  <sheetData>
    <row r="1" spans="1:39" ht="32.4">
      <c r="B1" s="2205" t="s">
        <v>1749</v>
      </c>
      <c r="C1" s="2206"/>
      <c r="D1" s="2207"/>
      <c r="E1" s="2207"/>
      <c r="G1" s="137"/>
    </row>
    <row r="2" spans="1:39" ht="292.5" customHeight="1"/>
    <row r="3" spans="1:39" ht="19.8">
      <c r="B3" s="2932" t="s">
        <v>1750</v>
      </c>
      <c r="C3" s="2933"/>
      <c r="D3" s="2933"/>
      <c r="E3" s="2933"/>
      <c r="F3" s="2933"/>
      <c r="G3" s="2933"/>
      <c r="H3" s="2933"/>
      <c r="I3" s="2934"/>
      <c r="J3" s="2208"/>
      <c r="K3" s="2208"/>
      <c r="L3" s="2208"/>
      <c r="M3" s="2208"/>
      <c r="N3" s="2208"/>
      <c r="O3" s="2208"/>
      <c r="P3" s="2208"/>
      <c r="Q3" s="2208"/>
      <c r="R3" s="2208"/>
      <c r="S3" s="2208"/>
      <c r="T3" s="2208"/>
      <c r="U3" s="2208"/>
      <c r="V3" s="2208"/>
      <c r="W3" s="2208"/>
      <c r="X3" s="2208"/>
      <c r="Y3" s="2209"/>
    </row>
    <row r="4" spans="1:39" ht="40.200000000000003">
      <c r="A4" s="6"/>
      <c r="B4" s="2210" t="s">
        <v>52</v>
      </c>
      <c r="C4" s="2211" t="s">
        <v>1280</v>
      </c>
      <c r="D4" s="2171"/>
      <c r="E4" s="2211" t="s">
        <v>1751</v>
      </c>
      <c r="F4" s="2212"/>
      <c r="G4" s="2211" t="s">
        <v>1752</v>
      </c>
      <c r="H4" s="2212"/>
      <c r="I4" s="2211" t="s">
        <v>1753</v>
      </c>
      <c r="J4" s="2212"/>
      <c r="K4" s="2211" t="s">
        <v>1754</v>
      </c>
      <c r="L4" s="2212"/>
      <c r="M4" s="2211" t="s">
        <v>1755</v>
      </c>
      <c r="N4" s="2212"/>
      <c r="O4" s="2211" t="s">
        <v>1756</v>
      </c>
      <c r="P4" s="2212"/>
      <c r="Q4" s="2211" t="s">
        <v>1757</v>
      </c>
      <c r="R4" s="2212"/>
      <c r="S4" s="2211" t="s">
        <v>1758</v>
      </c>
      <c r="T4" s="2211"/>
      <c r="U4" s="2211" t="s">
        <v>1759</v>
      </c>
      <c r="V4" s="2212"/>
      <c r="W4" s="2211" t="s">
        <v>1760</v>
      </c>
      <c r="X4" s="2168"/>
      <c r="Y4" s="2213" t="s">
        <v>1761</v>
      </c>
      <c r="Z4" s="6"/>
      <c r="AA4" s="6"/>
      <c r="AB4" s="6"/>
      <c r="AC4" s="6"/>
      <c r="AD4" s="6"/>
      <c r="AE4" s="6"/>
      <c r="AF4" s="6"/>
      <c r="AG4" s="6"/>
      <c r="AH4" s="6"/>
      <c r="AI4" s="6"/>
      <c r="AJ4" s="6"/>
      <c r="AK4" s="6"/>
      <c r="AL4" s="6"/>
      <c r="AM4" s="6"/>
    </row>
    <row r="5" spans="1:39" ht="10.199999999999999">
      <c r="A5" s="2214"/>
      <c r="B5" s="2215">
        <v>2017</v>
      </c>
      <c r="C5" s="2216">
        <v>6052177</v>
      </c>
      <c r="D5" s="2217" t="s">
        <v>1141</v>
      </c>
      <c r="E5" s="2218">
        <v>0.09</v>
      </c>
      <c r="F5" s="2217" t="s">
        <v>1141</v>
      </c>
      <c r="G5" s="2219">
        <v>365</v>
      </c>
      <c r="H5" s="2217" t="s">
        <v>1141</v>
      </c>
      <c r="I5" s="2220">
        <v>1E-3</v>
      </c>
      <c r="J5" s="2217" t="s">
        <v>1141</v>
      </c>
      <c r="K5" s="2221">
        <v>0.6</v>
      </c>
      <c r="L5" s="2217" t="s">
        <v>1141</v>
      </c>
      <c r="M5" s="2222">
        <v>0.16250000000000001</v>
      </c>
      <c r="N5" s="2223" t="s">
        <v>1105</v>
      </c>
      <c r="O5" s="2221">
        <f>C5*$E$5*$G$5*$M$5*$K$5*$I$5</f>
        <v>19384.366408875001</v>
      </c>
      <c r="P5" s="2217" t="s">
        <v>1141</v>
      </c>
      <c r="Q5" s="2216">
        <f>$C$46</f>
        <v>28</v>
      </c>
      <c r="R5" s="2217" t="s">
        <v>1141</v>
      </c>
      <c r="S5" s="2224">
        <v>9.9999999999999995E-7</v>
      </c>
      <c r="T5" s="2217" t="s">
        <v>1141</v>
      </c>
      <c r="U5" s="2221">
        <f>12/44</f>
        <v>0.27272727272727271</v>
      </c>
      <c r="V5" s="2217" t="s">
        <v>1105</v>
      </c>
      <c r="W5" s="2225">
        <f>O5*Q$5*S$5*U$5</f>
        <v>0.14802607075868179</v>
      </c>
      <c r="X5" s="2217" t="s">
        <v>1105</v>
      </c>
      <c r="Y5" s="2226">
        <f>W5*44/12</f>
        <v>0.54276225944849987</v>
      </c>
      <c r="Z5" s="2214"/>
      <c r="AA5" s="2214"/>
      <c r="AB5" s="2214"/>
      <c r="AC5" s="2214"/>
      <c r="AD5" s="2214"/>
      <c r="AE5" s="2214"/>
      <c r="AF5" s="2214"/>
      <c r="AG5" s="2214"/>
      <c r="AH5" s="2214"/>
      <c r="AI5" s="2214"/>
      <c r="AJ5" s="2214"/>
      <c r="AK5" s="2214"/>
      <c r="AL5" s="2214"/>
      <c r="AM5" s="2214"/>
    </row>
    <row r="6" spans="1:39" ht="10.199999999999999">
      <c r="B6" s="1057"/>
      <c r="C6" s="1058"/>
      <c r="D6" s="1058"/>
      <c r="E6" s="1058"/>
      <c r="F6" s="1058"/>
      <c r="G6" s="1058"/>
      <c r="H6" s="1058"/>
      <c r="I6" s="1058"/>
      <c r="J6" s="1058"/>
      <c r="K6" s="1058"/>
      <c r="L6" s="1058"/>
      <c r="M6" s="1058"/>
      <c r="N6" s="1058"/>
      <c r="O6" s="1058"/>
      <c r="P6" s="1058"/>
      <c r="Q6" s="1058"/>
      <c r="R6" s="1058"/>
      <c r="S6" s="1058"/>
      <c r="T6" s="1058"/>
      <c r="U6" s="1058"/>
      <c r="V6" s="1058"/>
      <c r="W6" s="1058"/>
      <c r="X6" s="1058"/>
      <c r="Y6" s="1060"/>
    </row>
    <row r="7" spans="1:39" ht="10.199999999999999">
      <c r="B7" s="1"/>
      <c r="C7" s="1"/>
      <c r="D7" s="1"/>
      <c r="E7" s="1"/>
      <c r="F7" s="1"/>
      <c r="G7" s="1"/>
      <c r="H7" s="1"/>
      <c r="I7" s="1"/>
      <c r="J7" s="1"/>
      <c r="K7" s="1"/>
      <c r="L7" s="1"/>
      <c r="M7" s="1"/>
      <c r="N7" s="1"/>
      <c r="O7" s="1"/>
      <c r="P7" s="1"/>
      <c r="Q7" s="1"/>
      <c r="R7" s="1"/>
      <c r="S7" s="1"/>
      <c r="T7" s="1"/>
      <c r="U7" s="1"/>
      <c r="V7" s="1"/>
      <c r="W7" s="1"/>
      <c r="X7" s="1"/>
      <c r="Y7" s="1"/>
    </row>
    <row r="8" spans="1:39" ht="19.8">
      <c r="B8" s="2227" t="s">
        <v>1762</v>
      </c>
      <c r="C8" s="2208"/>
      <c r="D8" s="2208"/>
      <c r="E8" s="2208"/>
      <c r="F8" s="2208"/>
      <c r="G8" s="2208"/>
      <c r="H8" s="2208"/>
      <c r="I8" s="2208"/>
      <c r="J8" s="2208"/>
      <c r="K8" s="2208"/>
      <c r="L8" s="2208"/>
      <c r="M8" s="2208"/>
      <c r="N8" s="2208"/>
      <c r="O8" s="2208"/>
      <c r="P8" s="2208"/>
      <c r="Q8" s="2208"/>
      <c r="R8" s="2208"/>
      <c r="S8" s="2208"/>
      <c r="T8" s="2208"/>
      <c r="U8" s="2208"/>
      <c r="V8" s="2208"/>
      <c r="W8" s="2208"/>
      <c r="X8" s="2208"/>
      <c r="Y8" s="2209"/>
    </row>
    <row r="9" spans="1:39" ht="40.799999999999997">
      <c r="B9" s="2210" t="s">
        <v>52</v>
      </c>
      <c r="C9" s="2211" t="s">
        <v>1280</v>
      </c>
      <c r="D9" s="2228"/>
      <c r="E9" s="2211" t="s">
        <v>1763</v>
      </c>
      <c r="F9" s="2212"/>
      <c r="G9" s="2211" t="s">
        <v>1764</v>
      </c>
      <c r="H9" s="2212"/>
      <c r="I9" s="2211" t="s">
        <v>1765</v>
      </c>
      <c r="J9" s="2211"/>
      <c r="K9" s="2211" t="s">
        <v>1766</v>
      </c>
      <c r="L9" s="2212"/>
      <c r="M9" s="2211" t="s">
        <v>1767</v>
      </c>
      <c r="N9" s="2212"/>
      <c r="O9" s="2211" t="s">
        <v>1768</v>
      </c>
      <c r="P9" s="2211"/>
      <c r="Q9" s="2211" t="s">
        <v>1769</v>
      </c>
      <c r="R9" s="2212"/>
      <c r="S9" s="2211" t="s">
        <v>1760</v>
      </c>
      <c r="T9" s="2168"/>
      <c r="U9" s="2211" t="s">
        <v>1770</v>
      </c>
      <c r="V9" s="6"/>
      <c r="W9" s="6"/>
      <c r="X9" s="6"/>
      <c r="Y9" s="2229"/>
      <c r="Z9" s="6"/>
      <c r="AA9" s="6"/>
      <c r="AB9" s="6"/>
      <c r="AC9" s="6"/>
      <c r="AD9" s="6"/>
    </row>
    <row r="10" spans="1:39" ht="10.199999999999999">
      <c r="A10" s="2230"/>
      <c r="B10" s="2215">
        <v>2017</v>
      </c>
      <c r="C10" s="2216">
        <v>6052177</v>
      </c>
      <c r="D10" s="2217" t="s">
        <v>1141</v>
      </c>
      <c r="E10" s="2231">
        <v>0.81169999999999998</v>
      </c>
      <c r="F10" s="2217" t="s">
        <v>1141</v>
      </c>
      <c r="G10" s="2232">
        <v>4</v>
      </c>
      <c r="H10" s="2217" t="s">
        <v>1141</v>
      </c>
      <c r="I10" s="2233">
        <v>9.9999999999999995E-7</v>
      </c>
      <c r="J10" s="2223" t="s">
        <v>1105</v>
      </c>
      <c r="K10" s="2234">
        <f>C10*E10*G10*I10</f>
        <v>19.650208283599998</v>
      </c>
      <c r="L10" s="2217" t="s">
        <v>1141</v>
      </c>
      <c r="M10" s="2216">
        <f>$C$47</f>
        <v>265</v>
      </c>
      <c r="N10" s="2217" t="s">
        <v>1141</v>
      </c>
      <c r="O10" s="2224">
        <f>1/1000000</f>
        <v>9.9999999999999995E-7</v>
      </c>
      <c r="P10" s="2217" t="s">
        <v>1141</v>
      </c>
      <c r="Q10" s="2221">
        <f>12/44</f>
        <v>0.27272727272727271</v>
      </c>
      <c r="R10" s="2223" t="s">
        <v>1105</v>
      </c>
      <c r="S10" s="2235">
        <f>K10*M10*O10*Q10</f>
        <v>1.4201741441329087E-3</v>
      </c>
      <c r="T10" s="2223" t="s">
        <v>1105</v>
      </c>
      <c r="U10" s="2235">
        <f>S10*44/12</f>
        <v>5.2073051951539986E-3</v>
      </c>
      <c r="V10" s="2214"/>
      <c r="W10" s="2214"/>
      <c r="X10" s="2214"/>
      <c r="Y10" s="2236"/>
      <c r="Z10" s="2214"/>
      <c r="AA10" s="2214"/>
      <c r="AB10" s="2214"/>
      <c r="AC10" s="2214"/>
      <c r="AD10" s="2214"/>
      <c r="AE10" s="2230"/>
      <c r="AF10" s="2230"/>
      <c r="AG10" s="2230"/>
      <c r="AH10" s="2230"/>
      <c r="AI10" s="2230"/>
      <c r="AJ10" s="2230"/>
      <c r="AK10" s="2230"/>
      <c r="AL10" s="2230"/>
      <c r="AM10" s="2230"/>
    </row>
    <row r="11" spans="1:39" ht="10.199999999999999">
      <c r="B11" s="2237"/>
      <c r="C11" s="2238"/>
      <c r="D11" s="2238"/>
      <c r="E11" s="2238"/>
      <c r="F11" s="2238"/>
      <c r="G11" s="2238"/>
      <c r="H11" s="2238"/>
      <c r="I11" s="2238"/>
      <c r="J11" s="2238"/>
      <c r="K11" s="2238"/>
      <c r="L11" s="2238"/>
      <c r="M11" s="2238"/>
      <c r="N11" s="2238"/>
      <c r="O11" s="2238"/>
      <c r="P11" s="2238"/>
      <c r="Q11" s="2238"/>
      <c r="R11" s="2238"/>
      <c r="S11" s="2238"/>
      <c r="T11" s="2238"/>
      <c r="U11" s="2238"/>
      <c r="V11" s="2238"/>
      <c r="W11" s="2238"/>
      <c r="X11" s="2238"/>
      <c r="Y11" s="2239"/>
      <c r="Z11" s="6"/>
      <c r="AA11" s="6"/>
      <c r="AB11" s="6"/>
      <c r="AC11" s="6"/>
      <c r="AD11" s="6"/>
    </row>
    <row r="12" spans="1:39" ht="10.199999999999999">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row>
    <row r="13" spans="1:39" ht="19.8">
      <c r="B13" s="2227" t="s">
        <v>1771</v>
      </c>
      <c r="C13" s="2208"/>
      <c r="D13" s="2208"/>
      <c r="E13" s="2208"/>
      <c r="F13" s="2208"/>
      <c r="G13" s="2208"/>
      <c r="H13" s="2208"/>
      <c r="I13" s="2208"/>
      <c r="J13" s="2208"/>
      <c r="K13" s="2208"/>
      <c r="L13" s="2208"/>
      <c r="M13" s="2208"/>
      <c r="N13" s="2208"/>
      <c r="O13" s="2208"/>
      <c r="P13" s="2208"/>
      <c r="Q13" s="2208"/>
      <c r="R13" s="2208"/>
      <c r="S13" s="2208"/>
      <c r="T13" s="2208"/>
      <c r="U13" s="2208"/>
      <c r="V13" s="2208"/>
      <c r="W13" s="2208"/>
      <c r="X13" s="2208"/>
      <c r="Y13" s="2208"/>
      <c r="Z13" s="2208"/>
      <c r="AA13" s="2208"/>
      <c r="AB13" s="2208"/>
      <c r="AC13" s="2208"/>
      <c r="AD13" s="2208"/>
      <c r="AE13" s="2208"/>
      <c r="AF13" s="2208"/>
      <c r="AG13" s="2208"/>
      <c r="AH13" s="2208"/>
      <c r="AI13" s="2208"/>
      <c r="AJ13" s="2208"/>
      <c r="AK13" s="2208"/>
      <c r="AL13" s="2208"/>
      <c r="AM13" s="2209"/>
    </row>
    <row r="14" spans="1:39" ht="65.400000000000006">
      <c r="B14" s="2210" t="s">
        <v>52</v>
      </c>
      <c r="C14" s="2240" t="s">
        <v>1280</v>
      </c>
      <c r="D14" s="2241"/>
      <c r="E14" s="2240" t="s">
        <v>1772</v>
      </c>
      <c r="F14" s="2242"/>
      <c r="G14" s="2240" t="s">
        <v>1773</v>
      </c>
      <c r="H14" s="2242"/>
      <c r="I14" s="2240" t="s">
        <v>1774</v>
      </c>
      <c r="J14" s="2242"/>
      <c r="K14" s="2240" t="s">
        <v>1753</v>
      </c>
      <c r="L14" s="2240"/>
      <c r="M14" s="2240" t="s">
        <v>1775</v>
      </c>
      <c r="N14" s="2240"/>
      <c r="O14" s="2240" t="s">
        <v>1776</v>
      </c>
      <c r="P14" s="2241"/>
      <c r="Q14" s="2240" t="s">
        <v>1777</v>
      </c>
      <c r="R14" s="2240"/>
      <c r="S14" s="2240" t="s">
        <v>1778</v>
      </c>
      <c r="T14" s="2240"/>
      <c r="U14" s="2240" t="s">
        <v>1779</v>
      </c>
      <c r="V14" s="2242"/>
      <c r="W14" s="2240" t="s">
        <v>1780</v>
      </c>
      <c r="X14" s="2242"/>
      <c r="Y14" s="2240" t="s">
        <v>1781</v>
      </c>
      <c r="Z14" s="2242"/>
      <c r="AA14" s="2240" t="s">
        <v>1782</v>
      </c>
      <c r="AB14" s="2242"/>
      <c r="AC14" s="2240" t="s">
        <v>1758</v>
      </c>
      <c r="AD14" s="2240"/>
      <c r="AE14" s="2240" t="s">
        <v>1783</v>
      </c>
      <c r="AF14" s="2242"/>
      <c r="AG14" s="2240" t="s">
        <v>1784</v>
      </c>
      <c r="AH14" s="2240"/>
      <c r="AI14" s="2240" t="s">
        <v>1785</v>
      </c>
      <c r="AJ14" s="2240"/>
      <c r="AK14" s="2240" t="s">
        <v>1786</v>
      </c>
      <c r="AL14" s="2241"/>
      <c r="AM14" s="2243" t="s">
        <v>1787</v>
      </c>
    </row>
    <row r="15" spans="1:39" ht="11.4">
      <c r="B15" s="845"/>
      <c r="C15" s="2244"/>
      <c r="D15" s="2244"/>
      <c r="E15" s="2245"/>
      <c r="F15" s="2246"/>
      <c r="G15" s="2245"/>
      <c r="H15" s="2246"/>
      <c r="I15" s="2246"/>
      <c r="J15" s="2246"/>
      <c r="K15" s="2246"/>
      <c r="L15" s="2246"/>
      <c r="M15" s="2246"/>
      <c r="N15" s="2246"/>
      <c r="O15" s="2246"/>
      <c r="P15" s="2246"/>
      <c r="Q15" s="2246"/>
      <c r="R15" s="2246"/>
      <c r="S15" s="2246"/>
      <c r="T15" s="2246"/>
      <c r="U15" s="2245"/>
      <c r="V15" s="2246"/>
      <c r="W15" s="2246"/>
      <c r="X15" s="2246"/>
      <c r="Y15" s="2246"/>
      <c r="Z15" s="2246"/>
      <c r="AA15" s="2246"/>
      <c r="AB15" s="2246"/>
      <c r="AC15" s="2246" t="s">
        <v>1788</v>
      </c>
      <c r="AD15" s="2244"/>
      <c r="AE15" s="2244"/>
      <c r="AF15" s="2244"/>
      <c r="AG15" s="2246"/>
      <c r="AH15" s="2246"/>
      <c r="AI15" s="2246"/>
      <c r="AJ15" s="2246"/>
      <c r="AK15" s="2246"/>
      <c r="AL15" s="2244"/>
      <c r="AM15" s="2247"/>
    </row>
    <row r="16" spans="1:39" ht="10.199999999999999">
      <c r="A16" s="2214"/>
      <c r="B16" s="2215">
        <v>2017</v>
      </c>
      <c r="C16" s="2216">
        <v>6052177</v>
      </c>
      <c r="D16" s="2217" t="s">
        <v>1141</v>
      </c>
      <c r="E16" s="2221">
        <v>45.2</v>
      </c>
      <c r="F16" s="2217" t="s">
        <v>1141</v>
      </c>
      <c r="G16" s="2231">
        <v>0.16</v>
      </c>
      <c r="H16" s="2217" t="s">
        <v>1141</v>
      </c>
      <c r="I16" s="2234">
        <v>1.75</v>
      </c>
      <c r="J16" s="2217" t="s">
        <v>1141</v>
      </c>
      <c r="K16" s="2220">
        <v>1E-3</v>
      </c>
      <c r="L16" s="2223" t="s">
        <v>1105</v>
      </c>
      <c r="M16" s="2216">
        <f>C16*E16*G16*I16*K16</f>
        <v>76596.352112000008</v>
      </c>
      <c r="N16" s="2248" t="s">
        <v>1715</v>
      </c>
      <c r="O16" s="2221">
        <f>K10</f>
        <v>19.650208283599998</v>
      </c>
      <c r="P16" s="2223" t="s">
        <v>1105</v>
      </c>
      <c r="Q16" s="2216">
        <f>M16-O16</f>
        <v>76576.701903716414</v>
      </c>
      <c r="R16" s="2216" t="s">
        <v>1141</v>
      </c>
      <c r="S16" s="2231">
        <v>0</v>
      </c>
      <c r="T16" s="2217" t="s">
        <v>1141</v>
      </c>
      <c r="U16" s="2234">
        <v>5.0000000000000001E-3</v>
      </c>
      <c r="V16" s="2217" t="s">
        <v>1141</v>
      </c>
      <c r="W16" s="2235">
        <f>44/28</f>
        <v>1.5714285714285714</v>
      </c>
      <c r="X16" s="2223" t="s">
        <v>1105</v>
      </c>
      <c r="Y16" s="2221">
        <f>Q16*(1-S16)*U16*W16</f>
        <v>601.67408638634322</v>
      </c>
      <c r="Z16" s="2217" t="s">
        <v>1141</v>
      </c>
      <c r="AA16" s="2216">
        <f>$C$47</f>
        <v>265</v>
      </c>
      <c r="AB16" s="2217" t="s">
        <v>1141</v>
      </c>
      <c r="AC16" s="2224">
        <f>1/1000000</f>
        <v>9.9999999999999995E-7</v>
      </c>
      <c r="AD16" s="2217" t="s">
        <v>1141</v>
      </c>
      <c r="AE16" s="2221">
        <f>12/44</f>
        <v>0.27272727272727271</v>
      </c>
      <c r="AF16" s="2223" t="s">
        <v>1105</v>
      </c>
      <c r="AG16" s="2235">
        <f>Y16*AA$16*AC$16*AE$16</f>
        <v>4.348462715246753E-2</v>
      </c>
      <c r="AH16" s="2249" t="s">
        <v>1714</v>
      </c>
      <c r="AI16" s="2235">
        <f>S10</f>
        <v>1.4201741441329087E-3</v>
      </c>
      <c r="AJ16" s="2250" t="s">
        <v>1105</v>
      </c>
      <c r="AK16" s="2235">
        <f>AG16+AI16</f>
        <v>4.490480129660044E-2</v>
      </c>
      <c r="AL16" s="2250" t="s">
        <v>1105</v>
      </c>
      <c r="AM16" s="2226">
        <f>AK16*(44/12)</f>
        <v>0.16465093808753495</v>
      </c>
    </row>
    <row r="17" spans="1:39" ht="10.199999999999999">
      <c r="A17" s="2214"/>
      <c r="B17" s="2251"/>
      <c r="C17" s="2252"/>
      <c r="D17" s="2253"/>
      <c r="E17" s="2254"/>
      <c r="F17" s="2253"/>
      <c r="G17" s="2255"/>
      <c r="H17" s="2253"/>
      <c r="I17" s="2256"/>
      <c r="J17" s="2253"/>
      <c r="K17" s="2257"/>
      <c r="L17" s="2253"/>
      <c r="M17" s="2252"/>
      <c r="N17" s="2258"/>
      <c r="O17" s="2252"/>
      <c r="P17" s="2253"/>
      <c r="Q17" s="2252"/>
      <c r="R17" s="2252"/>
      <c r="S17" s="2255"/>
      <c r="T17" s="2253"/>
      <c r="U17" s="2256"/>
      <c r="V17" s="2253"/>
      <c r="W17" s="2259"/>
      <c r="X17" s="2253"/>
      <c r="Y17" s="2254"/>
      <c r="Z17" s="2253"/>
      <c r="AA17" s="2252"/>
      <c r="AB17" s="2253"/>
      <c r="AC17" s="2260"/>
      <c r="AD17" s="2253"/>
      <c r="AE17" s="2254"/>
      <c r="AF17" s="2253"/>
      <c r="AG17" s="2259"/>
      <c r="AH17" s="2261"/>
      <c r="AI17" s="2259"/>
      <c r="AJ17" s="2261"/>
      <c r="AK17" s="2259"/>
      <c r="AL17" s="2261"/>
      <c r="AM17" s="2262"/>
    </row>
    <row r="18" spans="1:39" ht="10.199999999999999">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row>
    <row r="19" spans="1:39" ht="19.8">
      <c r="B19" s="2227" t="s">
        <v>1789</v>
      </c>
      <c r="C19" s="2263"/>
      <c r="D19" s="2263"/>
      <c r="E19" s="2263"/>
      <c r="F19" s="2263"/>
      <c r="G19" s="2263"/>
      <c r="H19" s="2263"/>
      <c r="I19" s="2263"/>
      <c r="J19" s="2263"/>
      <c r="K19" s="2263"/>
      <c r="L19" s="2263"/>
      <c r="M19" s="2263"/>
      <c r="N19" s="2263"/>
      <c r="O19" s="2263"/>
      <c r="P19" s="2263"/>
      <c r="Q19" s="2263"/>
      <c r="R19" s="2263"/>
      <c r="S19" s="2263"/>
      <c r="T19" s="2263"/>
      <c r="U19" s="2263"/>
      <c r="V19" s="2263"/>
      <c r="W19" s="2263"/>
      <c r="X19" s="2263"/>
      <c r="Y19" s="2263"/>
      <c r="Z19" s="2263"/>
      <c r="AA19" s="2264"/>
      <c r="AB19" s="6"/>
      <c r="AC19" s="6"/>
      <c r="AD19" s="6"/>
    </row>
    <row r="20" spans="1:39" ht="22.2">
      <c r="B20" s="2210" t="s">
        <v>52</v>
      </c>
      <c r="C20" s="2240" t="s">
        <v>1790</v>
      </c>
      <c r="D20" s="2240"/>
      <c r="E20" s="2240" t="s">
        <v>1791</v>
      </c>
      <c r="F20" s="2242"/>
      <c r="G20" s="2240" t="s">
        <v>1792</v>
      </c>
      <c r="H20" s="2242"/>
      <c r="I20" s="2240" t="s">
        <v>1793</v>
      </c>
      <c r="J20" s="2242"/>
      <c r="K20" s="2240" t="s">
        <v>1124</v>
      </c>
      <c r="L20" s="2242"/>
      <c r="M20" s="2240" t="s">
        <v>1794</v>
      </c>
      <c r="N20" s="2242"/>
      <c r="O20" s="2240" t="s">
        <v>536</v>
      </c>
      <c r="P20" s="2242"/>
      <c r="Q20" s="2240" t="s">
        <v>1792</v>
      </c>
      <c r="R20" s="2242"/>
      <c r="S20" s="2240" t="s">
        <v>536</v>
      </c>
      <c r="T20" s="2242"/>
      <c r="U20" s="2240" t="s">
        <v>1795</v>
      </c>
      <c r="V20" s="2240"/>
      <c r="W20" s="2240" t="s">
        <v>1796</v>
      </c>
      <c r="X20" s="2242"/>
      <c r="Y20" s="2240" t="s">
        <v>536</v>
      </c>
      <c r="Z20" s="2241"/>
      <c r="AA20" s="2243" t="s">
        <v>536</v>
      </c>
      <c r="AB20" s="6"/>
      <c r="AC20" s="6"/>
      <c r="AD20" s="6"/>
    </row>
    <row r="21" spans="1:39" ht="15.75" customHeight="1">
      <c r="B21" s="845"/>
      <c r="C21" s="2244" t="s">
        <v>525</v>
      </c>
      <c r="D21" s="2265"/>
      <c r="E21" s="2244" t="s">
        <v>1797</v>
      </c>
      <c r="F21" s="2244"/>
      <c r="G21" s="2244" t="s">
        <v>1798</v>
      </c>
      <c r="H21" s="2244"/>
      <c r="I21" s="2244" t="s">
        <v>1799</v>
      </c>
      <c r="J21" s="2244"/>
      <c r="K21" s="2244" t="s">
        <v>1800</v>
      </c>
      <c r="L21" s="2244"/>
      <c r="M21" s="2244" t="s">
        <v>1801</v>
      </c>
      <c r="N21" s="2244"/>
      <c r="O21" s="2244" t="s">
        <v>1802</v>
      </c>
      <c r="P21" s="2244"/>
      <c r="Q21" s="2244" t="s">
        <v>1803</v>
      </c>
      <c r="R21" s="2244"/>
      <c r="S21" s="2244" t="s">
        <v>1804</v>
      </c>
      <c r="T21" s="2244"/>
      <c r="U21" s="2244" t="s">
        <v>1805</v>
      </c>
      <c r="V21" s="2244"/>
      <c r="W21" s="2244"/>
      <c r="X21" s="2244"/>
      <c r="Y21" s="2244" t="s">
        <v>1129</v>
      </c>
      <c r="Z21" s="2265"/>
      <c r="AA21" s="2266" t="s">
        <v>1806</v>
      </c>
      <c r="AB21" s="6"/>
      <c r="AC21" s="6"/>
      <c r="AD21" s="6"/>
    </row>
    <row r="22" spans="1:39" ht="15.75" customHeight="1">
      <c r="A22" s="2214"/>
      <c r="B22" s="2215">
        <v>2017</v>
      </c>
      <c r="C22" s="2221">
        <v>16420.32</v>
      </c>
      <c r="D22" s="2217" t="s">
        <v>1141</v>
      </c>
      <c r="E22" s="2219">
        <v>7.9</v>
      </c>
      <c r="F22" s="2217" t="s">
        <v>1141</v>
      </c>
      <c r="G22" s="2216">
        <v>1000</v>
      </c>
      <c r="H22" s="2217" t="s">
        <v>1141</v>
      </c>
      <c r="I22" s="2267">
        <v>4.0999999999999996</v>
      </c>
      <c r="J22" s="2217" t="s">
        <v>1141</v>
      </c>
      <c r="K22" s="2221">
        <v>0.25</v>
      </c>
      <c r="L22" s="2217" t="s">
        <v>1141</v>
      </c>
      <c r="M22" s="2231">
        <v>0.33</v>
      </c>
      <c r="N22" s="2217" t="s">
        <v>1105</v>
      </c>
      <c r="O22" s="2268">
        <f>C22*$E$22*$I$22*$M$22*$K$22*$G$22</f>
        <v>43877968.596000008</v>
      </c>
      <c r="P22" s="2217" t="s">
        <v>1141</v>
      </c>
      <c r="Q22" s="2269">
        <v>9.9999999999999998E-13</v>
      </c>
      <c r="R22" s="2223" t="s">
        <v>1105</v>
      </c>
      <c r="S22" s="2221">
        <f>O22*Q22</f>
        <v>4.387796859600001E-5</v>
      </c>
      <c r="T22" s="2217" t="s">
        <v>1141</v>
      </c>
      <c r="U22" s="2216">
        <f>$C$46</f>
        <v>28</v>
      </c>
      <c r="V22" s="2217" t="s">
        <v>1141</v>
      </c>
      <c r="W22" s="2221">
        <f>12/44</f>
        <v>0.27272727272727271</v>
      </c>
      <c r="X22" s="2223" t="s">
        <v>1105</v>
      </c>
      <c r="Y22" s="2235">
        <f>S22*U$22*W$22</f>
        <v>3.3506812382400004E-4</v>
      </c>
      <c r="Z22" s="2223" t="s">
        <v>1105</v>
      </c>
      <c r="AA22" s="2270">
        <f>Y22*44/12</f>
        <v>1.2285831206880003E-3</v>
      </c>
      <c r="AB22" s="6"/>
      <c r="AC22" s="6"/>
      <c r="AD22" s="6"/>
      <c r="AE22" s="1"/>
      <c r="AF22" s="1"/>
      <c r="AG22" s="1"/>
      <c r="AH22" s="1"/>
      <c r="AI22" s="1"/>
      <c r="AJ22" s="1"/>
      <c r="AK22" s="1"/>
      <c r="AL22" s="1"/>
      <c r="AM22" s="1"/>
    </row>
    <row r="23" spans="1:39" ht="15.75" customHeight="1">
      <c r="B23" s="2237"/>
      <c r="C23" s="2238"/>
      <c r="D23" s="2238"/>
      <c r="E23" s="2238"/>
      <c r="F23" s="2238"/>
      <c r="G23" s="2238"/>
      <c r="H23" s="2238"/>
      <c r="I23" s="2238"/>
      <c r="J23" s="2238"/>
      <c r="K23" s="2238"/>
      <c r="L23" s="2238"/>
      <c r="M23" s="2238"/>
      <c r="N23" s="2238"/>
      <c r="O23" s="2238"/>
      <c r="P23" s="2238"/>
      <c r="Q23" s="2238"/>
      <c r="R23" s="2238"/>
      <c r="S23" s="2238"/>
      <c r="T23" s="2238"/>
      <c r="U23" s="2238"/>
      <c r="V23" s="2238"/>
      <c r="W23" s="2238"/>
      <c r="X23" s="2238"/>
      <c r="Y23" s="2238"/>
      <c r="Z23" s="2238"/>
      <c r="AA23" s="2239"/>
      <c r="AB23" s="6"/>
      <c r="AC23" s="6"/>
      <c r="AD23" s="6"/>
    </row>
    <row r="24" spans="1:39" ht="15.75" customHeight="1">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row>
    <row r="25" spans="1:39" ht="15.75" customHeight="1">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row>
    <row r="26" spans="1:39" ht="15.75" customHeight="1">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row>
    <row r="27" spans="1:39" ht="15.75" customHeight="1"/>
    <row r="28" spans="1:39" ht="15.75" customHeight="1">
      <c r="B28" s="2935" t="s">
        <v>1807</v>
      </c>
      <c r="C28" s="2863"/>
      <c r="D28" s="2863"/>
      <c r="E28" s="2863"/>
      <c r="F28" s="2863"/>
      <c r="G28" s="2863"/>
      <c r="H28" s="2863"/>
      <c r="I28" s="2863"/>
      <c r="J28" s="2863"/>
      <c r="K28" s="2863"/>
      <c r="L28" s="2863"/>
      <c r="M28" s="2863"/>
      <c r="N28" s="2863"/>
    </row>
    <row r="29" spans="1:39" ht="15.75" customHeight="1"/>
    <row r="30" spans="1:39" ht="15.75" customHeight="1">
      <c r="B30" s="2271" t="s">
        <v>1808</v>
      </c>
      <c r="C30" s="2272">
        <v>2017</v>
      </c>
      <c r="Y30" s="340"/>
    </row>
    <row r="31" spans="1:39" ht="15.75" customHeight="1">
      <c r="B31" s="1217" t="s">
        <v>1809</v>
      </c>
      <c r="C31" s="2273">
        <f>Y5</f>
        <v>0.54276225944849987</v>
      </c>
      <c r="D31" s="2274"/>
    </row>
    <row r="32" spans="1:39" ht="15.75" customHeight="1">
      <c r="B32" s="1217" t="s">
        <v>1810</v>
      </c>
      <c r="C32" s="2275">
        <f>AM16</f>
        <v>0.16465093808753495</v>
      </c>
      <c r="D32" s="2274"/>
    </row>
    <row r="33" spans="2:19" ht="15.75" customHeight="1">
      <c r="B33" s="1217" t="s">
        <v>1811</v>
      </c>
      <c r="C33" s="2273">
        <f>SUM(C34:C37)</f>
        <v>1.2285831206880003E-3</v>
      </c>
      <c r="D33" s="2274"/>
    </row>
    <row r="34" spans="2:19" ht="15.75" customHeight="1">
      <c r="B34" s="1505" t="s">
        <v>1812</v>
      </c>
      <c r="C34" s="2273">
        <v>0</v>
      </c>
      <c r="D34" s="2274"/>
    </row>
    <row r="35" spans="2:19" ht="15.75" customHeight="1">
      <c r="B35" s="1505" t="s">
        <v>1813</v>
      </c>
      <c r="C35" s="2273">
        <f>AA22</f>
        <v>1.2285831206880003E-3</v>
      </c>
      <c r="D35" s="2274"/>
    </row>
    <row r="36" spans="2:19" ht="15.75" customHeight="1">
      <c r="B36" s="1505" t="s">
        <v>1814</v>
      </c>
      <c r="C36" s="2273">
        <v>0</v>
      </c>
      <c r="D36" s="2274"/>
    </row>
    <row r="37" spans="2:19" ht="15.75" customHeight="1">
      <c r="B37" s="1505" t="s">
        <v>1815</v>
      </c>
      <c r="C37" s="2273">
        <v>0</v>
      </c>
      <c r="D37" s="2274"/>
    </row>
    <row r="38" spans="2:19" ht="15.75" customHeight="1">
      <c r="B38" s="2034" t="s">
        <v>1816</v>
      </c>
      <c r="C38" s="2276">
        <f>SUM(C31:C33)</f>
        <v>0.70864178065672279</v>
      </c>
      <c r="D38" s="2274"/>
    </row>
    <row r="39" spans="2:19" ht="15.75" customHeight="1">
      <c r="S39" s="2277">
        <f>SUM(C31:C33)</f>
        <v>0.70864178065672279</v>
      </c>
    </row>
    <row r="40" spans="2:19" ht="15.75" customHeight="1"/>
    <row r="41" spans="2:19" ht="15.75" customHeight="1"/>
    <row r="42" spans="2:19" ht="15.75" customHeight="1"/>
    <row r="43" spans="2:19" ht="15.75" customHeight="1">
      <c r="B43" s="2858" t="s">
        <v>0</v>
      </c>
      <c r="C43" s="2859"/>
    </row>
    <row r="44" spans="2:19" ht="15.75" customHeight="1">
      <c r="B44" s="240"/>
      <c r="C44" s="241"/>
    </row>
    <row r="45" spans="2:19" ht="15.75" customHeight="1">
      <c r="B45" s="240" t="s">
        <v>528</v>
      </c>
      <c r="C45" s="247">
        <f>Summary!$E4</f>
        <v>1</v>
      </c>
    </row>
    <row r="46" spans="2:19" ht="15.75" customHeight="1">
      <c r="B46" s="240" t="s">
        <v>530</v>
      </c>
      <c r="C46" s="247">
        <f>Summary!$E5</f>
        <v>28</v>
      </c>
    </row>
    <row r="47" spans="2:19" ht="15.75" customHeight="1">
      <c r="B47" s="240" t="s">
        <v>532</v>
      </c>
      <c r="C47" s="247">
        <f>Summary!$E6</f>
        <v>265</v>
      </c>
    </row>
    <row r="48" spans="2:19" ht="15.75" customHeight="1">
      <c r="B48" s="240" t="s">
        <v>533</v>
      </c>
      <c r="C48" s="247">
        <f>Summary!$E7</f>
        <v>23500</v>
      </c>
    </row>
    <row r="49" spans="2:3" ht="15.75" customHeight="1">
      <c r="B49" s="259"/>
      <c r="C49" s="247"/>
    </row>
    <row r="50" spans="2:3" ht="15.75" customHeight="1"/>
    <row r="51" spans="2:3" ht="15.75" customHeight="1"/>
    <row r="52" spans="2:3" ht="15.75" customHeight="1"/>
    <row r="53" spans="2:3" ht="15.75" customHeight="1"/>
    <row r="54" spans="2:3" ht="15.75" customHeight="1"/>
    <row r="55" spans="2:3" ht="15.75" customHeight="1"/>
    <row r="56" spans="2:3" ht="15.75" customHeight="1"/>
    <row r="57" spans="2:3" ht="15.75" customHeight="1"/>
    <row r="58" spans="2:3" ht="15.75" customHeight="1"/>
    <row r="59" spans="2:3" ht="15.75" customHeight="1"/>
    <row r="60" spans="2:3" ht="15.75" customHeight="1"/>
    <row r="61" spans="2:3" ht="15.75" customHeight="1"/>
    <row r="62" spans="2:3" ht="15.75" customHeight="1"/>
    <row r="63" spans="2:3" ht="15.75" customHeight="1"/>
    <row r="64" spans="2:3"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3:I3"/>
    <mergeCell ref="B28:N28"/>
    <mergeCell ref="B43:C43"/>
  </mergeCells>
  <conditionalFormatting sqref="B28:N28">
    <cfRule type="cellIs" dxfId="1" priority="1" stopIfTrue="1" operator="equal">
      <formula>0</formula>
    </cfRule>
  </conditionalFormatting>
  <conditionalFormatting sqref="B28:N28">
    <cfRule type="cellIs" dxfId="0" priority="2" stopIfTrue="1" operator="notEqual">
      <formula>0</formula>
    </cfRule>
  </conditionalFormatting>
  <printOptions gridLines="1"/>
  <pageMargins left="0.18" right="0.16" top="0.48" bottom="0.48" header="0" footer="0"/>
  <pageSetup paperSize="5" orientation="landscape"/>
  <colBreaks count="1" manualBreakCount="1">
    <brk id="30" man="1"/>
  </colBreaks>
  <drawing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heetViews>
  <sheetFormatPr defaultColWidth="16.85546875" defaultRowHeight="15" customHeight="1"/>
  <cols>
    <col min="1" max="2" width="8.85546875" customWidth="1"/>
    <col min="3" max="3" width="20.85546875" customWidth="1"/>
    <col min="4" max="4" width="15.42578125" customWidth="1"/>
    <col min="5" max="5" width="12.7109375" customWidth="1"/>
    <col min="6" max="6" width="8.85546875" customWidth="1"/>
    <col min="7" max="7" width="18.28515625" customWidth="1"/>
    <col min="8" max="8" width="8.85546875" customWidth="1"/>
    <col min="9" max="9" width="11" customWidth="1"/>
    <col min="10" max="10" width="12.7109375" customWidth="1"/>
    <col min="11" max="26" width="8.85546875" customWidth="1"/>
  </cols>
  <sheetData>
    <row r="1" spans="1:26" ht="27.75" customHeight="1">
      <c r="A1" s="134" t="s">
        <v>1632</v>
      </c>
      <c r="B1" s="135"/>
      <c r="G1" s="137"/>
      <c r="H1" s="1"/>
    </row>
    <row r="2" spans="1:26" ht="111.75" customHeight="1">
      <c r="A2" s="3"/>
      <c r="B2" s="1969"/>
      <c r="C2" s="1969"/>
      <c r="D2" s="1970"/>
      <c r="E2" s="1970"/>
      <c r="F2" s="1970"/>
      <c r="G2" s="1970"/>
      <c r="H2" s="1971"/>
      <c r="I2" s="3"/>
      <c r="J2" s="1971"/>
      <c r="K2" s="1971"/>
      <c r="L2" s="1971"/>
      <c r="M2" s="3"/>
      <c r="N2" s="3"/>
      <c r="O2" s="3"/>
      <c r="P2" s="3"/>
      <c r="Q2" s="3"/>
      <c r="R2" s="3"/>
      <c r="S2" s="3"/>
      <c r="T2" s="3"/>
      <c r="U2" s="3"/>
      <c r="V2" s="3"/>
      <c r="W2" s="3"/>
      <c r="X2" s="3"/>
      <c r="Y2" s="3"/>
      <c r="Z2" s="3"/>
    </row>
    <row r="3" spans="1:26" ht="11.25" customHeight="1">
      <c r="A3" s="3"/>
      <c r="B3" s="1972"/>
      <c r="C3" s="1973"/>
      <c r="D3" s="1974" t="s">
        <v>536</v>
      </c>
      <c r="E3" s="3"/>
      <c r="F3" s="3"/>
      <c r="G3" s="3"/>
      <c r="H3" s="3"/>
      <c r="I3" s="3"/>
      <c r="J3" s="3"/>
      <c r="K3" s="3"/>
      <c r="L3" s="3"/>
      <c r="M3" s="3"/>
      <c r="N3" s="3"/>
      <c r="O3" s="3"/>
      <c r="P3" s="3"/>
      <c r="Q3" s="3"/>
      <c r="R3" s="3"/>
      <c r="S3" s="3"/>
      <c r="T3" s="3"/>
      <c r="U3" s="3"/>
      <c r="V3" s="3"/>
      <c r="W3" s="3"/>
      <c r="X3" s="3"/>
      <c r="Y3" s="3"/>
      <c r="Z3" s="3"/>
    </row>
    <row r="4" spans="1:26" ht="11.25" customHeight="1">
      <c r="A4" s="3"/>
      <c r="B4" s="1975"/>
      <c r="C4" s="833"/>
      <c r="D4" s="1976" t="s">
        <v>1633</v>
      </c>
      <c r="E4" s="3"/>
      <c r="F4" s="3"/>
      <c r="G4" s="3"/>
      <c r="H4" s="3"/>
      <c r="I4" s="3"/>
      <c r="J4" s="3"/>
      <c r="K4" s="3"/>
      <c r="L4" s="3"/>
      <c r="M4" s="3"/>
      <c r="N4" s="3"/>
      <c r="O4" s="3"/>
      <c r="P4" s="3"/>
      <c r="Q4" s="3"/>
      <c r="R4" s="3"/>
      <c r="S4" s="3"/>
      <c r="T4" s="3"/>
      <c r="U4" s="3"/>
      <c r="V4" s="3"/>
      <c r="W4" s="3"/>
      <c r="X4" s="3"/>
      <c r="Y4" s="3"/>
      <c r="Z4" s="3"/>
    </row>
    <row r="5" spans="1:26" ht="11.25" customHeight="1">
      <c r="A5" s="3"/>
      <c r="B5" s="1975"/>
      <c r="C5" s="1977"/>
      <c r="D5" s="1978"/>
      <c r="E5" s="3"/>
      <c r="F5" s="3"/>
      <c r="G5" s="3"/>
      <c r="H5" s="3"/>
      <c r="I5" s="3"/>
      <c r="J5" s="3"/>
      <c r="K5" s="3"/>
      <c r="L5" s="3"/>
      <c r="M5" s="3"/>
      <c r="N5" s="3"/>
      <c r="O5" s="3"/>
      <c r="P5" s="3"/>
      <c r="Q5" s="3"/>
      <c r="R5" s="3"/>
      <c r="S5" s="3"/>
      <c r="T5" s="3"/>
      <c r="U5" s="3"/>
      <c r="V5" s="3"/>
      <c r="W5" s="3"/>
      <c r="X5" s="3"/>
      <c r="Y5" s="3"/>
      <c r="Z5" s="3"/>
    </row>
    <row r="6" spans="1:26" ht="11.25" customHeight="1">
      <c r="A6" s="3"/>
      <c r="B6" s="1979"/>
      <c r="C6" s="440"/>
      <c r="D6" s="1978"/>
      <c r="E6" s="3"/>
      <c r="F6" s="3"/>
      <c r="G6" s="3"/>
      <c r="H6" s="3"/>
      <c r="I6" s="3"/>
      <c r="J6" s="3"/>
      <c r="K6" s="3"/>
      <c r="L6" s="3"/>
      <c r="M6" s="3"/>
      <c r="N6" s="3"/>
      <c r="O6" s="3"/>
      <c r="P6" s="3"/>
      <c r="Q6" s="3"/>
      <c r="R6" s="3"/>
      <c r="S6" s="3"/>
      <c r="T6" s="3"/>
      <c r="U6" s="3"/>
      <c r="V6" s="3"/>
      <c r="W6" s="3"/>
      <c r="X6" s="3"/>
      <c r="Y6" s="3"/>
      <c r="Z6" s="3"/>
    </row>
    <row r="7" spans="1:26" ht="11.25" customHeight="1">
      <c r="A7" s="3"/>
      <c r="B7" s="1980">
        <v>2017</v>
      </c>
      <c r="C7" s="831" t="s">
        <v>1634</v>
      </c>
      <c r="D7" s="1978">
        <v>3.3000000000000002E-2</v>
      </c>
      <c r="E7" s="523"/>
      <c r="F7" s="3"/>
      <c r="G7" s="3"/>
      <c r="H7" s="3"/>
      <c r="I7" s="3"/>
      <c r="J7" s="3"/>
      <c r="K7" s="3"/>
      <c r="L7" s="3"/>
      <c r="M7" s="3"/>
      <c r="N7" s="3"/>
      <c r="O7" s="3"/>
      <c r="P7" s="3"/>
      <c r="Q7" s="3"/>
      <c r="R7" s="3"/>
      <c r="S7" s="3"/>
      <c r="T7" s="3"/>
      <c r="U7" s="3"/>
      <c r="V7" s="3"/>
      <c r="W7" s="3"/>
      <c r="X7" s="3"/>
      <c r="Y7" s="3"/>
      <c r="Z7" s="3"/>
    </row>
    <row r="8" spans="1:26" ht="11.25" customHeight="1">
      <c r="A8" s="3"/>
      <c r="B8" s="1981"/>
      <c r="C8" s="1982"/>
      <c r="D8" s="1983"/>
      <c r="E8" s="3"/>
      <c r="F8" s="3"/>
      <c r="G8" s="3"/>
      <c r="H8" s="3"/>
      <c r="I8" s="3"/>
      <c r="J8" s="3"/>
      <c r="K8" s="3"/>
      <c r="L8" s="3"/>
      <c r="M8" s="3"/>
      <c r="N8" s="3"/>
      <c r="O8" s="3"/>
      <c r="P8" s="3"/>
      <c r="Q8" s="3"/>
      <c r="R8" s="3"/>
      <c r="S8" s="3"/>
      <c r="T8" s="3"/>
      <c r="U8" s="3"/>
      <c r="V8" s="3"/>
      <c r="W8" s="3"/>
      <c r="X8" s="3"/>
      <c r="Y8" s="3"/>
      <c r="Z8" s="3"/>
    </row>
    <row r="9" spans="1:26" ht="11.25" customHeight="1">
      <c r="A9" s="3"/>
      <c r="B9" s="3"/>
      <c r="C9" s="3"/>
      <c r="D9" s="3"/>
      <c r="E9" s="3"/>
      <c r="F9" s="3"/>
      <c r="G9" s="3"/>
      <c r="H9" s="3"/>
      <c r="I9" s="3"/>
      <c r="J9" s="3"/>
      <c r="K9" s="3"/>
      <c r="L9" s="3"/>
      <c r="M9" s="3"/>
      <c r="N9" s="3"/>
      <c r="O9" s="3"/>
      <c r="P9" s="3"/>
      <c r="Q9" s="3"/>
      <c r="R9" s="3"/>
      <c r="S9" s="3"/>
      <c r="T9" s="3"/>
      <c r="U9" s="3"/>
      <c r="V9" s="3"/>
      <c r="W9" s="3"/>
      <c r="X9" s="3"/>
      <c r="Y9" s="3"/>
      <c r="Z9" s="3"/>
    </row>
    <row r="10" spans="1:26" ht="11.25" customHeight="1"/>
    <row r="11" spans="1:26" ht="11.25" customHeight="1"/>
    <row r="12" spans="1:26" ht="11.25" customHeight="1"/>
    <row r="13" spans="1:26" ht="11.25" customHeight="1"/>
    <row r="14" spans="1:26" ht="11.25" customHeight="1"/>
    <row r="15" spans="1:26" ht="11.25" customHeight="1"/>
    <row r="16" spans="1:26" ht="11.25" customHeight="1"/>
    <row r="17" ht="11.25" customHeight="1"/>
    <row r="18" ht="11.25" customHeight="1"/>
    <row r="19" ht="11.25" customHeight="1"/>
    <row r="20" ht="11.25" customHeight="1"/>
    <row r="21" ht="11.25" customHeight="1"/>
    <row r="22" ht="11.25" customHeight="1"/>
    <row r="23" ht="11.25" customHeight="1"/>
    <row r="24" ht="11.25" customHeight="1"/>
    <row r="25" ht="11.25" customHeight="1"/>
    <row r="26" ht="11.25" customHeight="1"/>
    <row r="27" ht="11.25" customHeight="1"/>
    <row r="28" ht="11.25" customHeight="1"/>
    <row r="29" ht="11.25" customHeight="1"/>
    <row r="30" ht="11.25" customHeight="1"/>
    <row r="31" ht="11.25" customHeight="1"/>
    <row r="3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5" right="0.75" top="1" bottom="1" header="0" footer="0"/>
  <pageSetup orientation="portrait"/>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F1214"/>
  <sheetViews>
    <sheetView workbookViewId="0"/>
  </sheetViews>
  <sheetFormatPr defaultColWidth="16.85546875" defaultRowHeight="15" customHeight="1"/>
  <cols>
    <col min="1" max="1" width="4" customWidth="1"/>
    <col min="2" max="2" width="51.140625" customWidth="1"/>
    <col min="4" max="4" width="21.7109375" customWidth="1"/>
  </cols>
  <sheetData>
    <row r="1" spans="1:32" ht="15" customHeight="1">
      <c r="A1" s="6"/>
      <c r="B1" s="20"/>
      <c r="C1" s="20"/>
      <c r="D1" s="20"/>
      <c r="E1" s="20"/>
      <c r="F1" s="20"/>
      <c r="G1" s="20"/>
      <c r="H1" s="20"/>
      <c r="I1" s="6"/>
      <c r="J1" s="20"/>
      <c r="K1" s="20"/>
      <c r="L1" s="6"/>
      <c r="M1" s="6"/>
      <c r="N1" s="6"/>
      <c r="O1" s="6"/>
      <c r="P1" s="6"/>
      <c r="Q1" s="6"/>
      <c r="R1" s="6"/>
      <c r="S1" s="6"/>
      <c r="T1" s="6"/>
      <c r="U1" s="6"/>
      <c r="V1" s="6"/>
      <c r="W1" s="6"/>
      <c r="X1" s="6"/>
      <c r="Y1" s="6"/>
      <c r="Z1" s="6"/>
      <c r="AA1" s="6"/>
      <c r="AB1" s="6"/>
      <c r="AC1" s="6"/>
      <c r="AD1" s="6"/>
      <c r="AE1" s="6"/>
      <c r="AF1" s="6"/>
    </row>
    <row r="2" spans="1:32" ht="18">
      <c r="A2" s="4"/>
      <c r="B2" s="2936" t="s">
        <v>50</v>
      </c>
      <c r="C2" s="2937"/>
      <c r="D2" s="2937"/>
      <c r="E2" s="2937"/>
      <c r="F2" s="2937"/>
      <c r="G2" s="2937"/>
      <c r="H2" s="2938"/>
      <c r="I2" s="4"/>
      <c r="J2" s="2939" t="s">
        <v>0</v>
      </c>
      <c r="K2" s="2913"/>
      <c r="L2" s="6"/>
      <c r="M2" s="6"/>
      <c r="N2" s="6"/>
      <c r="O2" s="6"/>
      <c r="P2" s="6"/>
      <c r="Q2" s="6"/>
      <c r="R2" s="6"/>
      <c r="S2" s="6"/>
      <c r="T2" s="6"/>
      <c r="U2" s="6"/>
      <c r="V2" s="6"/>
      <c r="W2" s="6"/>
      <c r="X2" s="6"/>
      <c r="Y2" s="6"/>
      <c r="Z2" s="6"/>
      <c r="AA2" s="6"/>
      <c r="AB2" s="6"/>
      <c r="AC2" s="6"/>
      <c r="AD2" s="6"/>
      <c r="AE2" s="6"/>
      <c r="AF2" s="6"/>
    </row>
    <row r="3" spans="1:32" ht="15" customHeight="1">
      <c r="A3" s="6"/>
      <c r="B3" s="6"/>
      <c r="C3" s="6"/>
      <c r="D3" s="6"/>
      <c r="E3" s="6"/>
      <c r="F3" s="6"/>
      <c r="G3" s="6"/>
      <c r="H3" s="6"/>
      <c r="I3" s="4"/>
      <c r="J3" s="21"/>
      <c r="K3" s="22" t="str">
        <f>Summary!E3</f>
        <v>AR5 100-yr GWP</v>
      </c>
      <c r="L3" s="6"/>
      <c r="M3" s="6"/>
      <c r="N3" s="6"/>
      <c r="O3" s="6"/>
      <c r="P3" s="6"/>
      <c r="Q3" s="6"/>
      <c r="R3" s="6"/>
      <c r="S3" s="6"/>
      <c r="T3" s="6"/>
      <c r="U3" s="6"/>
      <c r="V3" s="6"/>
      <c r="W3" s="6"/>
      <c r="X3" s="6"/>
      <c r="Y3" s="6"/>
      <c r="Z3" s="6"/>
      <c r="AA3" s="6"/>
      <c r="AB3" s="6"/>
      <c r="AC3" s="6"/>
      <c r="AD3" s="6"/>
      <c r="AE3" s="6"/>
      <c r="AF3" s="6"/>
    </row>
    <row r="4" spans="1:32" ht="15" customHeight="1">
      <c r="A4" s="6"/>
      <c r="B4" s="6"/>
      <c r="C4" s="6"/>
      <c r="D4" s="6"/>
      <c r="E4" s="6"/>
      <c r="F4" s="6"/>
      <c r="G4" s="6"/>
      <c r="H4" s="6"/>
      <c r="I4" s="4"/>
      <c r="J4" s="21" t="s">
        <v>3</v>
      </c>
      <c r="K4" s="23">
        <f>Summary!E4</f>
        <v>1</v>
      </c>
      <c r="L4" s="6"/>
      <c r="M4" s="6"/>
      <c r="N4" s="6"/>
      <c r="O4" s="6"/>
      <c r="P4" s="6"/>
      <c r="Q4" s="6"/>
      <c r="R4" s="6"/>
      <c r="S4" s="6"/>
      <c r="T4" s="6"/>
      <c r="U4" s="6"/>
      <c r="V4" s="6"/>
      <c r="W4" s="6"/>
      <c r="X4" s="6"/>
      <c r="Y4" s="6"/>
      <c r="Z4" s="6"/>
      <c r="AA4" s="6"/>
      <c r="AB4" s="6"/>
      <c r="AC4" s="6"/>
      <c r="AD4" s="6"/>
      <c r="AE4" s="6"/>
      <c r="AF4" s="6"/>
    </row>
    <row r="5" spans="1:32" ht="15" customHeight="1">
      <c r="A5" s="6"/>
      <c r="B5" s="6"/>
      <c r="C5" s="6"/>
      <c r="D5" s="6"/>
      <c r="E5" s="6"/>
      <c r="F5" s="6"/>
      <c r="G5" s="6"/>
      <c r="H5" s="6"/>
      <c r="I5" s="4"/>
      <c r="J5" s="21" t="s">
        <v>4</v>
      </c>
      <c r="K5" s="23">
        <f>Summary!E5</f>
        <v>28</v>
      </c>
      <c r="L5" s="6"/>
      <c r="M5" s="6"/>
      <c r="N5" s="6"/>
      <c r="O5" s="6"/>
      <c r="P5" s="6"/>
      <c r="Q5" s="6"/>
      <c r="R5" s="6"/>
      <c r="S5" s="6"/>
      <c r="T5" s="6"/>
      <c r="U5" s="6"/>
      <c r="V5" s="6"/>
      <c r="W5" s="6"/>
      <c r="X5" s="6"/>
      <c r="Y5" s="6"/>
      <c r="Z5" s="6"/>
      <c r="AA5" s="6"/>
      <c r="AB5" s="6"/>
      <c r="AC5" s="6"/>
      <c r="AD5" s="6"/>
      <c r="AE5" s="6"/>
      <c r="AF5" s="6"/>
    </row>
    <row r="6" spans="1:32" ht="15" customHeight="1">
      <c r="A6" s="6"/>
      <c r="B6" s="6"/>
      <c r="C6" s="6"/>
      <c r="D6" s="6"/>
      <c r="E6" s="6"/>
      <c r="F6" s="6"/>
      <c r="G6" s="6"/>
      <c r="H6" s="6"/>
      <c r="I6" s="4"/>
      <c r="J6" s="21" t="s">
        <v>5</v>
      </c>
      <c r="K6" s="23">
        <f>Summary!E6</f>
        <v>265</v>
      </c>
      <c r="L6" s="6"/>
      <c r="M6" s="6"/>
      <c r="N6" s="6"/>
      <c r="O6" s="6"/>
      <c r="P6" s="6"/>
      <c r="Q6" s="6"/>
      <c r="R6" s="6"/>
      <c r="S6" s="6"/>
      <c r="T6" s="6"/>
      <c r="U6" s="6"/>
      <c r="V6" s="6"/>
      <c r="W6" s="6"/>
      <c r="X6" s="6"/>
      <c r="Y6" s="6"/>
      <c r="Z6" s="6"/>
      <c r="AA6" s="6"/>
      <c r="AB6" s="6"/>
      <c r="AC6" s="6"/>
      <c r="AD6" s="6"/>
      <c r="AE6" s="6"/>
      <c r="AF6" s="6"/>
    </row>
    <row r="7" spans="1:32" ht="15" customHeight="1">
      <c r="A7" s="6"/>
      <c r="B7" s="6"/>
      <c r="C7" s="6"/>
      <c r="D7" s="6"/>
      <c r="E7" s="6"/>
      <c r="F7" s="6"/>
      <c r="G7" s="6"/>
      <c r="H7" s="6"/>
      <c r="I7" s="4"/>
      <c r="J7" s="21" t="s">
        <v>6</v>
      </c>
      <c r="K7" s="23">
        <f>Summary!E7</f>
        <v>23500</v>
      </c>
      <c r="L7" s="6"/>
      <c r="M7" s="6"/>
      <c r="N7" s="6"/>
      <c r="O7" s="6"/>
      <c r="P7" s="6"/>
      <c r="Q7" s="6"/>
      <c r="R7" s="6"/>
      <c r="S7" s="6"/>
      <c r="T7" s="6"/>
      <c r="U7" s="6"/>
      <c r="V7" s="6"/>
      <c r="W7" s="6"/>
      <c r="X7" s="6"/>
      <c r="Y7" s="6"/>
      <c r="Z7" s="6"/>
      <c r="AA7" s="6"/>
      <c r="AB7" s="6"/>
      <c r="AC7" s="6"/>
      <c r="AD7" s="6"/>
      <c r="AE7" s="6"/>
      <c r="AF7" s="6"/>
    </row>
    <row r="8" spans="1:32" ht="15" customHeight="1">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row>
    <row r="9" spans="1:32" ht="14.4">
      <c r="A9" s="6"/>
      <c r="B9" s="24" t="s">
        <v>38</v>
      </c>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row>
    <row r="10" spans="1:32" ht="15" customHeight="1">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row>
    <row r="11" spans="1:32" ht="14.4">
      <c r="A11" s="6"/>
      <c r="B11" s="26" t="s">
        <v>51</v>
      </c>
      <c r="C11" s="20"/>
      <c r="D11" s="20"/>
      <c r="E11" s="20"/>
      <c r="F11" s="20"/>
      <c r="G11" s="20"/>
      <c r="H11" s="6"/>
      <c r="I11" s="6"/>
      <c r="J11" s="6"/>
      <c r="K11" s="6"/>
      <c r="L11" s="6"/>
      <c r="M11" s="6"/>
      <c r="N11" s="6"/>
      <c r="O11" s="6"/>
      <c r="P11" s="6"/>
      <c r="Q11" s="6"/>
      <c r="R11" s="6"/>
      <c r="S11" s="6"/>
      <c r="T11" s="6"/>
      <c r="U11" s="6"/>
      <c r="V11" s="6"/>
      <c r="W11" s="6"/>
      <c r="X11" s="6"/>
      <c r="Y11" s="6"/>
      <c r="Z11" s="6"/>
      <c r="AA11" s="6"/>
      <c r="AB11" s="6"/>
      <c r="AC11" s="6"/>
      <c r="AD11" s="6"/>
      <c r="AE11" s="6"/>
      <c r="AF11" s="6"/>
    </row>
    <row r="12" spans="1:32" ht="15" customHeight="1">
      <c r="A12" s="2789"/>
      <c r="B12" s="2795" t="s">
        <v>52</v>
      </c>
      <c r="C12" s="27" t="s">
        <v>53</v>
      </c>
      <c r="D12" s="27" t="s">
        <v>54</v>
      </c>
      <c r="E12" s="27" t="s">
        <v>55</v>
      </c>
      <c r="F12" s="27" t="s">
        <v>56</v>
      </c>
      <c r="G12" s="27" t="s">
        <v>57</v>
      </c>
      <c r="H12" s="6"/>
      <c r="I12" s="6"/>
      <c r="J12" s="6"/>
      <c r="K12" s="6"/>
      <c r="L12" s="6"/>
      <c r="M12" s="6"/>
      <c r="N12" s="6"/>
      <c r="O12" s="6"/>
      <c r="P12" s="6"/>
      <c r="Q12" s="6"/>
      <c r="R12" s="6"/>
      <c r="S12" s="6"/>
      <c r="T12" s="6"/>
      <c r="U12" s="6"/>
      <c r="V12" s="6"/>
      <c r="W12" s="6"/>
      <c r="X12" s="6"/>
      <c r="Y12" s="6"/>
      <c r="Z12" s="6"/>
      <c r="AA12" s="6"/>
      <c r="AB12" s="6"/>
      <c r="AC12" s="6"/>
      <c r="AD12" s="6"/>
      <c r="AE12" s="6"/>
      <c r="AF12" s="6"/>
    </row>
    <row r="13" spans="1:32" ht="15" customHeight="1">
      <c r="A13" s="4"/>
      <c r="B13" s="28">
        <v>1990</v>
      </c>
      <c r="C13" s="28">
        <v>77.749999999999986</v>
      </c>
      <c r="D13" s="28">
        <v>1.7749999999999999</v>
      </c>
      <c r="E13" s="28">
        <v>2.17</v>
      </c>
      <c r="F13" s="28">
        <v>-0.48599999999999999</v>
      </c>
      <c r="G13" s="28">
        <v>9.0999999999999998E-2</v>
      </c>
      <c r="H13" s="6"/>
      <c r="I13" s="6"/>
      <c r="J13" s="6"/>
      <c r="K13" s="6"/>
      <c r="L13" s="6"/>
      <c r="M13" s="6"/>
      <c r="N13" s="6"/>
      <c r="O13" s="6"/>
      <c r="P13" s="6"/>
      <c r="Q13" s="6"/>
      <c r="R13" s="6"/>
      <c r="S13" s="6"/>
      <c r="T13" s="6"/>
      <c r="U13" s="6"/>
      <c r="V13" s="6"/>
      <c r="W13" s="6"/>
      <c r="X13" s="6"/>
      <c r="Y13" s="6"/>
      <c r="Z13" s="6"/>
      <c r="AA13" s="6"/>
      <c r="AB13" s="6"/>
      <c r="AC13" s="6"/>
      <c r="AD13" s="6"/>
      <c r="AE13" s="6"/>
      <c r="AF13" s="6"/>
    </row>
    <row r="14" spans="1:32" ht="15" customHeight="1">
      <c r="A14" s="4"/>
      <c r="B14" s="28">
        <v>1991</v>
      </c>
      <c r="C14" s="28">
        <v>77.325999999999979</v>
      </c>
      <c r="D14" s="28">
        <v>-0.42399999999999999</v>
      </c>
      <c r="E14" s="28">
        <v>0.13900000000000001</v>
      </c>
      <c r="F14" s="28">
        <v>-0.629</v>
      </c>
      <c r="G14" s="28">
        <v>6.6000000000000003E-2</v>
      </c>
      <c r="H14" s="6"/>
      <c r="I14" s="6"/>
      <c r="J14" s="6"/>
      <c r="K14" s="6"/>
      <c r="L14" s="6"/>
      <c r="M14" s="6"/>
      <c r="N14" s="6"/>
      <c r="O14" s="6"/>
      <c r="P14" s="6"/>
      <c r="Q14" s="6"/>
      <c r="R14" s="6"/>
      <c r="S14" s="6"/>
      <c r="T14" s="6"/>
      <c r="U14" s="6"/>
      <c r="V14" s="6"/>
      <c r="W14" s="6"/>
      <c r="X14" s="6"/>
      <c r="Y14" s="6"/>
      <c r="Z14" s="6"/>
      <c r="AA14" s="6"/>
      <c r="AB14" s="6"/>
      <c r="AC14" s="6"/>
      <c r="AD14" s="6"/>
      <c r="AE14" s="6"/>
      <c r="AF14" s="6"/>
    </row>
    <row r="15" spans="1:32" ht="15" customHeight="1">
      <c r="A15" s="4"/>
      <c r="B15" s="28">
        <v>1992</v>
      </c>
      <c r="C15" s="28">
        <v>78.787999999999982</v>
      </c>
      <c r="D15" s="28">
        <v>1.462</v>
      </c>
      <c r="E15" s="28">
        <v>1.992</v>
      </c>
      <c r="F15" s="28">
        <v>-0.57499999999999996</v>
      </c>
      <c r="G15" s="28">
        <v>4.4999999999999998E-2</v>
      </c>
      <c r="H15" s="6"/>
      <c r="I15" s="6"/>
      <c r="J15" s="6"/>
      <c r="K15" s="6"/>
      <c r="L15" s="6"/>
      <c r="M15" s="6"/>
      <c r="N15" s="6"/>
      <c r="O15" s="6"/>
      <c r="P15" s="6"/>
      <c r="Q15" s="6"/>
      <c r="R15" s="6"/>
      <c r="S15" s="6"/>
      <c r="T15" s="6"/>
      <c r="U15" s="6"/>
      <c r="V15" s="6"/>
      <c r="W15" s="6"/>
      <c r="X15" s="6"/>
      <c r="Y15" s="6"/>
      <c r="Z15" s="6"/>
      <c r="AA15" s="6"/>
      <c r="AB15" s="6"/>
      <c r="AC15" s="6"/>
      <c r="AD15" s="6"/>
      <c r="AE15" s="6"/>
      <c r="AF15" s="6"/>
    </row>
    <row r="16" spans="1:32" ht="15" customHeight="1">
      <c r="A16" s="4"/>
      <c r="B16" s="28">
        <v>1993</v>
      </c>
      <c r="C16" s="28">
        <v>79.950999999999979</v>
      </c>
      <c r="D16" s="28">
        <v>1.163</v>
      </c>
      <c r="E16" s="28">
        <v>1.665</v>
      </c>
      <c r="F16" s="28">
        <v>-0.53500000000000003</v>
      </c>
      <c r="G16" s="28">
        <v>3.3000000000000002E-2</v>
      </c>
      <c r="H16" s="6"/>
      <c r="I16" s="6"/>
      <c r="J16" s="6"/>
      <c r="K16" s="6"/>
      <c r="L16" s="6"/>
      <c r="M16" s="6"/>
      <c r="N16" s="6"/>
      <c r="O16" s="6"/>
      <c r="P16" s="6"/>
      <c r="Q16" s="6"/>
      <c r="R16" s="6"/>
      <c r="S16" s="6"/>
      <c r="T16" s="6"/>
      <c r="U16" s="6"/>
      <c r="V16" s="6"/>
      <c r="W16" s="6"/>
      <c r="X16" s="6"/>
      <c r="Y16" s="6"/>
      <c r="Z16" s="6"/>
      <c r="AA16" s="6"/>
      <c r="AB16" s="6"/>
      <c r="AC16" s="6"/>
      <c r="AD16" s="6"/>
      <c r="AE16" s="6"/>
      <c r="AF16" s="6"/>
    </row>
    <row r="17" spans="1:32" ht="15" customHeight="1">
      <c r="A17" s="4"/>
      <c r="B17" s="28">
        <v>1994</v>
      </c>
      <c r="C17" s="28">
        <v>81.604999999999976</v>
      </c>
      <c r="D17" s="28">
        <v>1.6539999999999999</v>
      </c>
      <c r="E17" s="28">
        <v>2.0619999999999998</v>
      </c>
      <c r="F17" s="28">
        <v>-0.45500000000000002</v>
      </c>
      <c r="G17" s="28">
        <v>4.7E-2</v>
      </c>
      <c r="H17" s="6"/>
      <c r="I17" s="6"/>
      <c r="J17" s="6"/>
      <c r="K17" s="6"/>
      <c r="L17" s="6"/>
      <c r="M17" s="6"/>
      <c r="N17" s="6"/>
      <c r="O17" s="6"/>
      <c r="P17" s="6"/>
      <c r="Q17" s="6"/>
      <c r="R17" s="6"/>
      <c r="S17" s="6"/>
      <c r="T17" s="6"/>
      <c r="U17" s="6"/>
      <c r="V17" s="6"/>
      <c r="W17" s="6"/>
      <c r="X17" s="6"/>
      <c r="Y17" s="6"/>
      <c r="Z17" s="6"/>
      <c r="AA17" s="6"/>
      <c r="AB17" s="6"/>
      <c r="AC17" s="6"/>
      <c r="AD17" s="6"/>
      <c r="AE17" s="6"/>
      <c r="AF17" s="6"/>
    </row>
    <row r="18" spans="1:32" ht="15" customHeight="1">
      <c r="A18" s="4"/>
      <c r="B18" s="28">
        <v>1995</v>
      </c>
      <c r="C18" s="28">
        <v>82.650999999999982</v>
      </c>
      <c r="D18" s="28">
        <v>1.046</v>
      </c>
      <c r="E18" s="28">
        <v>1.4339999999999999</v>
      </c>
      <c r="F18" s="28">
        <v>-0.42299999999999999</v>
      </c>
      <c r="G18" s="28">
        <v>3.5000000000000003E-2</v>
      </c>
      <c r="H18" s="6"/>
      <c r="I18" s="6"/>
      <c r="J18" s="6"/>
      <c r="K18" s="6"/>
      <c r="L18" s="6"/>
      <c r="M18" s="6"/>
      <c r="N18" s="6"/>
      <c r="O18" s="6"/>
      <c r="P18" s="6"/>
      <c r="Q18" s="6"/>
      <c r="R18" s="6"/>
      <c r="S18" s="6"/>
      <c r="T18" s="6"/>
      <c r="U18" s="6"/>
      <c r="V18" s="6"/>
      <c r="W18" s="6"/>
      <c r="X18" s="6"/>
      <c r="Y18" s="6"/>
      <c r="Z18" s="6"/>
      <c r="AA18" s="6"/>
      <c r="AB18" s="6"/>
      <c r="AC18" s="6"/>
      <c r="AD18" s="6"/>
      <c r="AE18" s="6"/>
      <c r="AF18" s="6"/>
    </row>
    <row r="19" spans="1:32" ht="15" customHeight="1">
      <c r="A19" s="4"/>
      <c r="B19" s="28">
        <v>1996</v>
      </c>
      <c r="C19" s="28">
        <v>84.711999999999989</v>
      </c>
      <c r="D19" s="28">
        <v>2.0609999999999999</v>
      </c>
      <c r="E19" s="28">
        <v>2.38</v>
      </c>
      <c r="F19" s="28">
        <v>-0.38500000000000001</v>
      </c>
      <c r="G19" s="28">
        <v>6.6000000000000003E-2</v>
      </c>
      <c r="H19" s="6"/>
      <c r="I19" s="6"/>
      <c r="J19" s="6"/>
      <c r="K19" s="6"/>
      <c r="L19" s="6"/>
      <c r="M19" s="6"/>
      <c r="N19" s="6"/>
      <c r="O19" s="6"/>
      <c r="P19" s="6"/>
      <c r="Q19" s="6"/>
      <c r="R19" s="6"/>
      <c r="S19" s="6"/>
      <c r="T19" s="6"/>
      <c r="U19" s="6"/>
      <c r="V19" s="6"/>
      <c r="W19" s="6"/>
      <c r="X19" s="6"/>
      <c r="Y19" s="6"/>
      <c r="Z19" s="6"/>
      <c r="AA19" s="6"/>
      <c r="AB19" s="6"/>
      <c r="AC19" s="6"/>
      <c r="AD19" s="6"/>
      <c r="AE19" s="6"/>
      <c r="AF19" s="6"/>
    </row>
    <row r="20" spans="1:32" ht="15" customHeight="1">
      <c r="A20" s="4"/>
      <c r="B20" s="28">
        <v>1997</v>
      </c>
      <c r="C20" s="28">
        <v>86.071999999999989</v>
      </c>
      <c r="D20" s="28">
        <v>1.36</v>
      </c>
      <c r="E20" s="28">
        <v>1.9039999999999999</v>
      </c>
      <c r="F20" s="28">
        <v>-0.56299999999999994</v>
      </c>
      <c r="G20" s="28">
        <v>1.9E-2</v>
      </c>
      <c r="H20" s="6"/>
      <c r="I20" s="6"/>
      <c r="J20" s="6"/>
      <c r="K20" s="6"/>
      <c r="L20" s="6"/>
      <c r="M20" s="6"/>
      <c r="N20" s="6"/>
      <c r="O20" s="6"/>
      <c r="P20" s="6"/>
      <c r="Q20" s="6"/>
      <c r="R20" s="6"/>
      <c r="S20" s="6"/>
      <c r="T20" s="6"/>
      <c r="U20" s="6"/>
      <c r="V20" s="6"/>
      <c r="W20" s="6"/>
      <c r="X20" s="6"/>
      <c r="Y20" s="6"/>
      <c r="Z20" s="6"/>
      <c r="AA20" s="6"/>
      <c r="AB20" s="6"/>
      <c r="AC20" s="6"/>
      <c r="AD20" s="6"/>
      <c r="AE20" s="6"/>
      <c r="AF20" s="6"/>
    </row>
    <row r="21" spans="1:32" ht="15" customHeight="1">
      <c r="A21" s="4"/>
      <c r="B21" s="28">
        <v>1998</v>
      </c>
      <c r="C21" s="28">
        <v>87.058999999999983</v>
      </c>
      <c r="D21" s="28">
        <v>0.98699999999999999</v>
      </c>
      <c r="E21" s="28">
        <v>1.6160000000000001</v>
      </c>
      <c r="F21" s="28">
        <v>-0.64500000000000002</v>
      </c>
      <c r="G21" s="28">
        <v>1.6E-2</v>
      </c>
      <c r="H21" s="6"/>
      <c r="I21" s="6"/>
      <c r="J21" s="6"/>
      <c r="K21" s="6"/>
      <c r="L21" s="6"/>
      <c r="M21" s="6"/>
      <c r="N21" s="6"/>
      <c r="O21" s="6"/>
      <c r="P21" s="6"/>
      <c r="Q21" s="6"/>
      <c r="R21" s="6"/>
      <c r="S21" s="6"/>
      <c r="T21" s="6"/>
      <c r="U21" s="6"/>
      <c r="V21" s="6"/>
      <c r="W21" s="6"/>
      <c r="X21" s="6"/>
      <c r="Y21" s="6"/>
      <c r="Z21" s="6"/>
      <c r="AA21" s="6"/>
      <c r="AB21" s="6"/>
      <c r="AC21" s="6"/>
      <c r="AD21" s="6"/>
      <c r="AE21" s="6"/>
      <c r="AF21" s="6"/>
    </row>
    <row r="22" spans="1:32" ht="15" customHeight="1">
      <c r="A22" s="4"/>
      <c r="B22" s="28">
        <v>1999</v>
      </c>
      <c r="C22" s="28">
        <v>87.842999999999989</v>
      </c>
      <c r="D22" s="28">
        <v>0.78400000000000003</v>
      </c>
      <c r="E22" s="28">
        <v>1.2929999999999999</v>
      </c>
      <c r="F22" s="28">
        <v>-0.52900000000000003</v>
      </c>
      <c r="G22" s="28">
        <v>0.02</v>
      </c>
      <c r="H22" s="6"/>
      <c r="I22" s="6"/>
      <c r="J22" s="6"/>
      <c r="K22" s="6"/>
      <c r="L22" s="6"/>
      <c r="M22" s="6"/>
      <c r="N22" s="6"/>
      <c r="O22" s="6"/>
      <c r="P22" s="6"/>
      <c r="Q22" s="6"/>
      <c r="R22" s="6"/>
      <c r="S22" s="6"/>
      <c r="T22" s="6"/>
      <c r="U22" s="6"/>
      <c r="V22" s="6"/>
      <c r="W22" s="6"/>
      <c r="X22" s="6"/>
      <c r="Y22" s="6"/>
      <c r="Z22" s="6"/>
      <c r="AA22" s="6"/>
      <c r="AB22" s="6"/>
      <c r="AC22" s="6"/>
      <c r="AD22" s="6"/>
      <c r="AE22" s="6"/>
      <c r="AF22" s="6"/>
    </row>
    <row r="23" spans="1:32" ht="15" customHeight="1">
      <c r="A23" s="4"/>
      <c r="B23" s="28">
        <v>2000</v>
      </c>
      <c r="C23" s="28">
        <v>90.038999999999987</v>
      </c>
      <c r="D23" s="28">
        <v>2.1960000000000002</v>
      </c>
      <c r="E23" s="28">
        <v>2.645</v>
      </c>
      <c r="F23" s="28">
        <v>-0.50600000000000001</v>
      </c>
      <c r="G23" s="28">
        <v>5.7000000000000002E-2</v>
      </c>
      <c r="H23" s="6"/>
      <c r="I23" s="6"/>
      <c r="J23" s="6"/>
      <c r="K23" s="6"/>
      <c r="L23" s="6"/>
      <c r="M23" s="6"/>
      <c r="N23" s="6"/>
      <c r="O23" s="6"/>
      <c r="P23" s="6"/>
      <c r="Q23" s="6"/>
      <c r="R23" s="6"/>
      <c r="S23" s="6"/>
      <c r="T23" s="6"/>
      <c r="U23" s="6"/>
      <c r="V23" s="6"/>
      <c r="W23" s="6"/>
      <c r="X23" s="6"/>
      <c r="Y23" s="6"/>
      <c r="Z23" s="6"/>
      <c r="AA23" s="6"/>
      <c r="AB23" s="6"/>
      <c r="AC23" s="6"/>
      <c r="AD23" s="6"/>
      <c r="AE23" s="6"/>
      <c r="AF23" s="6"/>
    </row>
    <row r="24" spans="1:32" ht="15" customHeight="1">
      <c r="A24" s="4"/>
      <c r="B24" s="28">
        <v>2001</v>
      </c>
      <c r="C24" s="28">
        <v>92.091999999999985</v>
      </c>
      <c r="D24" s="28">
        <v>2.0529999999999999</v>
      </c>
      <c r="E24" s="28">
        <v>2.6379999999999999</v>
      </c>
      <c r="F24" s="28">
        <v>-0.60399999999999998</v>
      </c>
      <c r="G24" s="28">
        <v>1.9E-2</v>
      </c>
      <c r="H24" s="6"/>
      <c r="I24" s="6"/>
      <c r="J24" s="6"/>
      <c r="K24" s="6"/>
      <c r="L24" s="6"/>
      <c r="M24" s="6"/>
      <c r="N24" s="6"/>
      <c r="O24" s="6"/>
      <c r="P24" s="6"/>
      <c r="Q24" s="6"/>
      <c r="R24" s="6"/>
      <c r="S24" s="6"/>
      <c r="T24" s="6"/>
      <c r="U24" s="6"/>
      <c r="V24" s="6"/>
      <c r="W24" s="6"/>
      <c r="X24" s="6"/>
      <c r="Y24" s="6"/>
      <c r="Z24" s="6"/>
      <c r="AA24" s="6"/>
      <c r="AB24" s="6"/>
      <c r="AC24" s="6"/>
      <c r="AD24" s="6"/>
      <c r="AE24" s="6"/>
      <c r="AF24" s="6"/>
    </row>
    <row r="25" spans="1:32" ht="15" customHeight="1">
      <c r="A25" s="4"/>
      <c r="B25" s="28">
        <v>2002</v>
      </c>
      <c r="C25" s="28">
        <v>92.387999999999991</v>
      </c>
      <c r="D25" s="28">
        <v>0.29599999999999999</v>
      </c>
      <c r="E25" s="28">
        <v>1.038</v>
      </c>
      <c r="F25" s="28">
        <v>-0.75700000000000001</v>
      </c>
      <c r="G25" s="28">
        <v>1.4999999999999999E-2</v>
      </c>
      <c r="H25" s="6"/>
      <c r="I25" s="6"/>
      <c r="J25" s="6"/>
      <c r="K25" s="6"/>
      <c r="L25" s="6"/>
      <c r="M25" s="6"/>
      <c r="N25" s="6"/>
      <c r="O25" s="6"/>
      <c r="P25" s="6"/>
      <c r="Q25" s="6"/>
      <c r="R25" s="6"/>
      <c r="S25" s="6"/>
      <c r="T25" s="6"/>
      <c r="U25" s="6"/>
      <c r="V25" s="6"/>
      <c r="W25" s="6"/>
      <c r="X25" s="6"/>
      <c r="Y25" s="6"/>
      <c r="Z25" s="6"/>
      <c r="AA25" s="6"/>
      <c r="AB25" s="6"/>
      <c r="AC25" s="6"/>
      <c r="AD25" s="6"/>
      <c r="AE25" s="6"/>
      <c r="AF25" s="6"/>
    </row>
    <row r="26" spans="1:32" ht="15" customHeight="1">
      <c r="A26" s="4"/>
      <c r="B26" s="28">
        <v>2003</v>
      </c>
      <c r="C26" s="28">
        <v>94.254999999999995</v>
      </c>
      <c r="D26" s="28">
        <v>1.867</v>
      </c>
      <c r="E26" s="28">
        <v>2.5139999999999998</v>
      </c>
      <c r="F26" s="28">
        <v>-0.68899999999999995</v>
      </c>
      <c r="G26" s="28">
        <v>4.2000000000000003E-2</v>
      </c>
      <c r="H26" s="6"/>
      <c r="I26" s="6"/>
      <c r="J26" s="6"/>
      <c r="K26" s="6"/>
      <c r="L26" s="6"/>
      <c r="M26" s="6"/>
      <c r="N26" s="6"/>
      <c r="O26" s="6"/>
      <c r="P26" s="6"/>
      <c r="Q26" s="6"/>
      <c r="R26" s="6"/>
      <c r="S26" s="6"/>
      <c r="T26" s="6"/>
      <c r="U26" s="6"/>
      <c r="V26" s="6"/>
      <c r="W26" s="6"/>
      <c r="X26" s="6"/>
      <c r="Y26" s="6"/>
      <c r="Z26" s="6"/>
      <c r="AA26" s="6"/>
      <c r="AB26" s="6"/>
      <c r="AC26" s="6"/>
      <c r="AD26" s="6"/>
      <c r="AE26" s="6"/>
      <c r="AF26" s="6"/>
    </row>
    <row r="27" spans="1:32" ht="15" customHeight="1">
      <c r="A27" s="4"/>
      <c r="B27" s="28">
        <v>2004</v>
      </c>
      <c r="C27" s="28">
        <v>96.039000000000001</v>
      </c>
      <c r="D27" s="28">
        <v>1.784</v>
      </c>
      <c r="E27" s="28">
        <v>2.3090000000000002</v>
      </c>
      <c r="F27" s="28">
        <v>-0.54600000000000004</v>
      </c>
      <c r="G27" s="28">
        <v>2.1000000000000001E-2</v>
      </c>
      <c r="H27" s="6"/>
      <c r="I27" s="6"/>
      <c r="J27" s="6"/>
      <c r="K27" s="6"/>
      <c r="L27" s="6"/>
      <c r="M27" s="6"/>
      <c r="N27" s="6"/>
      <c r="O27" s="6"/>
      <c r="P27" s="6"/>
      <c r="Q27" s="6"/>
      <c r="R27" s="6"/>
      <c r="S27" s="6"/>
      <c r="T27" s="6"/>
      <c r="U27" s="6"/>
      <c r="V27" s="6"/>
      <c r="W27" s="6"/>
      <c r="X27" s="6"/>
      <c r="Y27" s="6"/>
      <c r="Z27" s="6"/>
      <c r="AA27" s="6"/>
      <c r="AB27" s="6"/>
      <c r="AC27" s="6"/>
      <c r="AD27" s="6"/>
      <c r="AE27" s="6"/>
      <c r="AF27" s="6"/>
    </row>
    <row r="28" spans="1:32" ht="15" customHeight="1">
      <c r="A28" s="4"/>
      <c r="B28" s="28">
        <v>2005</v>
      </c>
      <c r="C28" s="28">
        <v>97.454000000000008</v>
      </c>
      <c r="D28" s="28">
        <v>1.415</v>
      </c>
      <c r="E28" s="28">
        <v>1.8480000000000001</v>
      </c>
      <c r="F28" s="28">
        <v>-0.46400000000000002</v>
      </c>
      <c r="G28" s="28">
        <v>3.1E-2</v>
      </c>
      <c r="H28" s="6"/>
      <c r="I28" s="6"/>
      <c r="J28" s="6"/>
      <c r="K28" s="6"/>
      <c r="L28" s="6"/>
      <c r="M28" s="6"/>
      <c r="N28" s="6"/>
      <c r="O28" s="6"/>
      <c r="P28" s="6"/>
      <c r="Q28" s="6"/>
      <c r="R28" s="6"/>
      <c r="S28" s="6"/>
      <c r="T28" s="6"/>
      <c r="U28" s="6"/>
      <c r="V28" s="6"/>
      <c r="W28" s="6"/>
      <c r="X28" s="6"/>
      <c r="Y28" s="6"/>
      <c r="Z28" s="6"/>
      <c r="AA28" s="6"/>
      <c r="AB28" s="6"/>
      <c r="AC28" s="6"/>
      <c r="AD28" s="6"/>
      <c r="AE28" s="6"/>
      <c r="AF28" s="6"/>
    </row>
    <row r="29" spans="1:32" ht="15" customHeight="1">
      <c r="A29" s="4"/>
      <c r="B29" s="28">
        <v>2006</v>
      </c>
      <c r="C29" s="28">
        <v>99.016000000000005</v>
      </c>
      <c r="D29" s="28">
        <v>1.5620000000000001</v>
      </c>
      <c r="E29" s="28">
        <v>1.95</v>
      </c>
      <c r="F29" s="28">
        <v>-0.41599999999999998</v>
      </c>
      <c r="G29" s="28">
        <v>2.8000000000000001E-2</v>
      </c>
      <c r="H29" s="6"/>
      <c r="I29" s="6"/>
      <c r="J29" s="6"/>
      <c r="K29" s="6"/>
      <c r="L29" s="6"/>
      <c r="M29" s="6"/>
      <c r="N29" s="6"/>
      <c r="O29" s="6"/>
      <c r="P29" s="6"/>
      <c r="Q29" s="6"/>
      <c r="R29" s="6"/>
      <c r="S29" s="6"/>
      <c r="T29" s="6"/>
      <c r="U29" s="6"/>
      <c r="V29" s="6"/>
      <c r="W29" s="6"/>
      <c r="X29" s="6"/>
      <c r="Y29" s="6"/>
      <c r="Z29" s="6"/>
      <c r="AA29" s="6"/>
      <c r="AB29" s="6"/>
      <c r="AC29" s="6"/>
      <c r="AD29" s="6"/>
      <c r="AE29" s="6"/>
      <c r="AF29" s="6"/>
    </row>
    <row r="30" spans="1:32" ht="15" customHeight="1">
      <c r="A30" s="4"/>
      <c r="B30" s="28">
        <v>2007</v>
      </c>
      <c r="C30" s="28">
        <v>99.903000000000006</v>
      </c>
      <c r="D30" s="28">
        <v>0.88700000000000001</v>
      </c>
      <c r="E30" s="28">
        <v>1.2729999999999999</v>
      </c>
      <c r="F30" s="28">
        <v>-0.40500000000000003</v>
      </c>
      <c r="G30" s="28">
        <v>1.9E-2</v>
      </c>
      <c r="H30" s="6"/>
      <c r="I30" s="6"/>
      <c r="J30" s="6"/>
      <c r="K30" s="6"/>
      <c r="L30" s="6"/>
      <c r="M30" s="6"/>
      <c r="N30" s="6"/>
      <c r="O30" s="6"/>
      <c r="P30" s="6"/>
      <c r="Q30" s="6"/>
      <c r="R30" s="6"/>
      <c r="S30" s="6"/>
      <c r="T30" s="6"/>
      <c r="U30" s="6"/>
      <c r="V30" s="6"/>
      <c r="W30" s="6"/>
      <c r="X30" s="6"/>
      <c r="Y30" s="6"/>
      <c r="Z30" s="6"/>
      <c r="AA30" s="6"/>
      <c r="AB30" s="6"/>
      <c r="AC30" s="6"/>
      <c r="AD30" s="6"/>
      <c r="AE30" s="6"/>
      <c r="AF30" s="6"/>
    </row>
    <row r="31" spans="1:32" ht="15" customHeight="1">
      <c r="A31" s="4"/>
      <c r="B31" s="28">
        <v>2008</v>
      </c>
      <c r="C31" s="28">
        <v>101.996</v>
      </c>
      <c r="D31" s="28">
        <v>2.093</v>
      </c>
      <c r="E31" s="28">
        <v>2.2850000000000001</v>
      </c>
      <c r="F31" s="28">
        <v>-0.214</v>
      </c>
      <c r="G31" s="28">
        <v>2.3E-2</v>
      </c>
      <c r="H31" s="6"/>
      <c r="I31" s="6"/>
      <c r="J31" s="6"/>
      <c r="K31" s="6"/>
      <c r="L31" s="6"/>
      <c r="M31" s="6"/>
      <c r="N31" s="6"/>
      <c r="O31" s="6"/>
      <c r="P31" s="6"/>
      <c r="Q31" s="6"/>
      <c r="R31" s="6"/>
      <c r="S31" s="6"/>
      <c r="T31" s="6"/>
      <c r="U31" s="6"/>
      <c r="V31" s="6"/>
      <c r="W31" s="6"/>
      <c r="X31" s="6"/>
      <c r="Y31" s="6"/>
      <c r="Z31" s="6"/>
      <c r="AA31" s="6"/>
      <c r="AB31" s="6"/>
      <c r="AC31" s="6"/>
      <c r="AD31" s="6"/>
      <c r="AE31" s="6"/>
      <c r="AF31" s="6"/>
    </row>
    <row r="32" spans="1:32" ht="15" customHeight="1">
      <c r="A32" s="4"/>
      <c r="B32" s="28">
        <v>2009</v>
      </c>
      <c r="C32" s="28">
        <v>104.76900000000001</v>
      </c>
      <c r="D32" s="28">
        <v>2.7730000000000001</v>
      </c>
      <c r="E32" s="28">
        <v>2.99</v>
      </c>
      <c r="F32" s="28">
        <v>-0.25</v>
      </c>
      <c r="G32" s="28">
        <v>3.3000000000000002E-2</v>
      </c>
      <c r="H32" s="6"/>
      <c r="I32" s="6"/>
      <c r="J32" s="6"/>
      <c r="K32" s="6"/>
      <c r="L32" s="6"/>
      <c r="M32" s="6"/>
      <c r="N32" s="6"/>
      <c r="O32" s="6"/>
      <c r="P32" s="6"/>
      <c r="Q32" s="6"/>
      <c r="R32" s="6"/>
      <c r="S32" s="6"/>
      <c r="T32" s="6"/>
      <c r="U32" s="6"/>
      <c r="V32" s="6"/>
      <c r="W32" s="6"/>
      <c r="X32" s="6"/>
      <c r="Y32" s="6"/>
      <c r="Z32" s="6"/>
      <c r="AA32" s="6"/>
      <c r="AB32" s="6"/>
      <c r="AC32" s="6"/>
      <c r="AD32" s="6"/>
      <c r="AE32" s="6"/>
      <c r="AF32" s="6"/>
    </row>
    <row r="33" spans="1:32" ht="15" customHeight="1">
      <c r="A33" s="4"/>
      <c r="B33" s="28">
        <v>2010</v>
      </c>
      <c r="C33" s="28">
        <v>105.93300000000001</v>
      </c>
      <c r="D33" s="28">
        <v>1.1639999999999999</v>
      </c>
      <c r="E33" s="28">
        <v>1.351</v>
      </c>
      <c r="F33" s="28">
        <v>-0.215</v>
      </c>
      <c r="G33" s="28">
        <v>2.8000000000000001E-2</v>
      </c>
      <c r="H33" s="6"/>
      <c r="I33" s="6"/>
      <c r="J33" s="6"/>
      <c r="K33" s="6"/>
      <c r="L33" s="6"/>
      <c r="M33" s="6"/>
      <c r="N33" s="6"/>
      <c r="O33" s="6"/>
      <c r="P33" s="6"/>
      <c r="Q33" s="6"/>
      <c r="R33" s="6"/>
      <c r="S33" s="6"/>
      <c r="T33" s="6"/>
      <c r="U33" s="6"/>
      <c r="V33" s="6"/>
      <c r="W33" s="6"/>
      <c r="X33" s="6"/>
      <c r="Y33" s="6"/>
      <c r="Z33" s="6"/>
      <c r="AA33" s="6"/>
      <c r="AB33" s="6"/>
      <c r="AC33" s="6"/>
      <c r="AD33" s="6"/>
      <c r="AE33" s="6"/>
      <c r="AF33" s="6"/>
    </row>
    <row r="34" spans="1:32" ht="15" customHeight="1">
      <c r="A34" s="4"/>
      <c r="B34" s="28">
        <v>2011</v>
      </c>
      <c r="C34" s="28">
        <v>107.676</v>
      </c>
      <c r="D34" s="28">
        <v>1.7430000000000001</v>
      </c>
      <c r="E34" s="28">
        <v>1.893</v>
      </c>
      <c r="F34" s="28">
        <v>-0.19700000000000001</v>
      </c>
      <c r="G34" s="28">
        <v>4.7E-2</v>
      </c>
      <c r="H34" s="6"/>
      <c r="I34" s="6"/>
      <c r="J34" s="6"/>
      <c r="K34" s="6"/>
      <c r="L34" s="6"/>
      <c r="M34" s="6"/>
      <c r="N34" s="6"/>
      <c r="O34" s="6"/>
      <c r="P34" s="6"/>
      <c r="Q34" s="6"/>
      <c r="R34" s="6"/>
      <c r="S34" s="6"/>
      <c r="T34" s="6"/>
      <c r="U34" s="6"/>
      <c r="V34" s="6"/>
      <c r="W34" s="6"/>
      <c r="X34" s="6"/>
      <c r="Y34" s="6"/>
      <c r="Z34" s="6"/>
      <c r="AA34" s="6"/>
      <c r="AB34" s="6"/>
      <c r="AC34" s="6"/>
      <c r="AD34" s="6"/>
      <c r="AE34" s="6"/>
      <c r="AF34" s="6"/>
    </row>
    <row r="35" spans="1:32" ht="15" customHeight="1">
      <c r="A35" s="4"/>
      <c r="B35" s="28">
        <v>2012</v>
      </c>
      <c r="C35" s="28">
        <v>109.625</v>
      </c>
      <c r="D35" s="28">
        <v>1.95</v>
      </c>
      <c r="E35" s="28">
        <v>2.3149999999999999</v>
      </c>
      <c r="F35" s="28">
        <v>-0.40100000000000002</v>
      </c>
      <c r="G35" s="28">
        <v>3.5999999999999997E-2</v>
      </c>
      <c r="H35" s="6"/>
      <c r="I35" s="6"/>
      <c r="J35" s="6"/>
      <c r="K35" s="6"/>
      <c r="L35" s="6"/>
      <c r="M35" s="6"/>
      <c r="N35" s="6"/>
      <c r="O35" s="6"/>
      <c r="P35" s="6"/>
      <c r="Q35" s="6"/>
      <c r="R35" s="6"/>
      <c r="S35" s="6"/>
      <c r="T35" s="6"/>
      <c r="U35" s="6"/>
      <c r="V35" s="6"/>
      <c r="W35" s="6"/>
      <c r="X35" s="6"/>
      <c r="Y35" s="6"/>
      <c r="Z35" s="6"/>
      <c r="AA35" s="6"/>
      <c r="AB35" s="6"/>
      <c r="AC35" s="6"/>
      <c r="AD35" s="6"/>
      <c r="AE35" s="6"/>
      <c r="AF35" s="6"/>
    </row>
    <row r="36" spans="1:32" ht="15" customHeight="1">
      <c r="A36" s="4"/>
      <c r="B36" s="28">
        <v>2013</v>
      </c>
      <c r="C36" s="28">
        <v>112.289</v>
      </c>
      <c r="D36" s="28">
        <v>2.6640000000000001</v>
      </c>
      <c r="E36" s="28">
        <v>2.7669999999999999</v>
      </c>
      <c r="F36" s="28">
        <v>-0.13</v>
      </c>
      <c r="G36" s="28">
        <v>2.7E-2</v>
      </c>
      <c r="H36" s="6"/>
      <c r="I36" s="6"/>
      <c r="J36" s="6"/>
      <c r="K36" s="6"/>
      <c r="L36" s="6"/>
      <c r="M36" s="6"/>
      <c r="N36" s="6"/>
      <c r="O36" s="6"/>
      <c r="P36" s="6"/>
      <c r="Q36" s="6"/>
      <c r="R36" s="6"/>
      <c r="S36" s="6"/>
      <c r="T36" s="6"/>
      <c r="U36" s="6"/>
      <c r="V36" s="6"/>
      <c r="W36" s="6"/>
      <c r="X36" s="6"/>
      <c r="Y36" s="6"/>
      <c r="Z36" s="6"/>
      <c r="AA36" s="6"/>
      <c r="AB36" s="6"/>
      <c r="AC36" s="6"/>
      <c r="AD36" s="6"/>
      <c r="AE36" s="6"/>
      <c r="AF36" s="6"/>
    </row>
    <row r="37" spans="1:32" ht="15" customHeight="1">
      <c r="A37" s="4"/>
      <c r="B37" s="28">
        <v>2014</v>
      </c>
      <c r="C37" s="28">
        <v>114.872</v>
      </c>
      <c r="D37" s="28">
        <v>2.5830000000000002</v>
      </c>
      <c r="E37" s="28">
        <v>2.7530000000000001</v>
      </c>
      <c r="F37" s="28">
        <v>-0.21</v>
      </c>
      <c r="G37" s="28">
        <v>4.1000000000000002E-2</v>
      </c>
      <c r="H37" s="6"/>
      <c r="I37" s="6"/>
      <c r="J37" s="6"/>
      <c r="K37" s="6"/>
      <c r="L37" s="6"/>
      <c r="M37" s="6"/>
      <c r="N37" s="6"/>
      <c r="O37" s="6"/>
      <c r="P37" s="6"/>
      <c r="Q37" s="6"/>
      <c r="R37" s="6"/>
      <c r="S37" s="6"/>
      <c r="T37" s="6"/>
      <c r="U37" s="6"/>
      <c r="V37" s="6"/>
      <c r="W37" s="6"/>
      <c r="X37" s="6"/>
      <c r="Y37" s="6"/>
      <c r="Z37" s="6"/>
      <c r="AA37" s="6"/>
      <c r="AB37" s="6"/>
      <c r="AC37" s="6"/>
      <c r="AD37" s="6"/>
      <c r="AE37" s="6"/>
      <c r="AF37" s="6"/>
    </row>
    <row r="38" spans="1:32" ht="15" customHeight="1">
      <c r="A38" s="4"/>
      <c r="B38" s="28">
        <v>2015</v>
      </c>
      <c r="C38" s="28">
        <v>117.636</v>
      </c>
      <c r="D38" s="28">
        <v>2.7639999999999998</v>
      </c>
      <c r="E38" s="28">
        <v>3.0139999999999998</v>
      </c>
      <c r="F38" s="28">
        <v>-0.28399999999999997</v>
      </c>
      <c r="G38" s="28">
        <v>3.5000000000000003E-2</v>
      </c>
      <c r="H38" s="6"/>
      <c r="I38" s="6"/>
      <c r="J38" s="6"/>
      <c r="K38" s="6"/>
      <c r="L38" s="6"/>
      <c r="M38" s="6"/>
      <c r="N38" s="6"/>
      <c r="O38" s="6"/>
      <c r="P38" s="6"/>
      <c r="Q38" s="6"/>
      <c r="R38" s="6"/>
      <c r="S38" s="6"/>
      <c r="T38" s="6"/>
      <c r="U38" s="6"/>
      <c r="V38" s="6"/>
      <c r="W38" s="6"/>
      <c r="X38" s="6"/>
      <c r="Y38" s="6"/>
      <c r="Z38" s="6"/>
      <c r="AA38" s="6"/>
      <c r="AB38" s="6"/>
      <c r="AC38" s="6"/>
      <c r="AD38" s="6"/>
      <c r="AE38" s="6"/>
      <c r="AF38" s="6"/>
    </row>
    <row r="39" spans="1:32" ht="15" customHeight="1">
      <c r="A39" s="4"/>
      <c r="B39" s="28">
        <v>2016</v>
      </c>
      <c r="C39" s="28">
        <v>117.982</v>
      </c>
      <c r="D39" s="28">
        <v>0.34599999999999997</v>
      </c>
      <c r="E39" s="28">
        <v>0.996</v>
      </c>
      <c r="F39" s="28">
        <v>-0.68</v>
      </c>
      <c r="G39" s="28">
        <v>0.03</v>
      </c>
      <c r="H39" s="6"/>
      <c r="I39" s="6"/>
      <c r="J39" s="6"/>
      <c r="K39" s="6"/>
      <c r="L39" s="6"/>
      <c r="M39" s="6"/>
      <c r="N39" s="6"/>
      <c r="O39" s="6"/>
      <c r="P39" s="6"/>
      <c r="Q39" s="6"/>
      <c r="R39" s="6"/>
      <c r="S39" s="6"/>
      <c r="T39" s="6"/>
      <c r="U39" s="6"/>
      <c r="V39" s="6"/>
      <c r="W39" s="6"/>
      <c r="X39" s="6"/>
      <c r="Y39" s="6"/>
      <c r="Z39" s="6"/>
      <c r="AA39" s="6"/>
      <c r="AB39" s="6"/>
      <c r="AC39" s="6"/>
      <c r="AD39" s="6"/>
      <c r="AE39" s="6"/>
      <c r="AF39" s="6"/>
    </row>
    <row r="40" spans="1:32" ht="15" customHeight="1">
      <c r="A40" s="4"/>
      <c r="B40" s="28">
        <v>2017</v>
      </c>
      <c r="C40" s="28">
        <v>119.252</v>
      </c>
      <c r="D40" s="28">
        <v>1.27</v>
      </c>
      <c r="E40" s="28" t="s">
        <v>58</v>
      </c>
      <c r="F40" s="28" t="s">
        <v>58</v>
      </c>
      <c r="G40" s="28" t="s">
        <v>58</v>
      </c>
      <c r="H40" s="6"/>
      <c r="I40" s="6"/>
      <c r="J40" s="6"/>
      <c r="K40" s="6"/>
      <c r="L40" s="6"/>
      <c r="M40" s="6"/>
      <c r="N40" s="6"/>
      <c r="O40" s="6"/>
      <c r="P40" s="6"/>
      <c r="Q40" s="6"/>
      <c r="R40" s="6"/>
      <c r="S40" s="6"/>
      <c r="T40" s="6"/>
      <c r="U40" s="6"/>
      <c r="V40" s="6"/>
      <c r="W40" s="6"/>
      <c r="X40" s="6"/>
      <c r="Y40" s="6"/>
      <c r="Z40" s="6"/>
      <c r="AA40" s="6"/>
      <c r="AB40" s="6"/>
      <c r="AC40" s="6"/>
      <c r="AD40" s="6"/>
      <c r="AE40" s="6"/>
      <c r="AF40" s="6"/>
    </row>
    <row r="41" spans="1:32" ht="15" customHeight="1">
      <c r="A41" s="4"/>
      <c r="B41" s="28">
        <v>2018</v>
      </c>
      <c r="C41" s="28">
        <v>120.062</v>
      </c>
      <c r="D41" s="28">
        <v>0.81</v>
      </c>
      <c r="E41" s="28" t="s">
        <v>58</v>
      </c>
      <c r="F41" s="28" t="s">
        <v>58</v>
      </c>
      <c r="G41" s="28" t="s">
        <v>58</v>
      </c>
      <c r="H41" s="6"/>
      <c r="I41" s="6"/>
      <c r="J41" s="6"/>
      <c r="K41" s="6"/>
      <c r="L41" s="6"/>
      <c r="M41" s="6"/>
      <c r="N41" s="6"/>
      <c r="O41" s="6"/>
      <c r="P41" s="6"/>
      <c r="Q41" s="6"/>
      <c r="R41" s="6"/>
      <c r="S41" s="6"/>
      <c r="T41" s="6"/>
      <c r="U41" s="6"/>
      <c r="V41" s="6"/>
      <c r="W41" s="6"/>
      <c r="X41" s="6"/>
      <c r="Y41" s="6"/>
      <c r="Z41" s="6"/>
      <c r="AA41" s="6"/>
      <c r="AB41" s="6"/>
      <c r="AC41" s="6"/>
      <c r="AD41" s="6"/>
      <c r="AE41" s="6"/>
      <c r="AF41" s="6"/>
    </row>
    <row r="42" spans="1:32" ht="15" customHeight="1">
      <c r="A42" s="4"/>
      <c r="B42" s="28">
        <v>2019</v>
      </c>
      <c r="C42" s="28">
        <v>120.83799999999999</v>
      </c>
      <c r="D42" s="28">
        <v>0.77600000000000002</v>
      </c>
      <c r="E42" s="28" t="s">
        <v>58</v>
      </c>
      <c r="F42" s="28" t="s">
        <v>58</v>
      </c>
      <c r="G42" s="28" t="s">
        <v>58</v>
      </c>
      <c r="H42" s="6"/>
      <c r="I42" s="6"/>
      <c r="J42" s="6"/>
      <c r="K42" s="6"/>
      <c r="L42" s="6"/>
      <c r="M42" s="6"/>
      <c r="N42" s="6"/>
      <c r="O42" s="6"/>
      <c r="P42" s="6"/>
      <c r="Q42" s="6"/>
      <c r="R42" s="6"/>
      <c r="S42" s="6"/>
      <c r="T42" s="6"/>
      <c r="U42" s="6"/>
      <c r="V42" s="6"/>
      <c r="W42" s="6"/>
      <c r="X42" s="6"/>
      <c r="Y42" s="6"/>
      <c r="Z42" s="6"/>
      <c r="AA42" s="6"/>
      <c r="AB42" s="6"/>
      <c r="AC42" s="6"/>
      <c r="AD42" s="6"/>
      <c r="AE42" s="6"/>
      <c r="AF42" s="6"/>
    </row>
    <row r="43" spans="1:32" ht="15" customHeight="1">
      <c r="A43" s="4"/>
      <c r="B43" s="28">
        <v>2020</v>
      </c>
      <c r="C43" s="28">
        <v>122.452</v>
      </c>
      <c r="D43" s="28">
        <v>1.6140000000000001</v>
      </c>
      <c r="E43" s="28" t="s">
        <v>58</v>
      </c>
      <c r="F43" s="28" t="s">
        <v>58</v>
      </c>
      <c r="G43" s="28" t="s">
        <v>58</v>
      </c>
      <c r="H43" s="6"/>
      <c r="I43" s="6"/>
      <c r="J43" s="6"/>
      <c r="K43" s="6"/>
      <c r="L43" s="6"/>
      <c r="M43" s="6"/>
      <c r="N43" s="6"/>
      <c r="O43" s="6"/>
      <c r="P43" s="6"/>
      <c r="Q43" s="6"/>
      <c r="R43" s="6"/>
      <c r="S43" s="6"/>
      <c r="T43" s="6"/>
      <c r="U43" s="6"/>
      <c r="V43" s="6"/>
      <c r="W43" s="6"/>
      <c r="X43" s="6"/>
      <c r="Y43" s="6"/>
      <c r="Z43" s="6"/>
      <c r="AA43" s="6"/>
      <c r="AB43" s="6"/>
      <c r="AC43" s="6"/>
      <c r="AD43" s="6"/>
      <c r="AE43" s="6"/>
      <c r="AF43" s="6"/>
    </row>
    <row r="44" spans="1:32" ht="15" customHeight="1">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row>
    <row r="45" spans="1:32" ht="15" customHeight="1">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row>
    <row r="46" spans="1:32" ht="14.4">
      <c r="A46" s="6"/>
      <c r="B46" s="26" t="s">
        <v>59</v>
      </c>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row>
    <row r="47" spans="1:32" ht="14.4">
      <c r="A47" s="6"/>
      <c r="B47" s="2940" t="s">
        <v>60</v>
      </c>
      <c r="C47" s="2863"/>
      <c r="D47" s="2863"/>
      <c r="E47" s="2863"/>
      <c r="F47" s="6"/>
      <c r="G47" s="6"/>
      <c r="H47" s="6"/>
      <c r="I47" s="6"/>
      <c r="J47" s="6"/>
      <c r="K47" s="6"/>
      <c r="L47" s="6"/>
      <c r="M47" s="6"/>
      <c r="N47" s="6"/>
      <c r="O47" s="6"/>
      <c r="P47" s="6"/>
      <c r="Q47" s="6"/>
      <c r="R47" s="6"/>
      <c r="S47" s="6"/>
      <c r="T47" s="6"/>
      <c r="U47" s="6"/>
      <c r="V47" s="6"/>
      <c r="W47" s="6"/>
      <c r="X47" s="6"/>
      <c r="Y47" s="6"/>
      <c r="Z47" s="6"/>
      <c r="AA47" s="6"/>
      <c r="AB47" s="6"/>
      <c r="AC47" s="6"/>
      <c r="AD47" s="6"/>
      <c r="AE47" s="6"/>
      <c r="AF47" s="6"/>
    </row>
    <row r="48" spans="1:32" ht="14.4">
      <c r="A48" s="6"/>
      <c r="B48" s="2940" t="s">
        <v>61</v>
      </c>
      <c r="C48" s="2863"/>
      <c r="D48" s="2863"/>
      <c r="E48" s="2863"/>
      <c r="F48" s="6"/>
      <c r="G48" s="6"/>
      <c r="H48" s="6"/>
      <c r="I48" s="6"/>
      <c r="J48" s="6"/>
      <c r="K48" s="6"/>
      <c r="L48" s="6"/>
      <c r="M48" s="6"/>
      <c r="N48" s="6"/>
      <c r="O48" s="6"/>
      <c r="P48" s="6"/>
      <c r="Q48" s="6"/>
      <c r="R48" s="6"/>
      <c r="S48" s="6"/>
      <c r="T48" s="6"/>
      <c r="U48" s="6"/>
      <c r="V48" s="6"/>
      <c r="W48" s="6"/>
      <c r="X48" s="6"/>
      <c r="Y48" s="6"/>
      <c r="Z48" s="6"/>
      <c r="AA48" s="6"/>
      <c r="AB48" s="6"/>
      <c r="AC48" s="6"/>
      <c r="AD48" s="6"/>
      <c r="AE48" s="6"/>
      <c r="AF48" s="6"/>
    </row>
    <row r="49" spans="1:32" ht="14.4">
      <c r="A49" s="6"/>
      <c r="B49" s="2941" t="s">
        <v>62</v>
      </c>
      <c r="C49" s="2863"/>
      <c r="D49" s="2863"/>
      <c r="E49" s="2863"/>
      <c r="F49" s="6"/>
      <c r="G49" s="6"/>
      <c r="H49" s="6"/>
      <c r="I49" s="6"/>
      <c r="J49" s="6"/>
      <c r="K49" s="6"/>
      <c r="L49" s="6"/>
      <c r="M49" s="6"/>
      <c r="N49" s="6"/>
      <c r="O49" s="6"/>
      <c r="P49" s="6"/>
      <c r="Q49" s="6"/>
      <c r="R49" s="6"/>
      <c r="S49" s="6"/>
      <c r="T49" s="6"/>
      <c r="U49" s="6"/>
      <c r="V49" s="6"/>
      <c r="W49" s="6"/>
      <c r="X49" s="6"/>
      <c r="Y49" s="6"/>
      <c r="Z49" s="6"/>
      <c r="AA49" s="6"/>
      <c r="AB49" s="6"/>
      <c r="AC49" s="6"/>
      <c r="AD49" s="6"/>
      <c r="AE49" s="6"/>
      <c r="AF49" s="6"/>
    </row>
    <row r="50" spans="1:32" ht="15" customHeight="1">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row>
    <row r="51" spans="1:32" ht="15" customHeight="1">
      <c r="A51" s="6"/>
      <c r="B51" s="2942" t="s">
        <v>63</v>
      </c>
      <c r="C51" s="2912"/>
      <c r="D51" s="2912"/>
      <c r="E51" s="2912"/>
      <c r="F51" s="20"/>
      <c r="G51" s="20"/>
      <c r="H51" s="20"/>
      <c r="I51" s="6"/>
      <c r="J51" s="6"/>
      <c r="K51" s="6"/>
      <c r="L51" s="6"/>
      <c r="M51" s="6"/>
      <c r="N51" s="6"/>
      <c r="O51" s="6"/>
      <c r="P51" s="6"/>
      <c r="Q51" s="6"/>
      <c r="R51" s="6"/>
      <c r="S51" s="6"/>
      <c r="T51" s="6"/>
      <c r="U51" s="6"/>
      <c r="V51" s="6"/>
      <c r="W51" s="6"/>
      <c r="X51" s="6"/>
      <c r="Y51" s="6"/>
      <c r="Z51" s="6"/>
      <c r="AA51" s="6"/>
      <c r="AB51" s="6"/>
      <c r="AC51" s="6"/>
      <c r="AD51" s="6"/>
      <c r="AE51" s="6"/>
      <c r="AF51" s="6"/>
    </row>
    <row r="52" spans="1:32" ht="12">
      <c r="A52" s="4"/>
      <c r="B52" s="30" t="s">
        <v>64</v>
      </c>
      <c r="C52" s="2943" t="s">
        <v>65</v>
      </c>
      <c r="D52" s="2913"/>
      <c r="E52" s="32">
        <v>2006</v>
      </c>
      <c r="F52" s="32">
        <v>2011</v>
      </c>
      <c r="G52" s="32">
        <v>2014</v>
      </c>
      <c r="H52" s="33">
        <v>2017</v>
      </c>
      <c r="I52" s="1461"/>
      <c r="J52" s="6"/>
      <c r="K52" s="6"/>
      <c r="L52" s="6"/>
      <c r="M52" s="6"/>
      <c r="N52" s="6"/>
      <c r="O52" s="6"/>
      <c r="P52" s="6"/>
      <c r="Q52" s="6"/>
      <c r="R52" s="6"/>
      <c r="S52" s="6"/>
      <c r="T52" s="6"/>
      <c r="U52" s="6"/>
      <c r="V52" s="6"/>
      <c r="W52" s="6"/>
      <c r="X52" s="6"/>
      <c r="Y52" s="6"/>
      <c r="Z52" s="6"/>
      <c r="AA52" s="6"/>
      <c r="AB52" s="6"/>
      <c r="AC52" s="6"/>
      <c r="AD52" s="6"/>
      <c r="AE52" s="6"/>
      <c r="AF52" s="6"/>
    </row>
    <row r="53" spans="1:32" ht="12">
      <c r="A53" s="4"/>
      <c r="B53" s="34" t="s">
        <v>66</v>
      </c>
      <c r="C53" s="2944" t="s">
        <v>67</v>
      </c>
      <c r="D53" s="2913"/>
      <c r="E53" s="36">
        <v>-0.53</v>
      </c>
      <c r="F53" s="36">
        <v>-0.55000000000000004</v>
      </c>
      <c r="G53" s="36">
        <v>-0.57999999999999996</v>
      </c>
      <c r="H53" s="5">
        <v>-0.62</v>
      </c>
      <c r="I53" s="1465"/>
      <c r="J53" s="6"/>
      <c r="K53" s="6"/>
      <c r="L53" s="6"/>
      <c r="M53" s="6"/>
      <c r="N53" s="6"/>
      <c r="O53" s="6"/>
      <c r="P53" s="6"/>
      <c r="Q53" s="6"/>
      <c r="R53" s="6"/>
      <c r="S53" s="6"/>
      <c r="T53" s="6"/>
      <c r="U53" s="6"/>
      <c r="V53" s="6"/>
      <c r="W53" s="6"/>
      <c r="X53" s="6"/>
      <c r="Y53" s="6"/>
      <c r="Z53" s="6"/>
      <c r="AA53" s="6"/>
      <c r="AB53" s="6"/>
      <c r="AC53" s="6"/>
      <c r="AD53" s="6"/>
      <c r="AE53" s="6"/>
      <c r="AF53" s="6"/>
    </row>
    <row r="54" spans="1:32" ht="12">
      <c r="A54" s="4"/>
      <c r="B54" s="34" t="s">
        <v>66</v>
      </c>
      <c r="C54" s="2944" t="s">
        <v>68</v>
      </c>
      <c r="D54" s="2913"/>
      <c r="E54" s="36">
        <v>-0.03</v>
      </c>
      <c r="F54" s="36">
        <v>-0.02</v>
      </c>
      <c r="G54" s="36">
        <v>-0.01</v>
      </c>
      <c r="H54" s="5">
        <v>0.01</v>
      </c>
      <c r="I54" s="1465"/>
      <c r="J54" s="6"/>
      <c r="K54" s="6"/>
      <c r="L54" s="6"/>
      <c r="M54" s="6"/>
      <c r="N54" s="6"/>
      <c r="O54" s="6"/>
      <c r="P54" s="6"/>
      <c r="Q54" s="6"/>
      <c r="R54" s="6"/>
      <c r="S54" s="6"/>
      <c r="T54" s="6"/>
      <c r="U54" s="6"/>
      <c r="V54" s="6"/>
      <c r="W54" s="6"/>
      <c r="X54" s="6"/>
      <c r="Y54" s="6"/>
      <c r="Z54" s="6"/>
      <c r="AA54" s="6"/>
      <c r="AB54" s="6"/>
      <c r="AC54" s="6"/>
      <c r="AD54" s="6"/>
      <c r="AE54" s="6"/>
      <c r="AF54" s="6"/>
    </row>
    <row r="55" spans="1:32" ht="12">
      <c r="A55" s="4"/>
      <c r="B55" s="34" t="s">
        <v>66</v>
      </c>
      <c r="C55" s="2944" t="s">
        <v>69</v>
      </c>
      <c r="D55" s="2913"/>
      <c r="E55" s="36">
        <v>0.16</v>
      </c>
      <c r="F55" s="36">
        <v>0.11</v>
      </c>
      <c r="G55" s="36">
        <v>0.08</v>
      </c>
      <c r="H55" s="5">
        <v>0.09</v>
      </c>
      <c r="I55" s="1465"/>
      <c r="J55" s="6"/>
      <c r="K55" s="6"/>
      <c r="L55" s="6"/>
      <c r="M55" s="6"/>
      <c r="N55" s="6"/>
      <c r="O55" s="6"/>
      <c r="P55" s="6"/>
      <c r="Q55" s="6"/>
      <c r="R55" s="6"/>
      <c r="S55" s="6"/>
      <c r="T55" s="6"/>
      <c r="U55" s="6"/>
      <c r="V55" s="6"/>
      <c r="W55" s="6"/>
      <c r="X55" s="6"/>
      <c r="Y55" s="6"/>
      <c r="Z55" s="6"/>
      <c r="AA55" s="6"/>
      <c r="AB55" s="6"/>
      <c r="AC55" s="6"/>
      <c r="AD55" s="6"/>
      <c r="AE55" s="6"/>
      <c r="AF55" s="6"/>
    </row>
    <row r="56" spans="1:32" ht="12">
      <c r="A56" s="4"/>
      <c r="B56" s="34" t="s">
        <v>66</v>
      </c>
      <c r="C56" s="2944" t="s">
        <v>70</v>
      </c>
      <c r="D56" s="2913"/>
      <c r="E56" s="36">
        <v>0</v>
      </c>
      <c r="F56" s="36">
        <v>0</v>
      </c>
      <c r="G56" s="36">
        <v>0</v>
      </c>
      <c r="H56" s="5">
        <v>0</v>
      </c>
      <c r="I56" s="1465"/>
      <c r="J56" s="6"/>
      <c r="K56" s="6"/>
      <c r="L56" s="6"/>
      <c r="M56" s="6"/>
      <c r="N56" s="6"/>
      <c r="O56" s="6"/>
      <c r="P56" s="6"/>
      <c r="Q56" s="6"/>
      <c r="R56" s="6"/>
      <c r="S56" s="6"/>
      <c r="T56" s="6"/>
      <c r="U56" s="6"/>
      <c r="V56" s="6"/>
      <c r="W56" s="6"/>
      <c r="X56" s="6"/>
      <c r="Y56" s="6"/>
      <c r="Z56" s="6"/>
      <c r="AA56" s="6"/>
      <c r="AB56" s="6"/>
      <c r="AC56" s="6"/>
      <c r="AD56" s="6"/>
      <c r="AE56" s="6"/>
      <c r="AF56" s="6"/>
    </row>
    <row r="57" spans="1:32" ht="10.199999999999999">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row>
    <row r="58" spans="1:32" ht="12">
      <c r="A58" s="6"/>
      <c r="B58" s="2942" t="s">
        <v>71</v>
      </c>
      <c r="C58" s="2912"/>
      <c r="D58" s="2912"/>
      <c r="E58" s="2912"/>
      <c r="F58" s="2912"/>
      <c r="G58" s="20"/>
      <c r="H58" s="20"/>
      <c r="I58" s="6"/>
      <c r="J58" s="6"/>
      <c r="K58" s="6"/>
      <c r="L58" s="6"/>
      <c r="M58" s="6"/>
      <c r="N58" s="6"/>
      <c r="O58" s="6"/>
      <c r="P58" s="6"/>
      <c r="Q58" s="6"/>
      <c r="R58" s="6"/>
      <c r="S58" s="6"/>
      <c r="T58" s="6"/>
      <c r="U58" s="6"/>
      <c r="V58" s="6"/>
      <c r="W58" s="6"/>
      <c r="X58" s="6"/>
      <c r="Y58" s="6"/>
      <c r="Z58" s="6"/>
      <c r="AA58" s="6"/>
      <c r="AB58" s="6"/>
      <c r="AC58" s="6"/>
      <c r="AD58" s="6"/>
      <c r="AE58" s="6"/>
      <c r="AF58" s="6"/>
    </row>
    <row r="59" spans="1:32" ht="12">
      <c r="A59" s="4"/>
      <c r="B59" s="30" t="s">
        <v>64</v>
      </c>
      <c r="C59" s="30" t="s">
        <v>72</v>
      </c>
      <c r="D59" s="30" t="s">
        <v>73</v>
      </c>
      <c r="E59" s="32">
        <v>2006</v>
      </c>
      <c r="F59" s="32">
        <v>2011</v>
      </c>
      <c r="G59" s="32">
        <v>2014</v>
      </c>
      <c r="H59" s="33">
        <v>2017</v>
      </c>
      <c r="I59" s="1461"/>
      <c r="J59" s="6"/>
      <c r="K59" s="6"/>
      <c r="L59" s="6"/>
      <c r="M59" s="6"/>
      <c r="N59" s="6"/>
      <c r="O59" s="6"/>
      <c r="P59" s="6"/>
      <c r="Q59" s="6"/>
      <c r="R59" s="6"/>
      <c r="S59" s="6"/>
      <c r="T59" s="6"/>
      <c r="U59" s="6"/>
      <c r="V59" s="6"/>
      <c r="W59" s="6"/>
      <c r="X59" s="6"/>
      <c r="Y59" s="6"/>
      <c r="Z59" s="6"/>
      <c r="AA59" s="6"/>
      <c r="AB59" s="6"/>
      <c r="AC59" s="6"/>
      <c r="AD59" s="6"/>
      <c r="AE59" s="6"/>
      <c r="AF59" s="6"/>
    </row>
    <row r="60" spans="1:32" ht="12">
      <c r="A60" s="4"/>
      <c r="B60" s="34" t="s">
        <v>66</v>
      </c>
      <c r="C60" s="34" t="s">
        <v>74</v>
      </c>
      <c r="D60" s="34" t="s">
        <v>75</v>
      </c>
      <c r="E60" s="36">
        <v>-0.04</v>
      </c>
      <c r="F60" s="36">
        <v>-0.04</v>
      </c>
      <c r="G60" s="36">
        <v>-0.04</v>
      </c>
      <c r="H60" s="5">
        <v>-0.04</v>
      </c>
      <c r="I60" s="1465"/>
      <c r="J60" s="6"/>
      <c r="K60" s="6"/>
      <c r="L60" s="6"/>
      <c r="M60" s="6"/>
      <c r="N60" s="6"/>
      <c r="O60" s="6"/>
      <c r="P60" s="6"/>
      <c r="Q60" s="6"/>
      <c r="R60" s="6"/>
      <c r="S60" s="6"/>
      <c r="T60" s="6"/>
      <c r="U60" s="6"/>
      <c r="V60" s="6"/>
      <c r="W60" s="6"/>
      <c r="X60" s="6"/>
      <c r="Y60" s="6"/>
      <c r="Z60" s="6"/>
      <c r="AA60" s="6"/>
      <c r="AB60" s="6"/>
      <c r="AC60" s="6"/>
      <c r="AD60" s="6"/>
      <c r="AE60" s="6"/>
      <c r="AF60" s="6"/>
    </row>
    <row r="61" spans="1:32" ht="12">
      <c r="A61" s="4"/>
      <c r="B61" s="34" t="s">
        <v>66</v>
      </c>
      <c r="C61" s="34" t="s">
        <v>74</v>
      </c>
      <c r="D61" s="34" t="s">
        <v>76</v>
      </c>
      <c r="E61" s="36">
        <v>-0.11</v>
      </c>
      <c r="F61" s="36">
        <v>-0.1</v>
      </c>
      <c r="G61" s="36">
        <v>-0.1</v>
      </c>
      <c r="H61" s="5">
        <v>-0.1</v>
      </c>
      <c r="I61" s="1465"/>
      <c r="J61" s="6"/>
      <c r="K61" s="6"/>
      <c r="L61" s="6"/>
      <c r="M61" s="6"/>
      <c r="N61" s="6"/>
      <c r="O61" s="6"/>
      <c r="P61" s="6"/>
      <c r="Q61" s="6"/>
      <c r="R61" s="6"/>
      <c r="S61" s="6"/>
      <c r="T61" s="6"/>
      <c r="U61" s="6"/>
      <c r="V61" s="6"/>
      <c r="W61" s="6"/>
      <c r="X61" s="6"/>
      <c r="Y61" s="6"/>
      <c r="Z61" s="6"/>
      <c r="AA61" s="6"/>
      <c r="AB61" s="6"/>
      <c r="AC61" s="6"/>
      <c r="AD61" s="6"/>
      <c r="AE61" s="6"/>
      <c r="AF61" s="6"/>
    </row>
    <row r="62" spans="1:32" ht="12">
      <c r="A62" s="4"/>
      <c r="B62" s="34" t="s">
        <v>66</v>
      </c>
      <c r="C62" s="34" t="s">
        <v>74</v>
      </c>
      <c r="D62" s="34" t="s">
        <v>77</v>
      </c>
      <c r="E62" s="36">
        <v>0</v>
      </c>
      <c r="F62" s="36">
        <v>0</v>
      </c>
      <c r="G62" s="36">
        <v>0</v>
      </c>
      <c r="H62" s="5">
        <v>0</v>
      </c>
      <c r="I62" s="1465"/>
      <c r="J62" s="6"/>
      <c r="K62" s="6"/>
      <c r="L62" s="6"/>
      <c r="M62" s="6"/>
      <c r="N62" s="6"/>
      <c r="O62" s="6"/>
      <c r="P62" s="6"/>
      <c r="Q62" s="6"/>
      <c r="R62" s="6"/>
      <c r="S62" s="6"/>
      <c r="T62" s="6"/>
      <c r="U62" s="6"/>
      <c r="V62" s="6"/>
      <c r="W62" s="6"/>
      <c r="X62" s="6"/>
      <c r="Y62" s="6"/>
      <c r="Z62" s="6"/>
      <c r="AA62" s="6"/>
      <c r="AB62" s="6"/>
      <c r="AC62" s="6"/>
      <c r="AD62" s="6"/>
      <c r="AE62" s="6"/>
      <c r="AF62" s="6"/>
    </row>
    <row r="63" spans="1:32" ht="10.199999999999999">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row>
    <row r="64" spans="1:32" ht="12">
      <c r="A64" s="6"/>
      <c r="B64" s="2942" t="s">
        <v>78</v>
      </c>
      <c r="C64" s="2912"/>
      <c r="D64" s="2912"/>
      <c r="E64" s="2912"/>
      <c r="F64" s="2912"/>
      <c r="G64" s="20"/>
      <c r="H64" s="20"/>
      <c r="I64" s="6"/>
      <c r="J64" s="6"/>
      <c r="K64" s="6"/>
      <c r="L64" s="6"/>
      <c r="M64" s="6"/>
      <c r="N64" s="6"/>
      <c r="O64" s="6"/>
      <c r="P64" s="6"/>
      <c r="Q64" s="6"/>
      <c r="R64" s="6"/>
      <c r="S64" s="6"/>
      <c r="T64" s="6"/>
      <c r="U64" s="6"/>
      <c r="V64" s="6"/>
      <c r="W64" s="6"/>
      <c r="X64" s="6"/>
      <c r="Y64" s="6"/>
      <c r="Z64" s="6"/>
      <c r="AA64" s="6"/>
      <c r="AB64" s="6"/>
      <c r="AC64" s="6"/>
      <c r="AD64" s="6"/>
      <c r="AE64" s="6"/>
      <c r="AF64" s="6"/>
    </row>
    <row r="65" spans="1:32" ht="12">
      <c r="A65" s="4"/>
      <c r="B65" s="30" t="s">
        <v>64</v>
      </c>
      <c r="C65" s="30" t="s">
        <v>72</v>
      </c>
      <c r="D65" s="30" t="s">
        <v>73</v>
      </c>
      <c r="E65" s="32">
        <v>2006</v>
      </c>
      <c r="F65" s="32">
        <v>2011</v>
      </c>
      <c r="G65" s="32">
        <v>2014</v>
      </c>
      <c r="H65" s="33">
        <v>2017</v>
      </c>
      <c r="I65" s="1461"/>
      <c r="J65" s="6"/>
      <c r="K65" s="6"/>
      <c r="L65" s="6"/>
      <c r="M65" s="6"/>
      <c r="N65" s="6"/>
      <c r="O65" s="6"/>
      <c r="P65" s="6"/>
      <c r="Q65" s="6"/>
      <c r="R65" s="6"/>
      <c r="S65" s="6"/>
      <c r="T65" s="6"/>
      <c r="U65" s="6"/>
      <c r="V65" s="6"/>
      <c r="W65" s="6"/>
      <c r="X65" s="6"/>
      <c r="Y65" s="6"/>
      <c r="Z65" s="6"/>
      <c r="AA65" s="6"/>
      <c r="AB65" s="6"/>
      <c r="AC65" s="6"/>
      <c r="AD65" s="6"/>
      <c r="AE65" s="6"/>
      <c r="AF65" s="6"/>
    </row>
    <row r="66" spans="1:32" ht="12">
      <c r="A66" s="4"/>
      <c r="B66" s="34" t="s">
        <v>66</v>
      </c>
      <c r="C66" s="34" t="s">
        <v>74</v>
      </c>
      <c r="D66" s="34" t="s">
        <v>75</v>
      </c>
      <c r="E66" s="36">
        <v>0.09</v>
      </c>
      <c r="F66" s="36">
        <v>0.09</v>
      </c>
      <c r="G66" s="36">
        <v>0.09</v>
      </c>
      <c r="H66" s="5">
        <v>0.09</v>
      </c>
      <c r="I66" s="1465"/>
      <c r="J66" s="6"/>
      <c r="K66" s="6"/>
      <c r="L66" s="6"/>
      <c r="M66" s="6"/>
      <c r="N66" s="6"/>
      <c r="O66" s="6"/>
      <c r="P66" s="6"/>
      <c r="Q66" s="6"/>
      <c r="R66" s="6"/>
      <c r="S66" s="6"/>
      <c r="T66" s="6"/>
      <c r="U66" s="6"/>
      <c r="V66" s="6"/>
      <c r="W66" s="6"/>
      <c r="X66" s="6"/>
      <c r="Y66" s="6"/>
      <c r="Z66" s="6"/>
      <c r="AA66" s="6"/>
      <c r="AB66" s="6"/>
      <c r="AC66" s="6"/>
      <c r="AD66" s="6"/>
      <c r="AE66" s="6"/>
      <c r="AF66" s="6"/>
    </row>
    <row r="67" spans="1:32" ht="12">
      <c r="A67" s="4"/>
      <c r="B67" s="34" t="s">
        <v>66</v>
      </c>
      <c r="C67" s="34" t="s">
        <v>74</v>
      </c>
      <c r="D67" s="34" t="s">
        <v>76</v>
      </c>
      <c r="E67" s="36">
        <v>0.22</v>
      </c>
      <c r="F67" s="36">
        <v>0.22</v>
      </c>
      <c r="G67" s="36">
        <v>0.23</v>
      </c>
      <c r="H67" s="5">
        <v>0.23</v>
      </c>
      <c r="I67" s="1465"/>
      <c r="J67" s="6"/>
      <c r="K67" s="6"/>
      <c r="L67" s="6"/>
      <c r="M67" s="6"/>
      <c r="N67" s="6"/>
      <c r="O67" s="6"/>
      <c r="P67" s="6"/>
      <c r="Q67" s="6"/>
      <c r="R67" s="6"/>
      <c r="S67" s="6"/>
      <c r="T67" s="6"/>
      <c r="U67" s="6"/>
      <c r="V67" s="6"/>
      <c r="W67" s="6"/>
      <c r="X67" s="6"/>
      <c r="Y67" s="6"/>
      <c r="Z67" s="6"/>
      <c r="AA67" s="6"/>
      <c r="AB67" s="6"/>
      <c r="AC67" s="6"/>
      <c r="AD67" s="6"/>
      <c r="AE67" s="6"/>
      <c r="AF67" s="6"/>
    </row>
    <row r="68" spans="1:32" ht="12">
      <c r="A68" s="4"/>
      <c r="B68" s="34" t="s">
        <v>66</v>
      </c>
      <c r="C68" s="34" t="s">
        <v>74</v>
      </c>
      <c r="D68" s="34" t="s">
        <v>77</v>
      </c>
      <c r="E68" s="36">
        <v>0.02</v>
      </c>
      <c r="F68" s="36">
        <v>0.02</v>
      </c>
      <c r="G68" s="36">
        <v>0.02</v>
      </c>
      <c r="H68" s="5">
        <v>0.02</v>
      </c>
      <c r="I68" s="1465"/>
      <c r="J68" s="6"/>
      <c r="K68" s="6"/>
      <c r="L68" s="6"/>
      <c r="M68" s="6"/>
      <c r="N68" s="6"/>
      <c r="O68" s="6"/>
      <c r="P68" s="6"/>
      <c r="Q68" s="6"/>
      <c r="R68" s="6"/>
      <c r="S68" s="6"/>
      <c r="T68" s="6"/>
      <c r="U68" s="6"/>
      <c r="V68" s="6"/>
      <c r="W68" s="6"/>
      <c r="X68" s="6"/>
      <c r="Y68" s="6"/>
      <c r="Z68" s="6"/>
      <c r="AA68" s="6"/>
      <c r="AB68" s="6"/>
      <c r="AC68" s="6"/>
      <c r="AD68" s="6"/>
      <c r="AE68" s="6"/>
      <c r="AF68" s="6"/>
    </row>
    <row r="69" spans="1:32" ht="10.199999999999999">
      <c r="A69" s="6"/>
      <c r="B69" s="6" t="s">
        <v>79</v>
      </c>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row>
    <row r="70" spans="1:32" ht="14.4">
      <c r="A70" s="6"/>
      <c r="B70" s="2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row>
    <row r="71" spans="1:32" ht="14.4">
      <c r="A71" s="6"/>
      <c r="B71" s="39" t="s">
        <v>80</v>
      </c>
      <c r="C71" s="39"/>
      <c r="D71" s="2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row>
    <row r="72" spans="1:32" ht="12">
      <c r="A72" s="4"/>
      <c r="B72" s="30" t="s">
        <v>81</v>
      </c>
      <c r="C72" s="37">
        <v>2017</v>
      </c>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row>
    <row r="73" spans="1:32" ht="12">
      <c r="A73" s="4"/>
      <c r="B73" s="34" t="s">
        <v>82</v>
      </c>
      <c r="C73" s="38">
        <f>-D40*44/12</f>
        <v>-4.6566666666666672</v>
      </c>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row>
    <row r="74" spans="1:32" ht="12">
      <c r="A74" s="4"/>
      <c r="B74" s="34" t="s">
        <v>83</v>
      </c>
      <c r="C74" s="38">
        <f>C73*0.196</f>
        <v>-0.91270666666666678</v>
      </c>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row>
    <row r="75" spans="1:32" ht="12">
      <c r="A75" s="4"/>
      <c r="B75" s="34" t="s">
        <v>84</v>
      </c>
      <c r="C75" s="38">
        <f t="shared" ref="C75:C77" si="0">H53+H60+H66</f>
        <v>-0.57000000000000006</v>
      </c>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row>
    <row r="76" spans="1:32" ht="12">
      <c r="A76" s="4"/>
      <c r="B76" s="34" t="s">
        <v>85</v>
      </c>
      <c r="C76" s="38">
        <f t="shared" si="0"/>
        <v>0.14000000000000001</v>
      </c>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row>
    <row r="77" spans="1:32" ht="12">
      <c r="A77" s="4"/>
      <c r="B77" s="34" t="s">
        <v>86</v>
      </c>
      <c r="C77" s="38">
        <f t="shared" si="0"/>
        <v>0.11</v>
      </c>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row>
    <row r="78" spans="1:32" ht="12">
      <c r="A78" s="4"/>
      <c r="B78" s="34" t="s">
        <v>87</v>
      </c>
      <c r="C78" s="38">
        <f>H56</f>
        <v>0</v>
      </c>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row>
    <row r="79" spans="1:32" ht="12">
      <c r="A79" s="4"/>
      <c r="B79" s="30" t="s">
        <v>88</v>
      </c>
      <c r="C79" s="38">
        <f>SUM(C73:C78)</f>
        <v>-5.8893733333333342</v>
      </c>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row>
    <row r="80" spans="1:32" ht="10.199999999999999">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row>
    <row r="81" spans="1:32" ht="10.199999999999999">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row>
    <row r="82" spans="1:32" ht="14.4">
      <c r="A82" s="6"/>
      <c r="B82" s="24" t="s">
        <v>39</v>
      </c>
      <c r="C82" s="25"/>
      <c r="D82" s="25"/>
      <c r="E82" s="25"/>
      <c r="F82" s="25"/>
      <c r="G82" s="25"/>
      <c r="H82" s="6"/>
      <c r="I82" s="6"/>
      <c r="J82" s="6"/>
      <c r="K82" s="6"/>
      <c r="L82" s="6"/>
      <c r="M82" s="6"/>
      <c r="N82" s="6"/>
      <c r="O82" s="6"/>
      <c r="P82" s="6"/>
      <c r="Q82" s="6"/>
      <c r="R82" s="6"/>
      <c r="S82" s="6"/>
      <c r="T82" s="6"/>
      <c r="U82" s="6"/>
      <c r="V82" s="6"/>
      <c r="W82" s="6"/>
      <c r="X82" s="6"/>
      <c r="Y82" s="6"/>
      <c r="Z82" s="6"/>
      <c r="AA82" s="6"/>
      <c r="AB82" s="6"/>
      <c r="AC82" s="6"/>
      <c r="AD82" s="6"/>
      <c r="AE82" s="6"/>
      <c r="AF82" s="6"/>
    </row>
    <row r="83" spans="1:32" ht="10.199999999999999">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row>
    <row r="84" spans="1:32" ht="14.4">
      <c r="A84" s="6"/>
      <c r="B84" s="39" t="s">
        <v>89</v>
      </c>
      <c r="C84" s="20"/>
      <c r="D84" s="20"/>
      <c r="E84" s="20"/>
      <c r="F84" s="20"/>
      <c r="G84" s="6"/>
      <c r="H84" s="6"/>
      <c r="I84" s="6"/>
      <c r="J84" s="6"/>
      <c r="K84" s="6"/>
      <c r="L84" s="6"/>
      <c r="M84" s="6"/>
      <c r="N84" s="6"/>
      <c r="O84" s="6"/>
      <c r="P84" s="6"/>
      <c r="Q84" s="6"/>
      <c r="R84" s="6"/>
      <c r="S84" s="6"/>
      <c r="T84" s="6"/>
      <c r="U84" s="6"/>
      <c r="V84" s="6"/>
      <c r="W84" s="6"/>
      <c r="X84" s="6"/>
      <c r="Y84" s="6"/>
      <c r="Z84" s="6"/>
      <c r="AA84" s="6"/>
      <c r="AB84" s="6"/>
      <c r="AC84" s="6"/>
      <c r="AD84" s="6"/>
      <c r="AE84" s="6"/>
      <c r="AF84" s="6"/>
    </row>
    <row r="85" spans="1:32" ht="14.4">
      <c r="A85" s="4"/>
      <c r="B85" s="40" t="s">
        <v>90</v>
      </c>
      <c r="C85" s="41">
        <v>2006</v>
      </c>
      <c r="D85" s="41">
        <v>2011</v>
      </c>
      <c r="E85" s="41">
        <v>2014</v>
      </c>
      <c r="F85" s="42">
        <v>2017</v>
      </c>
      <c r="G85" s="1461"/>
      <c r="H85" s="6"/>
      <c r="I85" s="6"/>
      <c r="J85" s="6"/>
      <c r="K85" s="6"/>
      <c r="L85" s="6"/>
      <c r="M85" s="6"/>
      <c r="N85" s="6"/>
      <c r="O85" s="6"/>
      <c r="P85" s="6"/>
      <c r="Q85" s="6"/>
      <c r="R85" s="6"/>
      <c r="S85" s="6"/>
      <c r="T85" s="6"/>
      <c r="U85" s="6"/>
      <c r="V85" s="6"/>
      <c r="W85" s="6"/>
      <c r="X85" s="6"/>
      <c r="Y85" s="6"/>
      <c r="Z85" s="6"/>
      <c r="AA85" s="6"/>
      <c r="AB85" s="6"/>
      <c r="AC85" s="6"/>
      <c r="AD85" s="6"/>
      <c r="AE85" s="6"/>
      <c r="AF85" s="6"/>
    </row>
    <row r="86" spans="1:32" ht="12">
      <c r="A86" s="4"/>
      <c r="B86" s="43" t="s">
        <v>89</v>
      </c>
      <c r="C86" s="44">
        <v>-0.18467683894012488</v>
      </c>
      <c r="D86" s="44">
        <v>-0.21822819744427552</v>
      </c>
      <c r="E86" s="44">
        <f>E87+E88+E89+E90</f>
        <v>-0.18595409998000001</v>
      </c>
      <c r="F86" s="45">
        <f>SUM(F87:F90)</f>
        <v>-0.16864007253577512</v>
      </c>
      <c r="G86" s="2796"/>
      <c r="H86" s="6"/>
      <c r="I86" s="6"/>
      <c r="J86" s="6"/>
      <c r="K86" s="6"/>
      <c r="L86" s="6"/>
      <c r="M86" s="6"/>
      <c r="N86" s="6"/>
      <c r="O86" s="6"/>
      <c r="P86" s="6"/>
      <c r="Q86" s="6"/>
      <c r="R86" s="6"/>
      <c r="S86" s="6"/>
      <c r="T86" s="6"/>
      <c r="U86" s="6"/>
      <c r="V86" s="6"/>
      <c r="W86" s="6"/>
      <c r="X86" s="6"/>
      <c r="Y86" s="6"/>
      <c r="Z86" s="6"/>
      <c r="AA86" s="6"/>
      <c r="AB86" s="6"/>
      <c r="AC86" s="6"/>
      <c r="AD86" s="6"/>
      <c r="AE86" s="6"/>
      <c r="AF86" s="6"/>
    </row>
    <row r="87" spans="1:32" ht="12">
      <c r="A87" s="4"/>
      <c r="B87" s="46" t="s">
        <v>91</v>
      </c>
      <c r="C87" s="47">
        <v>-8.4802520728281365E-3</v>
      </c>
      <c r="D87" s="47">
        <v>-1.2684842167839765E-2</v>
      </c>
      <c r="E87" s="47">
        <v>-1.061836128E-2</v>
      </c>
      <c r="F87" s="48">
        <v>-9.5545989087629721E-3</v>
      </c>
      <c r="G87" s="2797"/>
      <c r="H87" s="6"/>
      <c r="I87" s="6"/>
      <c r="J87" s="6"/>
      <c r="K87" s="6"/>
      <c r="L87" s="6"/>
      <c r="M87" s="6"/>
      <c r="N87" s="6"/>
      <c r="O87" s="6"/>
      <c r="P87" s="6"/>
      <c r="Q87" s="6"/>
      <c r="R87" s="6"/>
      <c r="S87" s="6"/>
      <c r="T87" s="6"/>
      <c r="U87" s="6"/>
      <c r="V87" s="6"/>
      <c r="W87" s="6"/>
      <c r="X87" s="6"/>
      <c r="Y87" s="6"/>
      <c r="Z87" s="6"/>
      <c r="AA87" s="6"/>
      <c r="AB87" s="6"/>
      <c r="AC87" s="6"/>
      <c r="AD87" s="6"/>
      <c r="AE87" s="6"/>
      <c r="AF87" s="6"/>
    </row>
    <row r="88" spans="1:32" ht="12">
      <c r="A88" s="4"/>
      <c r="B88" s="46" t="s">
        <v>92</v>
      </c>
      <c r="C88" s="47">
        <v>-6.1942198859260007E-2</v>
      </c>
      <c r="D88" s="47">
        <v>-7.0873721137987705E-2</v>
      </c>
      <c r="E88" s="47">
        <v>-5.6721999869999998E-2</v>
      </c>
      <c r="F88" s="48">
        <v>-4.900786961971372E-2</v>
      </c>
      <c r="G88" s="2797"/>
      <c r="H88" s="6"/>
      <c r="I88" s="6"/>
      <c r="J88" s="6"/>
      <c r="K88" s="6"/>
      <c r="L88" s="6"/>
      <c r="M88" s="6"/>
      <c r="N88" s="6"/>
      <c r="O88" s="6"/>
      <c r="P88" s="6"/>
      <c r="Q88" s="6"/>
      <c r="R88" s="6"/>
      <c r="S88" s="6"/>
      <c r="T88" s="6"/>
      <c r="U88" s="6"/>
      <c r="V88" s="6"/>
      <c r="W88" s="6"/>
      <c r="X88" s="6"/>
      <c r="Y88" s="6"/>
      <c r="Z88" s="6"/>
      <c r="AA88" s="6"/>
      <c r="AB88" s="6"/>
      <c r="AC88" s="6"/>
      <c r="AD88" s="6"/>
      <c r="AE88" s="6"/>
      <c r="AF88" s="6"/>
    </row>
    <row r="89" spans="1:32" ht="12">
      <c r="A89" s="4"/>
      <c r="B89" s="46" t="s">
        <v>93</v>
      </c>
      <c r="C89" s="47">
        <v>-5.6039595623909609E-2</v>
      </c>
      <c r="D89" s="47">
        <v>-6.4577261430635649E-2</v>
      </c>
      <c r="E89" s="47">
        <v>-5.1412480519999998E-2</v>
      </c>
      <c r="F89" s="48">
        <v>-4.4283838656574669E-2</v>
      </c>
      <c r="G89" s="2797"/>
      <c r="H89" s="6"/>
      <c r="I89" s="6"/>
      <c r="J89" s="6"/>
      <c r="K89" s="6"/>
      <c r="L89" s="6"/>
      <c r="M89" s="6"/>
      <c r="N89" s="6"/>
      <c r="O89" s="6"/>
      <c r="P89" s="6"/>
      <c r="Q89" s="6"/>
      <c r="R89" s="6"/>
      <c r="S89" s="6"/>
      <c r="T89" s="6"/>
      <c r="U89" s="6"/>
      <c r="V89" s="6"/>
      <c r="W89" s="6"/>
      <c r="X89" s="6"/>
      <c r="Y89" s="6"/>
      <c r="Z89" s="6"/>
      <c r="AA89" s="6"/>
      <c r="AB89" s="6"/>
      <c r="AC89" s="6"/>
      <c r="AD89" s="6"/>
      <c r="AE89" s="6"/>
      <c r="AF89" s="6"/>
    </row>
    <row r="90" spans="1:32" ht="12">
      <c r="A90" s="4"/>
      <c r="B90" s="46" t="s">
        <v>94</v>
      </c>
      <c r="C90" s="47">
        <v>-5.821479238412712E-2</v>
      </c>
      <c r="D90" s="47">
        <v>-7.0092372707812392E-2</v>
      </c>
      <c r="E90" s="47">
        <v>-6.7201258309999998E-2</v>
      </c>
      <c r="F90" s="48">
        <v>-6.5793765350723746E-2</v>
      </c>
      <c r="G90" s="2797"/>
      <c r="H90" s="6"/>
      <c r="I90" s="6"/>
      <c r="J90" s="6"/>
      <c r="K90" s="6"/>
      <c r="L90" s="6"/>
      <c r="M90" s="6"/>
      <c r="N90" s="6"/>
      <c r="O90" s="6"/>
      <c r="P90" s="6"/>
      <c r="Q90" s="6"/>
      <c r="R90" s="6"/>
      <c r="S90" s="6"/>
      <c r="T90" s="6"/>
      <c r="U90" s="6"/>
      <c r="V90" s="6"/>
      <c r="W90" s="6"/>
      <c r="X90" s="6"/>
      <c r="Y90" s="6"/>
      <c r="Z90" s="6"/>
      <c r="AA90" s="6"/>
      <c r="AB90" s="6"/>
      <c r="AC90" s="6"/>
      <c r="AD90" s="6"/>
      <c r="AE90" s="6"/>
      <c r="AF90" s="6"/>
    </row>
    <row r="91" spans="1:32" ht="10.199999999999999">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row>
    <row r="92" spans="1:32" ht="14.4">
      <c r="A92" s="6"/>
      <c r="B92" s="26" t="s">
        <v>95</v>
      </c>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row>
    <row r="93" spans="1:32" ht="10.199999999999999">
      <c r="A93" s="6"/>
      <c r="B93" s="2945" t="s">
        <v>96</v>
      </c>
      <c r="C93" s="2912"/>
      <c r="D93" s="2912"/>
      <c r="E93" s="2912"/>
      <c r="F93" s="20"/>
      <c r="G93" s="6"/>
      <c r="H93" s="6"/>
      <c r="I93" s="6"/>
      <c r="J93" s="6"/>
      <c r="K93" s="6"/>
      <c r="L93" s="6"/>
      <c r="M93" s="6"/>
      <c r="N93" s="6"/>
      <c r="O93" s="6"/>
      <c r="P93" s="6"/>
      <c r="Q93" s="6"/>
      <c r="R93" s="6"/>
      <c r="S93" s="6"/>
      <c r="T93" s="6"/>
      <c r="U93" s="6"/>
      <c r="V93" s="6"/>
      <c r="W93" s="6"/>
      <c r="X93" s="6"/>
      <c r="Y93" s="6"/>
      <c r="Z93" s="6"/>
      <c r="AA93" s="6"/>
      <c r="AB93" s="6"/>
      <c r="AC93" s="6"/>
      <c r="AD93" s="6"/>
      <c r="AE93" s="6"/>
      <c r="AF93" s="6"/>
    </row>
    <row r="94" spans="1:32" ht="10.199999999999999">
      <c r="A94" s="4"/>
      <c r="B94" s="49"/>
      <c r="C94" s="50">
        <v>2006</v>
      </c>
      <c r="D94" s="50">
        <v>2011</v>
      </c>
      <c r="E94" s="50">
        <v>2014</v>
      </c>
      <c r="F94" s="51">
        <v>2017</v>
      </c>
      <c r="G94" s="2798"/>
      <c r="H94" s="6"/>
      <c r="I94" s="6"/>
      <c r="J94" s="6"/>
      <c r="K94" s="6"/>
      <c r="L94" s="6"/>
      <c r="M94" s="6"/>
      <c r="N94" s="6"/>
      <c r="O94" s="6"/>
      <c r="P94" s="6"/>
      <c r="Q94" s="6"/>
      <c r="R94" s="6"/>
      <c r="S94" s="6"/>
      <c r="T94" s="6"/>
      <c r="U94" s="6"/>
      <c r="V94" s="6"/>
      <c r="W94" s="6"/>
      <c r="X94" s="6"/>
      <c r="Y94" s="6"/>
      <c r="Z94" s="6"/>
      <c r="AA94" s="6"/>
      <c r="AB94" s="6"/>
      <c r="AC94" s="6"/>
      <c r="AD94" s="6"/>
      <c r="AE94" s="6"/>
      <c r="AF94" s="6"/>
    </row>
    <row r="95" spans="1:32" ht="10.199999999999999">
      <c r="A95" s="4"/>
      <c r="B95" s="52" t="s">
        <v>97</v>
      </c>
      <c r="C95" s="53">
        <v>-0.72</v>
      </c>
      <c r="D95" s="53">
        <v>-0.72</v>
      </c>
      <c r="E95" s="53">
        <v>-0.72</v>
      </c>
      <c r="F95" s="54">
        <v>-0.72</v>
      </c>
      <c r="G95" s="2799"/>
      <c r="H95" s="6"/>
      <c r="I95" s="6"/>
      <c r="J95" s="6"/>
      <c r="K95" s="6"/>
      <c r="L95" s="6"/>
      <c r="M95" s="6"/>
      <c r="N95" s="6"/>
      <c r="O95" s="6"/>
      <c r="P95" s="6"/>
      <c r="Q95" s="6"/>
      <c r="R95" s="6"/>
      <c r="S95" s="6"/>
      <c r="T95" s="6"/>
      <c r="U95" s="6"/>
      <c r="V95" s="6"/>
      <c r="W95" s="6"/>
      <c r="X95" s="6"/>
      <c r="Y95" s="6"/>
      <c r="Z95" s="6"/>
      <c r="AA95" s="6"/>
      <c r="AB95" s="6"/>
      <c r="AC95" s="6"/>
      <c r="AD95" s="6"/>
      <c r="AE95" s="6"/>
      <c r="AF95" s="6"/>
    </row>
    <row r="96" spans="1:32" ht="10.199999999999999">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row>
    <row r="97" spans="1:32" ht="10.199999999999999">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row>
    <row r="98" spans="1:32" ht="10.199999999999999">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row>
    <row r="99" spans="1:32" ht="14.4">
      <c r="A99" s="6"/>
      <c r="B99" s="24" t="s">
        <v>40</v>
      </c>
      <c r="C99" s="25"/>
      <c r="D99" s="25"/>
      <c r="E99" s="25"/>
      <c r="F99" s="25"/>
      <c r="G99" s="25"/>
      <c r="H99" s="6"/>
      <c r="I99" s="6"/>
      <c r="J99" s="6"/>
      <c r="K99" s="6"/>
      <c r="L99" s="6"/>
      <c r="M99" s="6"/>
      <c r="N99" s="6"/>
      <c r="O99" s="6"/>
      <c r="P99" s="6"/>
      <c r="Q99" s="6"/>
      <c r="R99" s="6"/>
      <c r="S99" s="6"/>
      <c r="T99" s="6"/>
      <c r="U99" s="6"/>
      <c r="V99" s="6"/>
      <c r="W99" s="6"/>
      <c r="X99" s="6"/>
      <c r="Y99" s="6"/>
      <c r="Z99" s="6"/>
      <c r="AA99" s="6"/>
      <c r="AB99" s="6"/>
      <c r="AC99" s="6"/>
      <c r="AD99" s="6"/>
      <c r="AE99" s="6"/>
      <c r="AF99" s="6"/>
    </row>
    <row r="100" spans="1:32" ht="10.199999999999999">
      <c r="A100" s="6"/>
      <c r="B100" s="20"/>
      <c r="C100" s="20"/>
      <c r="D100" s="20"/>
      <c r="E100" s="20"/>
      <c r="F100" s="20"/>
      <c r="G100" s="20"/>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row>
    <row r="101" spans="1:32" ht="48">
      <c r="A101" s="4"/>
      <c r="B101" s="28" t="s">
        <v>52</v>
      </c>
      <c r="C101" s="28" t="s">
        <v>98</v>
      </c>
      <c r="D101" s="28" t="s">
        <v>99</v>
      </c>
      <c r="E101" s="28" t="s">
        <v>100</v>
      </c>
      <c r="F101" s="28" t="s">
        <v>101</v>
      </c>
      <c r="G101" s="28" t="s">
        <v>102</v>
      </c>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row>
    <row r="102" spans="1:32" ht="12">
      <c r="A102" s="4"/>
      <c r="B102" s="28">
        <v>2017</v>
      </c>
      <c r="C102" s="55">
        <v>4022</v>
      </c>
      <c r="D102" s="56">
        <v>0.01</v>
      </c>
      <c r="E102" s="28">
        <v>1.57</v>
      </c>
      <c r="F102" s="55">
        <f t="shared" ref="F102:F105" si="1">K$6</f>
        <v>265</v>
      </c>
      <c r="G102" s="57">
        <f t="shared" ref="G102:G105" si="2">C102*D102*E102*F102/1000000</f>
        <v>1.6733530999999999E-2</v>
      </c>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row>
    <row r="103" spans="1:32" ht="12">
      <c r="A103" s="4"/>
      <c r="B103" s="28">
        <v>2014</v>
      </c>
      <c r="C103" s="55">
        <v>4022</v>
      </c>
      <c r="D103" s="56">
        <v>0.01</v>
      </c>
      <c r="E103" s="28">
        <v>1.57</v>
      </c>
      <c r="F103" s="55">
        <f t="shared" si="1"/>
        <v>265</v>
      </c>
      <c r="G103" s="57">
        <f t="shared" si="2"/>
        <v>1.6733530999999999E-2</v>
      </c>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row>
    <row r="104" spans="1:32" ht="12">
      <c r="A104" s="4"/>
      <c r="B104" s="28">
        <v>2011</v>
      </c>
      <c r="C104" s="55">
        <v>3993</v>
      </c>
      <c r="D104" s="56">
        <v>0.01</v>
      </c>
      <c r="E104" s="28">
        <v>1.57</v>
      </c>
      <c r="F104" s="55">
        <f t="shared" si="1"/>
        <v>265</v>
      </c>
      <c r="G104" s="57">
        <f t="shared" si="2"/>
        <v>1.6612876499999998E-2</v>
      </c>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row>
    <row r="105" spans="1:32" ht="12">
      <c r="A105" s="4"/>
      <c r="B105" s="28">
        <v>2006</v>
      </c>
      <c r="C105" s="55">
        <v>4686</v>
      </c>
      <c r="D105" s="56">
        <v>0.01</v>
      </c>
      <c r="E105" s="28">
        <v>1.57</v>
      </c>
      <c r="F105" s="55">
        <f t="shared" si="1"/>
        <v>265</v>
      </c>
      <c r="G105" s="57">
        <f t="shared" si="2"/>
        <v>1.9496103000000001E-2</v>
      </c>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row>
    <row r="106" spans="1:32" ht="10.199999999999999">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row>
    <row r="107" spans="1:32" ht="10.199999999999999">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row>
    <row r="108" spans="1:32" ht="10.199999999999999">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row>
    <row r="109" spans="1:32" ht="14.4">
      <c r="A109" s="6"/>
      <c r="B109" s="24" t="s">
        <v>41</v>
      </c>
      <c r="C109" s="25"/>
      <c r="D109" s="25"/>
      <c r="E109" s="25"/>
      <c r="F109" s="25"/>
      <c r="G109" s="25"/>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row>
    <row r="110" spans="1:32" ht="10.199999999999999">
      <c r="A110" s="6"/>
      <c r="B110" s="6"/>
      <c r="C110" s="20"/>
      <c r="D110" s="20"/>
      <c r="E110" s="20"/>
      <c r="F110" s="20"/>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row>
    <row r="111" spans="1:32" ht="10.199999999999999">
      <c r="A111" s="6"/>
      <c r="B111" s="49"/>
      <c r="C111" s="2948" t="s">
        <v>103</v>
      </c>
      <c r="D111" s="2877"/>
      <c r="E111" s="2877"/>
      <c r="F111" s="2880"/>
      <c r="G111" s="2800"/>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row>
    <row r="112" spans="1:32" ht="10.199999999999999">
      <c r="A112" s="4"/>
      <c r="B112" s="49"/>
      <c r="C112" s="58">
        <v>2006</v>
      </c>
      <c r="D112" s="58">
        <v>2011</v>
      </c>
      <c r="E112" s="58">
        <v>2014</v>
      </c>
      <c r="F112" s="59">
        <v>2017</v>
      </c>
      <c r="G112" s="2800"/>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row>
    <row r="113" spans="1:32" ht="10.199999999999999">
      <c r="A113" s="4"/>
      <c r="B113" s="60" t="s">
        <v>104</v>
      </c>
      <c r="C113" s="61">
        <v>2458</v>
      </c>
      <c r="D113" s="61">
        <v>3363</v>
      </c>
      <c r="E113" s="61">
        <v>696</v>
      </c>
      <c r="F113" s="62">
        <v>880</v>
      </c>
      <c r="G113" s="2479"/>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row>
    <row r="114" spans="1:32" ht="10.199999999999999">
      <c r="A114" s="4"/>
      <c r="B114" s="63" t="s">
        <v>105</v>
      </c>
      <c r="C114" s="64">
        <v>152440</v>
      </c>
      <c r="D114" s="64">
        <v>152440</v>
      </c>
      <c r="E114" s="64">
        <v>152440</v>
      </c>
      <c r="F114" s="65">
        <v>152440</v>
      </c>
      <c r="G114" s="2801"/>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row>
    <row r="115" spans="1:32" ht="10.199999999999999">
      <c r="A115" s="4"/>
      <c r="B115" s="63" t="s">
        <v>106</v>
      </c>
      <c r="C115" s="66">
        <v>0.45</v>
      </c>
      <c r="D115" s="66">
        <v>0.45</v>
      </c>
      <c r="E115" s="66">
        <v>0.45</v>
      </c>
      <c r="F115" s="67">
        <v>0.45</v>
      </c>
      <c r="G115" s="2510"/>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row>
    <row r="116" spans="1:32" ht="10.199999999999999">
      <c r="A116" s="4"/>
      <c r="B116" s="63"/>
      <c r="C116" s="61"/>
      <c r="D116" s="61"/>
      <c r="E116" s="61"/>
      <c r="F116" s="62"/>
      <c r="G116" s="2479"/>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row>
    <row r="117" spans="1:32" ht="10.199999999999999">
      <c r="A117" s="4"/>
      <c r="B117" s="63" t="s">
        <v>107</v>
      </c>
      <c r="C117" s="61">
        <v>0.11</v>
      </c>
      <c r="D117" s="61">
        <v>0.11</v>
      </c>
      <c r="E117" s="61">
        <v>0.11</v>
      </c>
      <c r="F117" s="62">
        <v>0.11</v>
      </c>
      <c r="G117" s="2479"/>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row>
    <row r="118" spans="1:32" ht="10.199999999999999">
      <c r="A118" s="4"/>
      <c r="B118" s="60" t="s">
        <v>108</v>
      </c>
      <c r="C118" s="68">
        <f t="shared" ref="C118:F118" si="3">C113*C114*C115*C117/1000000</f>
        <v>18.547527239999997</v>
      </c>
      <c r="D118" s="68">
        <f t="shared" si="3"/>
        <v>25.37645814</v>
      </c>
      <c r="E118" s="68">
        <f t="shared" si="3"/>
        <v>5.25186288</v>
      </c>
      <c r="F118" s="69">
        <f t="shared" si="3"/>
        <v>6.6402864000000008</v>
      </c>
      <c r="G118" s="2802"/>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row>
    <row r="119" spans="1:32" ht="10.199999999999999">
      <c r="A119" s="4"/>
      <c r="B119" s="49"/>
      <c r="C119" s="23"/>
      <c r="D119" s="23"/>
      <c r="E119" s="23"/>
      <c r="F119" s="70"/>
      <c r="G119" s="117"/>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row>
    <row r="120" spans="1:32" ht="10.199999999999999">
      <c r="A120" s="4"/>
      <c r="B120" s="63" t="s">
        <v>107</v>
      </c>
      <c r="C120" s="61">
        <v>8.1</v>
      </c>
      <c r="D120" s="61">
        <v>8.1</v>
      </c>
      <c r="E120" s="61">
        <v>8.1</v>
      </c>
      <c r="F120" s="62">
        <v>8.1</v>
      </c>
      <c r="G120" s="2479"/>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row>
    <row r="121" spans="1:32" ht="10.199999999999999">
      <c r="A121" s="4"/>
      <c r="B121" s="60" t="s">
        <v>109</v>
      </c>
      <c r="C121" s="71">
        <f t="shared" ref="C121:F121" si="4">(C113*C114*C115*C120)/1000000</f>
        <v>1365.7724603999998</v>
      </c>
      <c r="D121" s="71">
        <f t="shared" si="4"/>
        <v>1868.6300993999998</v>
      </c>
      <c r="E121" s="71">
        <f t="shared" si="4"/>
        <v>386.72808480000003</v>
      </c>
      <c r="F121" s="72">
        <f t="shared" si="4"/>
        <v>488.966544</v>
      </c>
      <c r="G121" s="2803"/>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row>
    <row r="122" spans="1:32" ht="10.199999999999999">
      <c r="A122" s="6"/>
      <c r="B122" s="20"/>
      <c r="C122" s="20"/>
      <c r="D122" s="20"/>
      <c r="E122" s="20"/>
      <c r="F122" s="20"/>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row>
    <row r="123" spans="1:32" ht="10.199999999999999">
      <c r="A123" s="4"/>
      <c r="B123" s="49"/>
      <c r="C123" s="2948" t="s">
        <v>110</v>
      </c>
      <c r="D123" s="2877"/>
      <c r="E123" s="2877"/>
      <c r="F123" s="2880"/>
      <c r="G123" s="2800"/>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row>
    <row r="124" spans="1:32" ht="10.199999999999999">
      <c r="A124" s="4"/>
      <c r="B124" s="49"/>
      <c r="C124" s="58">
        <v>2006</v>
      </c>
      <c r="D124" s="58">
        <v>2011</v>
      </c>
      <c r="E124" s="58">
        <v>2014</v>
      </c>
      <c r="F124" s="59">
        <v>2017</v>
      </c>
      <c r="G124" s="2800"/>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row>
    <row r="125" spans="1:32" ht="10.199999999999999">
      <c r="A125" s="4"/>
      <c r="B125" s="60" t="s">
        <v>104</v>
      </c>
      <c r="C125" s="61">
        <v>202.7</v>
      </c>
      <c r="D125" s="61">
        <v>295.2</v>
      </c>
      <c r="E125" s="61">
        <v>440.5</v>
      </c>
      <c r="F125" s="62">
        <v>604.9</v>
      </c>
      <c r="G125" s="2479"/>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row>
    <row r="126" spans="1:32" ht="10.199999999999999">
      <c r="A126" s="4"/>
      <c r="B126" s="63" t="s">
        <v>105</v>
      </c>
      <c r="C126" s="64">
        <v>152440</v>
      </c>
      <c r="D126" s="64">
        <v>152440</v>
      </c>
      <c r="E126" s="64">
        <v>152440</v>
      </c>
      <c r="F126" s="65">
        <v>152440</v>
      </c>
      <c r="G126" s="2801"/>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row>
    <row r="127" spans="1:32" ht="10.199999999999999">
      <c r="A127" s="4"/>
      <c r="B127" s="63" t="s">
        <v>106</v>
      </c>
      <c r="C127" s="66">
        <v>0.72</v>
      </c>
      <c r="D127" s="66">
        <v>0.72</v>
      </c>
      <c r="E127" s="66">
        <v>0.72</v>
      </c>
      <c r="F127" s="67">
        <v>0.72</v>
      </c>
      <c r="G127" s="2510"/>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row>
    <row r="128" spans="1:32" ht="10.199999999999999">
      <c r="A128" s="4"/>
      <c r="B128" s="63"/>
      <c r="C128" s="61"/>
      <c r="D128" s="61"/>
      <c r="E128" s="61"/>
      <c r="F128" s="62"/>
      <c r="G128" s="2479"/>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row>
    <row r="129" spans="1:32" ht="10.199999999999999">
      <c r="A129" s="4"/>
      <c r="B129" s="63" t="s">
        <v>107</v>
      </c>
      <c r="C129" s="61">
        <v>0.11</v>
      </c>
      <c r="D129" s="61">
        <v>0.11</v>
      </c>
      <c r="E129" s="61">
        <v>0.11</v>
      </c>
      <c r="F129" s="62">
        <v>0.11</v>
      </c>
      <c r="G129" s="2479"/>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row>
    <row r="130" spans="1:32" ht="10.199999999999999">
      <c r="A130" s="4"/>
      <c r="B130" s="60" t="s">
        <v>108</v>
      </c>
      <c r="C130" s="68">
        <f t="shared" ref="C130:F130" si="5">C125*C126*C127*C129/1000000</f>
        <v>2.4472473695999999</v>
      </c>
      <c r="D130" s="68">
        <f t="shared" si="5"/>
        <v>3.5640228096</v>
      </c>
      <c r="E130" s="68">
        <f t="shared" si="5"/>
        <v>5.3182657439999996</v>
      </c>
      <c r="F130" s="69">
        <f t="shared" si="5"/>
        <v>7.3031077152000003</v>
      </c>
      <c r="G130" s="2802"/>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row>
    <row r="131" spans="1:32" ht="10.199999999999999">
      <c r="A131" s="4"/>
      <c r="B131" s="49"/>
      <c r="C131" s="23"/>
      <c r="D131" s="23"/>
      <c r="E131" s="23"/>
      <c r="F131" s="70"/>
      <c r="G131" s="117"/>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row>
    <row r="132" spans="1:32" ht="10.199999999999999">
      <c r="A132" s="4"/>
      <c r="B132" s="63" t="s">
        <v>107</v>
      </c>
      <c r="C132" s="61">
        <v>8.1</v>
      </c>
      <c r="D132" s="61">
        <v>8.1</v>
      </c>
      <c r="E132" s="61">
        <v>8.1</v>
      </c>
      <c r="F132" s="62">
        <v>8.1</v>
      </c>
      <c r="G132" s="2479"/>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row>
    <row r="133" spans="1:32" ht="10.199999999999999">
      <c r="A133" s="4"/>
      <c r="B133" s="60" t="s">
        <v>109</v>
      </c>
      <c r="C133" s="71">
        <f t="shared" ref="C133:F133" si="6">(C125*C126*C127*C132)/1000000</f>
        <v>180.206397216</v>
      </c>
      <c r="D133" s="71">
        <f t="shared" si="6"/>
        <v>262.44167961599999</v>
      </c>
      <c r="E133" s="71">
        <f t="shared" si="6"/>
        <v>391.61775023999996</v>
      </c>
      <c r="F133" s="72">
        <f t="shared" si="6"/>
        <v>537.774295392</v>
      </c>
      <c r="G133" s="2803"/>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row>
    <row r="134" spans="1:32" ht="10.199999999999999">
      <c r="A134" s="6"/>
      <c r="B134" s="20"/>
      <c r="C134" s="20"/>
      <c r="D134" s="20"/>
      <c r="E134" s="20"/>
      <c r="F134" s="20"/>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2" ht="10.199999999999999">
      <c r="A135" s="4"/>
      <c r="B135" s="49"/>
      <c r="C135" s="58">
        <v>2006</v>
      </c>
      <c r="D135" s="58">
        <v>2011</v>
      </c>
      <c r="E135" s="58">
        <v>2014</v>
      </c>
      <c r="F135" s="59">
        <v>2017</v>
      </c>
      <c r="G135" s="2800"/>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row>
    <row r="136" spans="1:32" ht="10.199999999999999">
      <c r="A136" s="4"/>
      <c r="B136" s="60" t="s">
        <v>109</v>
      </c>
      <c r="C136" s="73">
        <f t="shared" ref="C136:F136" si="7">C133+C121</f>
        <v>1545.9788576159997</v>
      </c>
      <c r="D136" s="73">
        <f t="shared" si="7"/>
        <v>2131.0717790159997</v>
      </c>
      <c r="E136" s="73">
        <f t="shared" si="7"/>
        <v>778.34583504</v>
      </c>
      <c r="F136" s="74">
        <f t="shared" si="7"/>
        <v>1026.740839392</v>
      </c>
      <c r="G136" s="2804"/>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row>
    <row r="137" spans="1:32" ht="10.199999999999999">
      <c r="A137" s="4"/>
      <c r="B137" s="60" t="s">
        <v>111</v>
      </c>
      <c r="C137" s="64">
        <f>$K$5</f>
        <v>28</v>
      </c>
      <c r="D137" s="64">
        <f t="shared" ref="D137:F137" si="8">$K$5</f>
        <v>28</v>
      </c>
      <c r="E137" s="64">
        <f t="shared" si="8"/>
        <v>28</v>
      </c>
      <c r="F137" s="64">
        <f t="shared" si="8"/>
        <v>28</v>
      </c>
      <c r="G137" s="2479"/>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row>
    <row r="138" spans="1:32" ht="10.199999999999999">
      <c r="A138" s="4"/>
      <c r="B138" s="60" t="s">
        <v>112</v>
      </c>
      <c r="C138" s="75">
        <f t="shared" ref="C138:F138" si="9">(C136*C137)/1000000</f>
        <v>4.3287408013247992E-2</v>
      </c>
      <c r="D138" s="75">
        <f t="shared" si="9"/>
        <v>5.9670009812447994E-2</v>
      </c>
      <c r="E138" s="75">
        <f t="shared" si="9"/>
        <v>2.1793683381120001E-2</v>
      </c>
      <c r="F138" s="76">
        <f t="shared" si="9"/>
        <v>2.8748743502976001E-2</v>
      </c>
      <c r="G138" s="2802"/>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row>
    <row r="139" spans="1:32" ht="10.199999999999999">
      <c r="A139" s="4"/>
      <c r="B139" s="60" t="s">
        <v>108</v>
      </c>
      <c r="C139" s="77">
        <f t="shared" ref="C139:F139" si="10">C118+C130</f>
        <v>20.994774609599997</v>
      </c>
      <c r="D139" s="77">
        <f t="shared" si="10"/>
        <v>28.940480949600001</v>
      </c>
      <c r="E139" s="77">
        <f t="shared" si="10"/>
        <v>10.570128623999999</v>
      </c>
      <c r="F139" s="78">
        <f t="shared" si="10"/>
        <v>13.9433941152</v>
      </c>
      <c r="G139" s="2805"/>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row>
    <row r="140" spans="1:32" ht="10.199999999999999">
      <c r="A140" s="4"/>
      <c r="B140" s="60" t="s">
        <v>101</v>
      </c>
      <c r="C140" s="64">
        <f>$K$6</f>
        <v>265</v>
      </c>
      <c r="D140" s="64">
        <f t="shared" ref="D140:F140" si="11">$K$6</f>
        <v>265</v>
      </c>
      <c r="E140" s="64">
        <f t="shared" si="11"/>
        <v>265</v>
      </c>
      <c r="F140" s="64">
        <f t="shared" si="11"/>
        <v>265</v>
      </c>
      <c r="G140" s="2479"/>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row>
    <row r="141" spans="1:32" ht="10.199999999999999">
      <c r="A141" s="4"/>
      <c r="B141" s="60" t="s">
        <v>112</v>
      </c>
      <c r="C141" s="75">
        <f t="shared" ref="C141:F141" si="12">(C139*C140)/1000000</f>
        <v>5.5636152715439991E-3</v>
      </c>
      <c r="D141" s="75">
        <f t="shared" si="12"/>
        <v>7.6692274516439998E-3</v>
      </c>
      <c r="E141" s="75">
        <f t="shared" si="12"/>
        <v>2.8010840853599996E-3</v>
      </c>
      <c r="F141" s="76">
        <f t="shared" si="12"/>
        <v>3.694999440528E-3</v>
      </c>
      <c r="G141" s="2802"/>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row>
    <row r="142" spans="1:32" ht="10.199999999999999">
      <c r="A142" s="4"/>
      <c r="B142" s="49"/>
      <c r="C142" s="61"/>
      <c r="D142" s="61"/>
      <c r="E142" s="61"/>
      <c r="F142" s="62"/>
      <c r="G142" s="2479"/>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row>
    <row r="143" spans="1:32" ht="10.199999999999999">
      <c r="A143" s="4"/>
      <c r="B143" s="49" t="s">
        <v>113</v>
      </c>
      <c r="C143" s="68">
        <f t="shared" ref="C143:F143" si="13">C138+C141</f>
        <v>4.8851023284791989E-2</v>
      </c>
      <c r="D143" s="68">
        <f t="shared" si="13"/>
        <v>6.7339237264091995E-2</v>
      </c>
      <c r="E143" s="68">
        <f t="shared" si="13"/>
        <v>2.459476746648E-2</v>
      </c>
      <c r="F143" s="69">
        <f t="shared" si="13"/>
        <v>3.2443742943504002E-2</v>
      </c>
      <c r="G143" s="2802"/>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row>
    <row r="144" spans="1:32" ht="10.199999999999999">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row>
    <row r="145" spans="1:32" ht="10.199999999999999">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row>
    <row r="146" spans="1:32" ht="14.4">
      <c r="A146" s="6"/>
      <c r="B146" s="24" t="s">
        <v>42</v>
      </c>
      <c r="C146" s="25"/>
      <c r="D146" s="25"/>
      <c r="E146" s="25"/>
      <c r="F146" s="25"/>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row>
    <row r="147" spans="1:32" ht="10.199999999999999">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row>
    <row r="148" spans="1:32" ht="12">
      <c r="A148" s="6"/>
      <c r="B148" s="31" t="s">
        <v>114</v>
      </c>
      <c r="C148" s="20"/>
      <c r="D148" s="20"/>
      <c r="E148" s="20"/>
      <c r="F148" s="20"/>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row>
    <row r="149" spans="1:32" ht="10.199999999999999">
      <c r="A149" s="4"/>
      <c r="B149" s="49"/>
      <c r="C149" s="79">
        <v>2006</v>
      </c>
      <c r="D149" s="79">
        <v>2011</v>
      </c>
      <c r="E149" s="79">
        <v>2014</v>
      </c>
      <c r="F149" s="80">
        <v>2017</v>
      </c>
      <c r="G149" s="2806"/>
      <c r="H149" s="2863"/>
      <c r="I149" s="2863"/>
      <c r="J149" s="2863"/>
      <c r="K149" s="6"/>
      <c r="L149" s="6"/>
      <c r="M149" s="6"/>
      <c r="N149" s="6"/>
      <c r="O149" s="6"/>
      <c r="P149" s="6"/>
      <c r="Q149" s="6"/>
      <c r="R149" s="6"/>
      <c r="S149" s="6"/>
      <c r="T149" s="6"/>
      <c r="U149" s="6"/>
      <c r="V149" s="6"/>
      <c r="W149" s="6"/>
      <c r="X149" s="6"/>
      <c r="Y149" s="6"/>
      <c r="Z149" s="6"/>
      <c r="AA149" s="6"/>
      <c r="AB149" s="6"/>
      <c r="AC149" s="6"/>
      <c r="AD149" s="6"/>
      <c r="AE149" s="6"/>
      <c r="AF149" s="6"/>
    </row>
    <row r="150" spans="1:32" ht="10.199999999999999">
      <c r="A150" s="4"/>
      <c r="B150" s="81" t="s">
        <v>88</v>
      </c>
      <c r="C150" s="82">
        <v>-0.39400000000000002</v>
      </c>
      <c r="D150" s="82">
        <v>-0.29799999999999999</v>
      </c>
      <c r="E150" s="82">
        <v>-0.13600000000000001</v>
      </c>
      <c r="F150" s="83">
        <v>-0.22700000000000001</v>
      </c>
      <c r="G150" s="280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row>
    <row r="151" spans="1:32" ht="10.199999999999999">
      <c r="A151" s="6"/>
      <c r="B151" s="6" t="s">
        <v>79</v>
      </c>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row>
    <row r="152" spans="1:32" ht="10.199999999999999">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row>
    <row r="153" spans="1:32" ht="10.199999999999999">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row>
    <row r="154" spans="1:32" ht="14.4">
      <c r="A154" s="6"/>
      <c r="B154" s="24" t="s">
        <v>115</v>
      </c>
      <c r="C154" s="25"/>
      <c r="D154" s="25"/>
      <c r="E154" s="25"/>
      <c r="F154" s="25"/>
      <c r="G154" s="25"/>
      <c r="H154" s="25"/>
      <c r="I154" s="25"/>
      <c r="J154" s="25"/>
      <c r="K154" s="25"/>
      <c r="L154" s="25"/>
      <c r="M154" s="25"/>
      <c r="N154" s="25"/>
      <c r="O154" s="25"/>
      <c r="P154" s="25"/>
      <c r="Q154" s="25"/>
      <c r="R154" s="25"/>
      <c r="S154" s="25"/>
      <c r="T154" s="6"/>
      <c r="U154" s="6"/>
      <c r="V154" s="6"/>
      <c r="W154" s="6"/>
      <c r="X154" s="6"/>
      <c r="Y154" s="6"/>
      <c r="Z154" s="6"/>
      <c r="AA154" s="6"/>
      <c r="AB154" s="6"/>
      <c r="AC154" s="6"/>
      <c r="AD154" s="6"/>
      <c r="AE154" s="6"/>
      <c r="AF154" s="6"/>
    </row>
    <row r="155" spans="1:32" ht="10.199999999999999">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2" ht="14.4">
      <c r="A156" s="6"/>
      <c r="B156" s="26" t="s">
        <v>116</v>
      </c>
      <c r="C156" s="6"/>
      <c r="D156" s="20"/>
      <c r="E156" s="20"/>
      <c r="F156" s="20"/>
      <c r="G156" s="20"/>
      <c r="H156" s="20"/>
      <c r="I156" s="20"/>
      <c r="J156" s="6"/>
      <c r="K156" s="6"/>
      <c r="L156" s="6"/>
      <c r="M156" s="6"/>
      <c r="N156" s="6"/>
      <c r="O156" s="6"/>
      <c r="P156" s="6"/>
      <c r="Q156" s="6"/>
      <c r="R156" s="6"/>
      <c r="S156" s="6"/>
      <c r="T156" s="6"/>
      <c r="U156" s="6"/>
      <c r="V156" s="6"/>
      <c r="W156" s="6"/>
      <c r="X156" s="6"/>
      <c r="Y156" s="6"/>
      <c r="Z156" s="6"/>
      <c r="AA156" s="6"/>
      <c r="AB156" s="6"/>
      <c r="AC156" s="6"/>
      <c r="AD156" s="6"/>
      <c r="AE156" s="6"/>
      <c r="AF156" s="6"/>
    </row>
    <row r="157" spans="1:32" ht="12">
      <c r="A157" s="6"/>
      <c r="B157" s="20"/>
      <c r="C157" s="49"/>
      <c r="D157" s="2952" t="s">
        <v>117</v>
      </c>
      <c r="E157" s="2877"/>
      <c r="F157" s="2877"/>
      <c r="G157" s="2877"/>
      <c r="H157" s="2877"/>
      <c r="I157" s="2880"/>
      <c r="J157" s="1461"/>
      <c r="K157" s="6"/>
      <c r="L157" s="6"/>
      <c r="M157" s="6"/>
      <c r="N157" s="6"/>
      <c r="O157" s="6"/>
      <c r="P157" s="6"/>
      <c r="Q157" s="6"/>
      <c r="R157" s="6"/>
      <c r="S157" s="6"/>
      <c r="T157" s="6"/>
      <c r="U157" s="6"/>
      <c r="V157" s="6"/>
      <c r="W157" s="6"/>
      <c r="X157" s="6"/>
      <c r="Y157" s="6"/>
      <c r="Z157" s="6"/>
      <c r="AA157" s="6"/>
      <c r="AB157" s="6"/>
      <c r="AC157" s="6"/>
      <c r="AD157" s="6"/>
      <c r="AE157" s="6"/>
      <c r="AF157" s="6"/>
    </row>
    <row r="158" spans="1:32" ht="12">
      <c r="A158" s="4"/>
      <c r="B158" s="84" t="s">
        <v>118</v>
      </c>
      <c r="C158" s="49"/>
      <c r="D158" s="85">
        <v>2006</v>
      </c>
      <c r="E158" s="85">
        <v>2010</v>
      </c>
      <c r="F158" s="85">
        <v>2011</v>
      </c>
      <c r="G158" s="85">
        <v>2014</v>
      </c>
      <c r="H158" s="85">
        <v>2016</v>
      </c>
      <c r="I158" s="85">
        <v>2017</v>
      </c>
      <c r="J158" s="1461"/>
      <c r="K158" s="6"/>
      <c r="L158" s="6"/>
      <c r="M158" s="6"/>
      <c r="N158" s="6"/>
      <c r="O158" s="6"/>
      <c r="P158" s="6"/>
      <c r="Q158" s="6"/>
      <c r="R158" s="6"/>
      <c r="S158" s="6"/>
      <c r="T158" s="6"/>
      <c r="U158" s="6"/>
      <c r="V158" s="6"/>
      <c r="W158" s="6"/>
      <c r="X158" s="6"/>
      <c r="Y158" s="6"/>
      <c r="Z158" s="6"/>
      <c r="AA158" s="6"/>
      <c r="AB158" s="6"/>
      <c r="AC158" s="6"/>
      <c r="AD158" s="6"/>
      <c r="AE158" s="6"/>
      <c r="AF158" s="6"/>
    </row>
    <row r="159" spans="1:32" ht="12">
      <c r="A159" s="4"/>
      <c r="B159" s="34" t="s">
        <v>119</v>
      </c>
      <c r="C159" s="49"/>
      <c r="D159" s="86">
        <v>16412.714100000001</v>
      </c>
      <c r="E159" s="87">
        <v>16420.720301999998</v>
      </c>
      <c r="F159" s="87">
        <v>16418</v>
      </c>
      <c r="G159" s="87">
        <v>16409</v>
      </c>
      <c r="H159" s="87">
        <v>16405.152687000002</v>
      </c>
      <c r="I159" s="87">
        <v>16405.152687000002</v>
      </c>
      <c r="J159" s="86"/>
      <c r="K159" s="6"/>
      <c r="L159" s="6"/>
      <c r="M159" s="6"/>
      <c r="N159" s="6"/>
      <c r="O159" s="6"/>
      <c r="P159" s="6"/>
      <c r="Q159" s="6"/>
      <c r="R159" s="6"/>
      <c r="S159" s="6"/>
      <c r="T159" s="6"/>
      <c r="U159" s="6"/>
      <c r="V159" s="6"/>
      <c r="W159" s="6"/>
      <c r="X159" s="6"/>
      <c r="Y159" s="6"/>
      <c r="Z159" s="6"/>
      <c r="AA159" s="6"/>
      <c r="AB159" s="6"/>
      <c r="AC159" s="6"/>
      <c r="AD159" s="6"/>
      <c r="AE159" s="6"/>
      <c r="AF159" s="6"/>
    </row>
    <row r="160" spans="1:32" ht="12">
      <c r="A160" s="4"/>
      <c r="B160" s="34" t="s">
        <v>120</v>
      </c>
      <c r="C160" s="49"/>
      <c r="D160" s="88">
        <v>181364.938719</v>
      </c>
      <c r="E160" s="89">
        <v>182982.636241</v>
      </c>
      <c r="F160" s="89">
        <f>E160+((H160-E160)/6)</f>
        <v>182966.21611450001</v>
      </c>
      <c r="G160" s="89">
        <f>E160-(16*4)</f>
        <v>182918.636241</v>
      </c>
      <c r="H160" s="89">
        <v>182884.11548200002</v>
      </c>
      <c r="I160" s="89">
        <v>182884.11548200002</v>
      </c>
      <c r="J160" s="86"/>
      <c r="K160" s="6"/>
      <c r="L160" s="6"/>
      <c r="M160" s="6"/>
      <c r="N160" s="6"/>
      <c r="O160" s="6"/>
      <c r="P160" s="6"/>
      <c r="Q160" s="6"/>
      <c r="R160" s="6"/>
      <c r="S160" s="6"/>
      <c r="T160" s="6"/>
      <c r="U160" s="6"/>
      <c r="V160" s="6"/>
      <c r="W160" s="6"/>
      <c r="X160" s="6"/>
      <c r="Y160" s="6"/>
      <c r="Z160" s="6"/>
      <c r="AA160" s="6"/>
      <c r="AB160" s="6"/>
      <c r="AC160" s="6"/>
      <c r="AD160" s="6"/>
      <c r="AE160" s="6"/>
      <c r="AF160" s="6"/>
    </row>
    <row r="161" spans="1:32" ht="12">
      <c r="A161" s="4"/>
      <c r="B161" s="34" t="s">
        <v>121</v>
      </c>
      <c r="C161" s="49"/>
      <c r="D161" s="88">
        <f>5360.61*2.47105</f>
        <v>13246.3353405</v>
      </c>
      <c r="E161" s="89">
        <f>7147.89*2.47105</f>
        <v>17662.793584499999</v>
      </c>
      <c r="F161" s="89">
        <f>4150.79*2.47105</f>
        <v>10256.8096295</v>
      </c>
      <c r="G161" s="89">
        <f>4071.19*2.47105</f>
        <v>10060.1140495</v>
      </c>
      <c r="H161" s="89">
        <f>4600.55*2.47105</f>
        <v>11368.189077500001</v>
      </c>
      <c r="I161" s="89">
        <f>5307.45*2.47105</f>
        <v>13114.9743225</v>
      </c>
      <c r="J161" s="86"/>
      <c r="K161" s="6"/>
      <c r="L161" s="6"/>
      <c r="M161" s="6"/>
      <c r="N161" s="6"/>
      <c r="O161" s="6"/>
      <c r="P161" s="6"/>
      <c r="Q161" s="6"/>
      <c r="R161" s="6"/>
      <c r="S161" s="6"/>
      <c r="T161" s="6"/>
      <c r="U161" s="6"/>
      <c r="V161" s="6"/>
      <c r="W161" s="6"/>
      <c r="X161" s="6"/>
      <c r="Y161" s="6"/>
      <c r="Z161" s="6"/>
      <c r="AA161" s="6"/>
      <c r="AB161" s="6"/>
      <c r="AC161" s="6"/>
      <c r="AD161" s="6"/>
      <c r="AE161" s="6"/>
      <c r="AF161" s="6"/>
    </row>
    <row r="162" spans="1:32" ht="12">
      <c r="A162" s="4"/>
      <c r="B162" s="34" t="s">
        <v>122</v>
      </c>
      <c r="C162" s="49"/>
      <c r="D162" s="88">
        <f>2929.88*2.47105</f>
        <v>7239.8799740000004</v>
      </c>
      <c r="E162" s="89">
        <f>3262.95*2.47105</f>
        <v>8062.9125974999997</v>
      </c>
      <c r="F162" s="89">
        <f>1270.81*2.47105</f>
        <v>3140.2350504999999</v>
      </c>
      <c r="G162" s="89">
        <f>1456.42*2.47105</f>
        <v>3598.8866410000001</v>
      </c>
      <c r="H162" s="89">
        <f>2439.24*2.47105</f>
        <v>6027.4840019999992</v>
      </c>
      <c r="I162" s="89">
        <f>2211.64*2.47105</f>
        <v>5465.0730219999996</v>
      </c>
      <c r="J162" s="86"/>
      <c r="K162" s="6"/>
      <c r="L162" s="6"/>
      <c r="M162" s="6"/>
      <c r="N162" s="6"/>
      <c r="O162" s="6"/>
      <c r="P162" s="6"/>
      <c r="Q162" s="6"/>
      <c r="R162" s="6"/>
      <c r="S162" s="6"/>
      <c r="T162" s="6"/>
      <c r="U162" s="6"/>
      <c r="V162" s="6"/>
      <c r="W162" s="6"/>
      <c r="X162" s="6"/>
      <c r="Y162" s="6"/>
      <c r="Z162" s="6"/>
      <c r="AA162" s="6"/>
      <c r="AB162" s="6"/>
      <c r="AC162" s="6"/>
      <c r="AD162" s="6"/>
      <c r="AE162" s="6"/>
      <c r="AF162" s="6"/>
    </row>
    <row r="163" spans="1:32" ht="12">
      <c r="A163" s="4"/>
      <c r="B163" s="34" t="s">
        <v>123</v>
      </c>
      <c r="C163" s="49"/>
      <c r="D163" s="88">
        <f>3889.93*2.47105</f>
        <v>9612.2115264999993</v>
      </c>
      <c r="E163" s="89">
        <f>4903.61*2.47105</f>
        <v>12117.065490499999</v>
      </c>
      <c r="F163" s="89">
        <f>6433.54*2.47105</f>
        <v>15897.599017</v>
      </c>
      <c r="G163" s="89">
        <f>9306.29*2.47105</f>
        <v>22996.307904500001</v>
      </c>
      <c r="H163" s="89">
        <f>15490.41*2.47105</f>
        <v>38277.577630499996</v>
      </c>
      <c r="I163" s="89">
        <f>15849.06*2.47105</f>
        <v>39163.819712999997</v>
      </c>
      <c r="J163" s="86"/>
      <c r="K163" s="6"/>
      <c r="L163" s="6"/>
      <c r="M163" s="6"/>
      <c r="N163" s="6"/>
      <c r="O163" s="6"/>
      <c r="P163" s="6"/>
      <c r="Q163" s="6"/>
      <c r="R163" s="6"/>
      <c r="S163" s="6"/>
      <c r="T163" s="6"/>
      <c r="U163" s="6"/>
      <c r="V163" s="6"/>
      <c r="W163" s="6"/>
      <c r="X163" s="6"/>
      <c r="Y163" s="6"/>
      <c r="Z163" s="6"/>
      <c r="AA163" s="6"/>
      <c r="AB163" s="6"/>
      <c r="AC163" s="6"/>
      <c r="AD163" s="6"/>
      <c r="AE163" s="6"/>
      <c r="AF163" s="6"/>
    </row>
    <row r="164" spans="1:32" ht="12">
      <c r="A164" s="4"/>
      <c r="B164" s="34" t="s">
        <v>124</v>
      </c>
      <c r="C164" s="49"/>
      <c r="D164" s="90">
        <f>2981.61*2.47105</f>
        <v>7367.7073905000007</v>
      </c>
      <c r="E164" s="91">
        <f>3655.35*2.47105</f>
        <v>9032.5526174999995</v>
      </c>
      <c r="F164" s="91">
        <f>2295.63*2.47105</f>
        <v>5672.6165115000003</v>
      </c>
      <c r="G164" s="91">
        <f>2627.03*2.47105</f>
        <v>6491.5224815000001</v>
      </c>
      <c r="H164" s="91"/>
      <c r="I164" s="91">
        <f>2283.3*2.47105</f>
        <v>5642.1484650000002</v>
      </c>
      <c r="J164" s="86"/>
      <c r="K164" s="6"/>
      <c r="L164" s="6"/>
      <c r="M164" s="6"/>
      <c r="N164" s="6"/>
      <c r="O164" s="6"/>
      <c r="P164" s="6"/>
      <c r="Q164" s="6"/>
      <c r="R164" s="6"/>
      <c r="S164" s="6"/>
      <c r="T164" s="6"/>
      <c r="U164" s="6"/>
      <c r="V164" s="6"/>
      <c r="W164" s="6"/>
      <c r="X164" s="6"/>
      <c r="Y164" s="6"/>
      <c r="Z164" s="6"/>
      <c r="AA164" s="6"/>
      <c r="AB164" s="6"/>
      <c r="AC164" s="6"/>
      <c r="AD164" s="6"/>
      <c r="AE164" s="6"/>
      <c r="AF164" s="6"/>
    </row>
    <row r="165" spans="1:32" ht="12">
      <c r="A165" s="4"/>
      <c r="B165" s="34" t="s">
        <v>125</v>
      </c>
      <c r="C165" s="49"/>
      <c r="D165" s="88">
        <f t="shared" ref="D165:I165" si="14">D159+D160</f>
        <v>197777.65281900001</v>
      </c>
      <c r="E165" s="89">
        <f t="shared" si="14"/>
        <v>199403.356543</v>
      </c>
      <c r="F165" s="89">
        <f t="shared" si="14"/>
        <v>199384.21611450001</v>
      </c>
      <c r="G165" s="89">
        <f t="shared" si="14"/>
        <v>199327.636241</v>
      </c>
      <c r="H165" s="89">
        <f t="shared" si="14"/>
        <v>199289.26816900002</v>
      </c>
      <c r="I165" s="89">
        <f t="shared" si="14"/>
        <v>199289.26816900002</v>
      </c>
      <c r="J165" s="86"/>
      <c r="K165" s="6"/>
      <c r="L165" s="6"/>
      <c r="M165" s="6"/>
      <c r="N165" s="6"/>
      <c r="O165" s="6"/>
      <c r="P165" s="6"/>
      <c r="Q165" s="6"/>
      <c r="R165" s="6"/>
      <c r="S165" s="6"/>
      <c r="T165" s="6"/>
      <c r="U165" s="6"/>
      <c r="V165" s="6"/>
      <c r="W165" s="6"/>
      <c r="X165" s="6"/>
      <c r="Y165" s="6"/>
      <c r="Z165" s="6"/>
      <c r="AA165" s="6"/>
      <c r="AB165" s="6"/>
      <c r="AC165" s="6"/>
      <c r="AD165" s="6"/>
      <c r="AE165" s="6"/>
      <c r="AF165" s="6"/>
    </row>
    <row r="166" spans="1:32" ht="12">
      <c r="A166" s="4"/>
      <c r="B166" s="34" t="s">
        <v>126</v>
      </c>
      <c r="C166" s="49"/>
      <c r="D166" s="88">
        <f t="shared" ref="D166:I166" si="15">SUM(D161:D164)</f>
        <v>37466.1342315</v>
      </c>
      <c r="E166" s="89">
        <f t="shared" si="15"/>
        <v>46875.324289999997</v>
      </c>
      <c r="F166" s="89">
        <f t="shared" si="15"/>
        <v>34967.260208499996</v>
      </c>
      <c r="G166" s="89">
        <f t="shared" si="15"/>
        <v>43146.831076500006</v>
      </c>
      <c r="H166" s="89">
        <f t="shared" si="15"/>
        <v>55673.250709999993</v>
      </c>
      <c r="I166" s="89">
        <f t="shared" si="15"/>
        <v>63386.015522499998</v>
      </c>
      <c r="J166" s="86"/>
      <c r="K166" s="6"/>
      <c r="L166" s="6"/>
      <c r="M166" s="6"/>
      <c r="N166" s="6"/>
      <c r="O166" s="6"/>
      <c r="P166" s="6"/>
      <c r="Q166" s="6"/>
      <c r="R166" s="6"/>
      <c r="S166" s="6"/>
      <c r="T166" s="6"/>
      <c r="U166" s="6"/>
      <c r="V166" s="6"/>
      <c r="W166" s="6"/>
      <c r="X166" s="6"/>
      <c r="Y166" s="6"/>
      <c r="Z166" s="6"/>
      <c r="AA166" s="6"/>
      <c r="AB166" s="6"/>
      <c r="AC166" s="6"/>
      <c r="AD166" s="6"/>
      <c r="AE166" s="6"/>
      <c r="AF166" s="6"/>
    </row>
    <row r="167" spans="1:32" ht="10.199999999999999">
      <c r="A167" s="6"/>
      <c r="B167" s="6"/>
      <c r="C167" s="6"/>
      <c r="D167" s="20"/>
      <c r="E167" s="20"/>
      <c r="F167" s="20"/>
      <c r="G167" s="20"/>
      <c r="H167" s="20"/>
      <c r="I167" s="20"/>
      <c r="J167" s="6"/>
      <c r="K167" s="6"/>
      <c r="L167" s="6"/>
      <c r="M167" s="6"/>
      <c r="N167" s="6"/>
      <c r="O167" s="6"/>
      <c r="P167" s="6"/>
      <c r="Q167" s="6"/>
      <c r="R167" s="6"/>
      <c r="S167" s="6"/>
      <c r="T167" s="6"/>
      <c r="U167" s="6"/>
      <c r="V167" s="6"/>
      <c r="W167" s="6"/>
      <c r="X167" s="6"/>
      <c r="Y167" s="6"/>
      <c r="Z167" s="6"/>
      <c r="AA167" s="6"/>
      <c r="AB167" s="6"/>
      <c r="AC167" s="6"/>
      <c r="AD167" s="6"/>
      <c r="AE167" s="6"/>
      <c r="AF167" s="6"/>
    </row>
    <row r="168" spans="1:32" ht="12">
      <c r="A168" s="6"/>
      <c r="B168" s="20"/>
      <c r="C168" s="49"/>
      <c r="D168" s="2952" t="s">
        <v>127</v>
      </c>
      <c r="E168" s="2877"/>
      <c r="F168" s="2877"/>
      <c r="G168" s="2877"/>
      <c r="H168" s="2877"/>
      <c r="I168" s="2880"/>
      <c r="J168" s="1461"/>
      <c r="K168" s="6"/>
      <c r="L168" s="6"/>
      <c r="M168" s="6"/>
      <c r="N168" s="6"/>
      <c r="O168" s="6"/>
      <c r="P168" s="6"/>
      <c r="Q168" s="6"/>
      <c r="R168" s="6"/>
      <c r="S168" s="6"/>
      <c r="T168" s="6"/>
      <c r="U168" s="6"/>
      <c r="V168" s="6"/>
      <c r="W168" s="6"/>
      <c r="X168" s="6"/>
      <c r="Y168" s="6"/>
      <c r="Z168" s="6"/>
      <c r="AA168" s="6"/>
      <c r="AB168" s="6"/>
      <c r="AC168" s="6"/>
      <c r="AD168" s="6"/>
      <c r="AE168" s="6"/>
      <c r="AF168" s="6"/>
    </row>
    <row r="169" spans="1:32" ht="12">
      <c r="A169" s="4"/>
      <c r="B169" s="84" t="s">
        <v>118</v>
      </c>
      <c r="C169" s="92" t="s">
        <v>128</v>
      </c>
      <c r="D169" s="85">
        <v>2006</v>
      </c>
      <c r="E169" s="85">
        <v>2010</v>
      </c>
      <c r="F169" s="85">
        <v>2011</v>
      </c>
      <c r="G169" s="85">
        <v>2014</v>
      </c>
      <c r="H169" s="85">
        <v>2016</v>
      </c>
      <c r="I169" s="85">
        <v>2017</v>
      </c>
      <c r="J169" s="1461"/>
      <c r="K169" s="6"/>
      <c r="L169" s="6"/>
      <c r="M169" s="6"/>
      <c r="N169" s="6"/>
      <c r="O169" s="6"/>
      <c r="P169" s="6"/>
      <c r="Q169" s="6"/>
      <c r="R169" s="6"/>
      <c r="S169" s="6"/>
      <c r="T169" s="6"/>
      <c r="U169" s="6"/>
      <c r="V169" s="6"/>
      <c r="W169" s="6"/>
      <c r="X169" s="6"/>
      <c r="Y169" s="6"/>
      <c r="Z169" s="6"/>
      <c r="AA169" s="6"/>
      <c r="AB169" s="6"/>
      <c r="AC169" s="6"/>
      <c r="AD169" s="6"/>
      <c r="AE169" s="6"/>
      <c r="AF169" s="6"/>
    </row>
    <row r="170" spans="1:32" ht="12">
      <c r="A170" s="4"/>
      <c r="B170" s="34" t="s">
        <v>119</v>
      </c>
      <c r="C170" s="93">
        <f t="shared" ref="C170:C171" si="16">-2.067/2.47105*44/12</f>
        <v>-3.0671172173772288</v>
      </c>
      <c r="D170" s="86">
        <f t="shared" ref="D170:I170" si="17">$C170*D159</f>
        <v>-50339.718000000008</v>
      </c>
      <c r="E170" s="87">
        <f t="shared" si="17"/>
        <v>-50364.273959999999</v>
      </c>
      <c r="F170" s="87">
        <f t="shared" si="17"/>
        <v>-50355.930474899338</v>
      </c>
      <c r="G170" s="87">
        <f t="shared" si="17"/>
        <v>-50328.326419942947</v>
      </c>
      <c r="H170" s="87">
        <f t="shared" si="17"/>
        <v>-50316.526260000013</v>
      </c>
      <c r="I170" s="87">
        <f t="shared" si="17"/>
        <v>-50316.526260000013</v>
      </c>
      <c r="J170" s="86"/>
      <c r="K170" s="6"/>
      <c r="L170" s="6"/>
      <c r="M170" s="6"/>
      <c r="N170" s="6"/>
      <c r="O170" s="6"/>
      <c r="P170" s="6"/>
      <c r="Q170" s="6"/>
      <c r="R170" s="6"/>
      <c r="S170" s="6"/>
      <c r="T170" s="6"/>
      <c r="U170" s="6"/>
      <c r="V170" s="6"/>
      <c r="W170" s="6"/>
      <c r="X170" s="6"/>
      <c r="Y170" s="6"/>
      <c r="Z170" s="6"/>
      <c r="AA170" s="6"/>
      <c r="AB170" s="6"/>
      <c r="AC170" s="6"/>
      <c r="AD170" s="6"/>
      <c r="AE170" s="6"/>
      <c r="AF170" s="6"/>
    </row>
    <row r="171" spans="1:32" ht="12">
      <c r="A171" s="4"/>
      <c r="B171" s="34" t="s">
        <v>120</v>
      </c>
      <c r="C171" s="93">
        <f t="shared" si="16"/>
        <v>-3.0671172173772288</v>
      </c>
      <c r="D171" s="88">
        <f t="shared" ref="D171:I171" si="18">$C171*D160</f>
        <v>-556267.52617361094</v>
      </c>
      <c r="E171" s="89">
        <f t="shared" si="18"/>
        <v>-561229.19409584557</v>
      </c>
      <c r="F171" s="89">
        <f t="shared" si="18"/>
        <v>-561178.831643146</v>
      </c>
      <c r="G171" s="89">
        <f t="shared" si="18"/>
        <v>-561032.89859393344</v>
      </c>
      <c r="H171" s="89">
        <f t="shared" si="18"/>
        <v>-560927.01937964768</v>
      </c>
      <c r="I171" s="89">
        <f t="shared" si="18"/>
        <v>-560927.01937964768</v>
      </c>
      <c r="J171" s="86"/>
      <c r="K171" s="6"/>
      <c r="L171" s="6"/>
      <c r="M171" s="6"/>
      <c r="N171" s="6"/>
      <c r="O171" s="6"/>
      <c r="P171" s="6"/>
      <c r="Q171" s="6"/>
      <c r="R171" s="6"/>
      <c r="S171" s="6"/>
      <c r="T171" s="6"/>
      <c r="U171" s="6"/>
      <c r="V171" s="6"/>
      <c r="W171" s="6"/>
      <c r="X171" s="6"/>
      <c r="Y171" s="6"/>
      <c r="Z171" s="6"/>
      <c r="AA171" s="6"/>
      <c r="AB171" s="6"/>
      <c r="AC171" s="6"/>
      <c r="AD171" s="6"/>
      <c r="AE171" s="6"/>
      <c r="AF171" s="6"/>
    </row>
    <row r="172" spans="1:32" ht="12">
      <c r="A172" s="4"/>
      <c r="B172" s="34" t="s">
        <v>121</v>
      </c>
      <c r="C172" s="93">
        <f>-1.111/2.47105</f>
        <v>-0.44960644260537019</v>
      </c>
      <c r="D172" s="88">
        <f t="shared" ref="D172:I172" si="19">$C172*D161</f>
        <v>-5955.63771</v>
      </c>
      <c r="E172" s="89">
        <f t="shared" si="19"/>
        <v>-7941.3057899999994</v>
      </c>
      <c r="F172" s="89">
        <f t="shared" si="19"/>
        <v>-4611.5276899999999</v>
      </c>
      <c r="G172" s="89">
        <f t="shared" si="19"/>
        <v>-4523.0920900000001</v>
      </c>
      <c r="H172" s="89">
        <f t="shared" si="19"/>
        <v>-5111.2110500000008</v>
      </c>
      <c r="I172" s="89">
        <f t="shared" si="19"/>
        <v>-5896.5769500000006</v>
      </c>
      <c r="J172" s="86"/>
      <c r="K172" s="6"/>
      <c r="L172" s="6"/>
      <c r="M172" s="6"/>
      <c r="N172" s="6"/>
      <c r="O172" s="6"/>
      <c r="P172" s="6"/>
      <c r="Q172" s="6"/>
      <c r="R172" s="6"/>
      <c r="S172" s="6"/>
      <c r="T172" s="6"/>
      <c r="U172" s="6"/>
      <c r="V172" s="6"/>
      <c r="W172" s="6"/>
      <c r="X172" s="6"/>
      <c r="Y172" s="6"/>
      <c r="Z172" s="6"/>
      <c r="AA172" s="6"/>
      <c r="AB172" s="6"/>
      <c r="AC172" s="6"/>
      <c r="AD172" s="6"/>
      <c r="AE172" s="6"/>
      <c r="AF172" s="6"/>
    </row>
    <row r="173" spans="1:32" ht="12">
      <c r="A173" s="4"/>
      <c r="B173" s="34" t="s">
        <v>122</v>
      </c>
      <c r="C173" s="93">
        <f>-1.1/2.47105</f>
        <v>-0.44515489366868338</v>
      </c>
      <c r="D173" s="88">
        <f t="shared" ref="D173:I173" si="20">$C173*D162</f>
        <v>-3222.8680000000004</v>
      </c>
      <c r="E173" s="89">
        <f t="shared" si="20"/>
        <v>-3589.2449999999999</v>
      </c>
      <c r="F173" s="89">
        <f t="shared" si="20"/>
        <v>-1397.8910000000001</v>
      </c>
      <c r="G173" s="89">
        <f t="shared" si="20"/>
        <v>-1602.0620000000001</v>
      </c>
      <c r="H173" s="89">
        <f t="shared" si="20"/>
        <v>-2683.1639999999998</v>
      </c>
      <c r="I173" s="89">
        <f t="shared" si="20"/>
        <v>-2432.8040000000001</v>
      </c>
      <c r="J173" s="86"/>
      <c r="K173" s="6"/>
      <c r="L173" s="6"/>
      <c r="M173" s="6"/>
      <c r="N173" s="6"/>
      <c r="O173" s="6"/>
      <c r="P173" s="6"/>
      <c r="Q173" s="6"/>
      <c r="R173" s="6"/>
      <c r="S173" s="6"/>
      <c r="T173" s="6"/>
      <c r="U173" s="6"/>
      <c r="V173" s="6"/>
      <c r="W173" s="6"/>
      <c r="X173" s="6"/>
      <c r="Y173" s="6"/>
      <c r="Z173" s="6"/>
      <c r="AA173" s="6"/>
      <c r="AB173" s="6"/>
      <c r="AC173" s="6"/>
      <c r="AD173" s="6"/>
      <c r="AE173" s="6"/>
      <c r="AF173" s="6"/>
    </row>
    <row r="174" spans="1:32" ht="12">
      <c r="A174" s="4"/>
      <c r="B174" s="34" t="s">
        <v>123</v>
      </c>
      <c r="C174" s="93">
        <f>-0.38/2.47105</f>
        <v>-0.15378078144918153</v>
      </c>
      <c r="D174" s="88">
        <f t="shared" ref="D174:I174" si="21">$C174*D163</f>
        <v>-1478.1733999999999</v>
      </c>
      <c r="E174" s="89">
        <f t="shared" si="21"/>
        <v>-1863.3717999999999</v>
      </c>
      <c r="F174" s="89">
        <f t="shared" si="21"/>
        <v>-2444.7452000000003</v>
      </c>
      <c r="G174" s="89">
        <f t="shared" si="21"/>
        <v>-3536.3902000000003</v>
      </c>
      <c r="H174" s="89">
        <f t="shared" si="21"/>
        <v>-5886.3557999999994</v>
      </c>
      <c r="I174" s="89">
        <f t="shared" si="21"/>
        <v>-6022.6427999999996</v>
      </c>
      <c r="J174" s="86"/>
      <c r="K174" s="6"/>
      <c r="L174" s="6"/>
      <c r="M174" s="6"/>
      <c r="N174" s="6"/>
      <c r="O174" s="6"/>
      <c r="P174" s="6"/>
      <c r="Q174" s="6"/>
      <c r="R174" s="6"/>
      <c r="S174" s="6"/>
      <c r="T174" s="6"/>
      <c r="U174" s="6"/>
      <c r="V174" s="6"/>
      <c r="W174" s="6"/>
      <c r="X174" s="6"/>
      <c r="Y174" s="6"/>
      <c r="Z174" s="6"/>
      <c r="AA174" s="6"/>
      <c r="AB174" s="6"/>
      <c r="AC174" s="6"/>
      <c r="AD174" s="6"/>
      <c r="AE174" s="6"/>
      <c r="AF174" s="6"/>
    </row>
    <row r="175" spans="1:32" ht="12">
      <c r="A175" s="4"/>
      <c r="B175" s="94" t="s">
        <v>124</v>
      </c>
      <c r="C175" s="95">
        <f>-1.01/2.47105</f>
        <v>-0.40873312964124564</v>
      </c>
      <c r="D175" s="90">
        <f t="shared" ref="D175:I175" si="22">$C175*D164</f>
        <v>-3011.4261000000006</v>
      </c>
      <c r="E175" s="91">
        <f t="shared" si="22"/>
        <v>-3691.9034999999999</v>
      </c>
      <c r="F175" s="91">
        <f t="shared" si="22"/>
        <v>-2318.5863000000004</v>
      </c>
      <c r="G175" s="91">
        <f t="shared" si="22"/>
        <v>-2653.3003000000003</v>
      </c>
      <c r="H175" s="91">
        <f t="shared" si="22"/>
        <v>0</v>
      </c>
      <c r="I175" s="91">
        <f t="shared" si="22"/>
        <v>-2306.1330000000003</v>
      </c>
      <c r="J175" s="86"/>
      <c r="K175" s="6"/>
      <c r="L175" s="6"/>
      <c r="M175" s="6"/>
      <c r="N175" s="6"/>
      <c r="O175" s="6"/>
      <c r="P175" s="6"/>
      <c r="Q175" s="6"/>
      <c r="R175" s="6"/>
      <c r="S175" s="6"/>
      <c r="T175" s="6"/>
      <c r="U175" s="6"/>
      <c r="V175" s="6"/>
      <c r="W175" s="6"/>
      <c r="X175" s="6"/>
      <c r="Y175" s="6"/>
      <c r="Z175" s="6"/>
      <c r="AA175" s="6"/>
      <c r="AB175" s="6"/>
      <c r="AC175" s="6"/>
      <c r="AD175" s="6"/>
      <c r="AE175" s="6"/>
      <c r="AF175" s="6"/>
    </row>
    <row r="176" spans="1:32" ht="12">
      <c r="A176" s="4"/>
      <c r="B176" s="34" t="s">
        <v>125</v>
      </c>
      <c r="C176" s="49"/>
      <c r="D176" s="88">
        <f t="shared" ref="D176:I176" si="23">SUM(D170:D171)</f>
        <v>-606607.24417361093</v>
      </c>
      <c r="E176" s="89">
        <f t="shared" si="23"/>
        <v>-611593.46805584559</v>
      </c>
      <c r="F176" s="89">
        <f t="shared" si="23"/>
        <v>-611534.76211804536</v>
      </c>
      <c r="G176" s="89">
        <f t="shared" si="23"/>
        <v>-611361.22501387633</v>
      </c>
      <c r="H176" s="89">
        <f t="shared" si="23"/>
        <v>-611243.54563964764</v>
      </c>
      <c r="I176" s="89">
        <f t="shared" si="23"/>
        <v>-611243.54563964764</v>
      </c>
      <c r="J176" s="86"/>
      <c r="K176" s="6"/>
      <c r="L176" s="6"/>
      <c r="M176" s="6"/>
      <c r="N176" s="6"/>
      <c r="O176" s="6"/>
      <c r="P176" s="6"/>
      <c r="Q176" s="6"/>
      <c r="R176" s="6"/>
      <c r="S176" s="6"/>
      <c r="T176" s="6"/>
      <c r="U176" s="6"/>
      <c r="V176" s="6"/>
      <c r="W176" s="6"/>
      <c r="X176" s="6"/>
      <c r="Y176" s="6"/>
      <c r="Z176" s="6"/>
      <c r="AA176" s="6"/>
      <c r="AB176" s="6"/>
      <c r="AC176" s="6"/>
      <c r="AD176" s="6"/>
      <c r="AE176" s="6"/>
      <c r="AF176" s="6"/>
    </row>
    <row r="177" spans="1:32" ht="12">
      <c r="A177" s="4"/>
      <c r="B177" s="34" t="s">
        <v>126</v>
      </c>
      <c r="C177" s="49"/>
      <c r="D177" s="88">
        <f t="shared" ref="D177:I177" si="24">SUM(D172:D175)</f>
        <v>-13668.105210000002</v>
      </c>
      <c r="E177" s="89">
        <f t="shared" si="24"/>
        <v>-17085.826089999999</v>
      </c>
      <c r="F177" s="89">
        <f t="shared" si="24"/>
        <v>-10772.750190000001</v>
      </c>
      <c r="G177" s="89">
        <f t="shared" si="24"/>
        <v>-12314.844590000001</v>
      </c>
      <c r="H177" s="89">
        <f t="shared" si="24"/>
        <v>-13680.73085</v>
      </c>
      <c r="I177" s="89">
        <f t="shared" si="24"/>
        <v>-16658.156750000002</v>
      </c>
      <c r="J177" s="86"/>
      <c r="K177" s="6"/>
      <c r="L177" s="6"/>
      <c r="M177" s="6"/>
      <c r="N177" s="6"/>
      <c r="O177" s="6"/>
      <c r="P177" s="6"/>
      <c r="Q177" s="6"/>
      <c r="R177" s="6"/>
      <c r="S177" s="6"/>
      <c r="T177" s="6"/>
      <c r="U177" s="6"/>
      <c r="V177" s="6"/>
      <c r="W177" s="6"/>
      <c r="X177" s="6"/>
      <c r="Y177" s="6"/>
      <c r="Z177" s="6"/>
      <c r="AA177" s="6"/>
      <c r="AB177" s="6"/>
      <c r="AC177" s="6"/>
      <c r="AD177" s="6"/>
      <c r="AE177" s="6"/>
      <c r="AF177" s="6"/>
    </row>
    <row r="178" spans="1:32" ht="10.199999999999999">
      <c r="A178" s="6"/>
      <c r="B178" s="6"/>
      <c r="C178" s="6"/>
      <c r="D178" s="20"/>
      <c r="E178" s="20"/>
      <c r="F178" s="20"/>
      <c r="G178" s="20"/>
      <c r="H178" s="20"/>
      <c r="I178" s="20"/>
      <c r="J178" s="6"/>
      <c r="K178" s="6"/>
      <c r="L178" s="6"/>
      <c r="M178" s="6"/>
      <c r="N178" s="6"/>
      <c r="O178" s="6"/>
      <c r="P178" s="6"/>
      <c r="Q178" s="6"/>
      <c r="R178" s="6"/>
      <c r="S178" s="6"/>
      <c r="T178" s="6"/>
      <c r="U178" s="6"/>
      <c r="V178" s="6"/>
      <c r="W178" s="6"/>
      <c r="X178" s="6"/>
      <c r="Y178" s="6"/>
      <c r="Z178" s="6"/>
      <c r="AA178" s="6"/>
      <c r="AB178" s="6"/>
      <c r="AC178" s="6"/>
      <c r="AD178" s="6"/>
      <c r="AE178" s="6"/>
      <c r="AF178" s="6"/>
    </row>
    <row r="179" spans="1:32" ht="12">
      <c r="A179" s="6"/>
      <c r="B179" s="20"/>
      <c r="C179" s="49"/>
      <c r="D179" s="2952" t="s">
        <v>129</v>
      </c>
      <c r="E179" s="2877"/>
      <c r="F179" s="2877"/>
      <c r="G179" s="2877"/>
      <c r="H179" s="2877"/>
      <c r="I179" s="2880"/>
      <c r="J179" s="1461"/>
      <c r="K179" s="6"/>
      <c r="L179" s="6"/>
      <c r="M179" s="6"/>
      <c r="N179" s="6"/>
      <c r="O179" s="6"/>
      <c r="P179" s="6"/>
      <c r="Q179" s="6"/>
      <c r="R179" s="6"/>
      <c r="S179" s="6"/>
      <c r="T179" s="6"/>
      <c r="U179" s="6"/>
      <c r="V179" s="6"/>
      <c r="W179" s="6"/>
      <c r="X179" s="6"/>
      <c r="Y179" s="6"/>
      <c r="Z179" s="6"/>
      <c r="AA179" s="6"/>
      <c r="AB179" s="6"/>
      <c r="AC179" s="6"/>
      <c r="AD179" s="6"/>
      <c r="AE179" s="6"/>
      <c r="AF179" s="6"/>
    </row>
    <row r="180" spans="1:32" ht="12">
      <c r="A180" s="4"/>
      <c r="B180" s="84" t="s">
        <v>118</v>
      </c>
      <c r="C180" s="92" t="s">
        <v>130</v>
      </c>
      <c r="D180" s="92">
        <v>2006</v>
      </c>
      <c r="E180" s="92">
        <v>2010</v>
      </c>
      <c r="F180" s="92">
        <v>2011</v>
      </c>
      <c r="G180" s="92">
        <v>2014</v>
      </c>
      <c r="H180" s="92">
        <v>2016</v>
      </c>
      <c r="I180" s="92">
        <v>2017</v>
      </c>
      <c r="J180" s="1461"/>
      <c r="K180" s="6"/>
      <c r="L180" s="6"/>
      <c r="M180" s="6"/>
      <c r="N180" s="6"/>
      <c r="O180" s="6"/>
      <c r="P180" s="6"/>
      <c r="Q180" s="6"/>
      <c r="R180" s="6"/>
      <c r="S180" s="6"/>
      <c r="T180" s="6"/>
      <c r="U180" s="6"/>
      <c r="V180" s="6"/>
      <c r="W180" s="6"/>
      <c r="X180" s="6"/>
      <c r="Y180" s="6"/>
      <c r="Z180" s="6"/>
      <c r="AA180" s="6"/>
      <c r="AB180" s="6"/>
      <c r="AC180" s="6"/>
      <c r="AD180" s="6"/>
      <c r="AE180" s="6"/>
      <c r="AF180" s="6"/>
    </row>
    <row r="181" spans="1:32" ht="12">
      <c r="A181" s="4"/>
      <c r="B181" s="34" t="s">
        <v>119</v>
      </c>
      <c r="C181" s="96">
        <f>0.00747375141244849/2.47105</f>
        <v>3.0245245593769816E-3</v>
      </c>
      <c r="D181" s="86">
        <f t="shared" ref="D181:I181" si="25">$C181*D159</f>
        <v>49.640656881482876</v>
      </c>
      <c r="E181" s="87">
        <f t="shared" si="25"/>
        <v>49.664871836059199</v>
      </c>
      <c r="F181" s="87">
        <f t="shared" si="25"/>
        <v>49.656644215851287</v>
      </c>
      <c r="G181" s="87">
        <f t="shared" si="25"/>
        <v>49.629423494816891</v>
      </c>
      <c r="H181" s="87">
        <f t="shared" si="25"/>
        <v>49.617787202160784</v>
      </c>
      <c r="I181" s="87">
        <f t="shared" si="25"/>
        <v>49.617787202160784</v>
      </c>
      <c r="J181" s="86"/>
      <c r="K181" s="6"/>
      <c r="L181" s="6"/>
      <c r="M181" s="6"/>
      <c r="N181" s="6"/>
      <c r="O181" s="6"/>
      <c r="P181" s="6"/>
      <c r="Q181" s="6"/>
      <c r="R181" s="6"/>
      <c r="S181" s="6"/>
      <c r="T181" s="6"/>
      <c r="U181" s="6"/>
      <c r="V181" s="6"/>
      <c r="W181" s="6"/>
      <c r="X181" s="6"/>
      <c r="Y181" s="6"/>
      <c r="Z181" s="6"/>
      <c r="AA181" s="6"/>
      <c r="AB181" s="6"/>
      <c r="AC181" s="6"/>
      <c r="AD181" s="6"/>
      <c r="AE181" s="6"/>
      <c r="AF181" s="6"/>
    </row>
    <row r="182" spans="1:32" ht="12">
      <c r="A182" s="4"/>
      <c r="B182" s="34" t="s">
        <v>120</v>
      </c>
      <c r="C182" s="96">
        <f>0.147994684096754/2.47105</f>
        <v>5.989141623874629E-2</v>
      </c>
      <c r="D182" s="88">
        <f t="shared" ref="D182:I182" si="26">$C182*D160</f>
        <v>10862.203035934343</v>
      </c>
      <c r="E182" s="89">
        <f t="shared" si="26"/>
        <v>10959.089231572832</v>
      </c>
      <c r="F182" s="89">
        <f t="shared" si="26"/>
        <v>10958.105806941929</v>
      </c>
      <c r="G182" s="89">
        <f t="shared" si="26"/>
        <v>10955.256180933553</v>
      </c>
      <c r="H182" s="89">
        <f t="shared" si="26"/>
        <v>10953.188683787408</v>
      </c>
      <c r="I182" s="89">
        <f t="shared" si="26"/>
        <v>10953.188683787408</v>
      </c>
      <c r="J182" s="86"/>
      <c r="K182" s="6"/>
      <c r="L182" s="6"/>
      <c r="M182" s="6"/>
      <c r="N182" s="6"/>
      <c r="O182" s="6"/>
      <c r="P182" s="6"/>
      <c r="Q182" s="6"/>
      <c r="R182" s="6"/>
      <c r="S182" s="6"/>
      <c r="T182" s="6"/>
      <c r="U182" s="6"/>
      <c r="V182" s="6"/>
      <c r="W182" s="6"/>
      <c r="X182" s="6"/>
      <c r="Y182" s="6"/>
      <c r="Z182" s="6"/>
      <c r="AA182" s="6"/>
      <c r="AB182" s="6"/>
      <c r="AC182" s="6"/>
      <c r="AD182" s="6"/>
      <c r="AE182" s="6"/>
      <c r="AF182" s="6"/>
    </row>
    <row r="183" spans="1:32" ht="12">
      <c r="A183" s="4"/>
      <c r="B183" s="34" t="s">
        <v>121</v>
      </c>
      <c r="C183" s="96">
        <f t="shared" ref="C183:C186" si="27">0.008/2.47105</f>
        <v>3.2374901357722428E-3</v>
      </c>
      <c r="D183" s="88">
        <f t="shared" ref="D183:I183" si="28">$C183*D161</f>
        <v>42.884880000000003</v>
      </c>
      <c r="E183" s="89">
        <f t="shared" si="28"/>
        <v>57.183120000000002</v>
      </c>
      <c r="F183" s="89">
        <f t="shared" si="28"/>
        <v>33.206319999999998</v>
      </c>
      <c r="G183" s="89">
        <f t="shared" si="28"/>
        <v>32.569520000000004</v>
      </c>
      <c r="H183" s="89">
        <f t="shared" si="28"/>
        <v>36.804400000000008</v>
      </c>
      <c r="I183" s="89">
        <f t="shared" si="28"/>
        <v>42.459600000000002</v>
      </c>
      <c r="J183" s="86"/>
      <c r="K183" s="6"/>
      <c r="L183" s="6"/>
      <c r="M183" s="6"/>
      <c r="N183" s="6"/>
      <c r="O183" s="6"/>
      <c r="P183" s="6"/>
      <c r="Q183" s="6"/>
      <c r="R183" s="6"/>
      <c r="S183" s="6"/>
      <c r="T183" s="6"/>
      <c r="U183" s="6"/>
      <c r="V183" s="6"/>
      <c r="W183" s="6"/>
      <c r="X183" s="6"/>
      <c r="Y183" s="6"/>
      <c r="Z183" s="6"/>
      <c r="AA183" s="6"/>
      <c r="AB183" s="6"/>
      <c r="AC183" s="6"/>
      <c r="AD183" s="6"/>
      <c r="AE183" s="6"/>
      <c r="AF183" s="6"/>
    </row>
    <row r="184" spans="1:32" ht="12">
      <c r="A184" s="4"/>
      <c r="B184" s="34" t="s">
        <v>122</v>
      </c>
      <c r="C184" s="96">
        <f t="shared" si="27"/>
        <v>3.2374901357722428E-3</v>
      </c>
      <c r="D184" s="88">
        <f t="shared" ref="D184:I184" si="29">$C184*D162</f>
        <v>23.439040000000002</v>
      </c>
      <c r="E184" s="89">
        <f t="shared" si="29"/>
        <v>26.1036</v>
      </c>
      <c r="F184" s="89">
        <f t="shared" si="29"/>
        <v>10.16648</v>
      </c>
      <c r="G184" s="89">
        <f t="shared" si="29"/>
        <v>11.65136</v>
      </c>
      <c r="H184" s="89">
        <f t="shared" si="29"/>
        <v>19.513919999999999</v>
      </c>
      <c r="I184" s="89">
        <f t="shared" si="29"/>
        <v>17.69312</v>
      </c>
      <c r="J184" s="86"/>
      <c r="K184" s="6"/>
      <c r="L184" s="6"/>
      <c r="M184" s="6"/>
      <c r="N184" s="6"/>
      <c r="O184" s="6"/>
      <c r="P184" s="6"/>
      <c r="Q184" s="6"/>
      <c r="R184" s="6"/>
      <c r="S184" s="6"/>
      <c r="T184" s="6"/>
      <c r="U184" s="6"/>
      <c r="V184" s="6"/>
      <c r="W184" s="6"/>
      <c r="X184" s="6"/>
      <c r="Y184" s="6"/>
      <c r="Z184" s="6"/>
      <c r="AA184" s="6"/>
      <c r="AB184" s="6"/>
      <c r="AC184" s="6"/>
      <c r="AD184" s="6"/>
      <c r="AE184" s="6"/>
      <c r="AF184" s="6"/>
    </row>
    <row r="185" spans="1:32" ht="12">
      <c r="A185" s="4"/>
      <c r="B185" s="34" t="s">
        <v>123</v>
      </c>
      <c r="C185" s="96">
        <f t="shared" si="27"/>
        <v>3.2374901357722428E-3</v>
      </c>
      <c r="D185" s="88">
        <f t="shared" ref="D185:I185" si="30">$C185*D163</f>
        <v>31.119440000000001</v>
      </c>
      <c r="E185" s="89">
        <f t="shared" si="30"/>
        <v>39.228880000000004</v>
      </c>
      <c r="F185" s="89">
        <f t="shared" si="30"/>
        <v>51.468320000000006</v>
      </c>
      <c r="G185" s="89">
        <f t="shared" si="30"/>
        <v>74.450320000000005</v>
      </c>
      <c r="H185" s="89">
        <f t="shared" si="30"/>
        <v>123.92327999999999</v>
      </c>
      <c r="I185" s="89">
        <f t="shared" si="30"/>
        <v>126.79248</v>
      </c>
      <c r="J185" s="86"/>
      <c r="K185" s="6"/>
      <c r="L185" s="6"/>
      <c r="M185" s="6"/>
      <c r="N185" s="6"/>
      <c r="O185" s="6"/>
      <c r="P185" s="6"/>
      <c r="Q185" s="6"/>
      <c r="R185" s="6"/>
      <c r="S185" s="6"/>
      <c r="T185" s="6"/>
      <c r="U185" s="6"/>
      <c r="V185" s="6"/>
      <c r="W185" s="6"/>
      <c r="X185" s="6"/>
      <c r="Y185" s="6"/>
      <c r="Z185" s="6"/>
      <c r="AA185" s="6"/>
      <c r="AB185" s="6"/>
      <c r="AC185" s="6"/>
      <c r="AD185" s="6"/>
      <c r="AE185" s="6"/>
      <c r="AF185" s="6"/>
    </row>
    <row r="186" spans="1:32" ht="12">
      <c r="A186" s="4"/>
      <c r="B186" s="94" t="s">
        <v>124</v>
      </c>
      <c r="C186" s="97">
        <f t="shared" si="27"/>
        <v>3.2374901357722428E-3</v>
      </c>
      <c r="D186" s="90">
        <f t="shared" ref="D186:I186" si="31">$C186*D164</f>
        <v>23.852880000000003</v>
      </c>
      <c r="E186" s="91">
        <f t="shared" si="31"/>
        <v>29.242800000000003</v>
      </c>
      <c r="F186" s="91">
        <f t="shared" si="31"/>
        <v>18.365040000000004</v>
      </c>
      <c r="G186" s="91">
        <f t="shared" si="31"/>
        <v>21.016240000000003</v>
      </c>
      <c r="H186" s="91">
        <f t="shared" si="31"/>
        <v>0</v>
      </c>
      <c r="I186" s="91">
        <f t="shared" si="31"/>
        <v>18.266400000000001</v>
      </c>
      <c r="J186" s="86"/>
      <c r="K186" s="6"/>
      <c r="L186" s="6"/>
      <c r="M186" s="6"/>
      <c r="N186" s="6"/>
      <c r="O186" s="6"/>
      <c r="P186" s="6"/>
      <c r="Q186" s="6"/>
      <c r="R186" s="6"/>
      <c r="S186" s="6"/>
      <c r="T186" s="6"/>
      <c r="U186" s="6"/>
      <c r="V186" s="6"/>
      <c r="W186" s="6"/>
      <c r="X186" s="6"/>
      <c r="Y186" s="6"/>
      <c r="Z186" s="6"/>
      <c r="AA186" s="6"/>
      <c r="AB186" s="6"/>
      <c r="AC186" s="6"/>
      <c r="AD186" s="6"/>
      <c r="AE186" s="6"/>
      <c r="AF186" s="6"/>
    </row>
    <row r="187" spans="1:32" ht="12">
      <c r="A187" s="4"/>
      <c r="B187" s="34" t="s">
        <v>125</v>
      </c>
      <c r="C187" s="49"/>
      <c r="D187" s="88">
        <f t="shared" ref="D187:I187" si="32">SUM(D181:D182)</f>
        <v>10911.843692815826</v>
      </c>
      <c r="E187" s="89">
        <f t="shared" si="32"/>
        <v>11008.754103408892</v>
      </c>
      <c r="F187" s="89">
        <f t="shared" si="32"/>
        <v>11007.76245115778</v>
      </c>
      <c r="G187" s="89">
        <f t="shared" si="32"/>
        <v>11004.885604428369</v>
      </c>
      <c r="H187" s="89">
        <f t="shared" si="32"/>
        <v>11002.806470989568</v>
      </c>
      <c r="I187" s="89">
        <f t="shared" si="32"/>
        <v>11002.806470989568</v>
      </c>
      <c r="J187" s="86"/>
      <c r="K187" s="6"/>
      <c r="L187" s="6"/>
      <c r="M187" s="6"/>
      <c r="N187" s="6"/>
      <c r="O187" s="6"/>
      <c r="P187" s="6"/>
      <c r="Q187" s="6"/>
      <c r="R187" s="6"/>
      <c r="S187" s="6"/>
      <c r="T187" s="6"/>
      <c r="U187" s="6"/>
      <c r="V187" s="6"/>
      <c r="W187" s="6"/>
      <c r="X187" s="6"/>
      <c r="Y187" s="6"/>
      <c r="Z187" s="6"/>
      <c r="AA187" s="6"/>
      <c r="AB187" s="6"/>
      <c r="AC187" s="6"/>
      <c r="AD187" s="6"/>
      <c r="AE187" s="6"/>
      <c r="AF187" s="6"/>
    </row>
    <row r="188" spans="1:32" ht="12">
      <c r="A188" s="4"/>
      <c r="B188" s="34" t="s">
        <v>126</v>
      </c>
      <c r="C188" s="49"/>
      <c r="D188" s="88">
        <f t="shared" ref="D188:I188" si="33">SUM(D183:D186)</f>
        <v>121.29624</v>
      </c>
      <c r="E188" s="89">
        <f t="shared" si="33"/>
        <v>151.75839999999999</v>
      </c>
      <c r="F188" s="89">
        <f t="shared" si="33"/>
        <v>113.20616000000001</v>
      </c>
      <c r="G188" s="89">
        <f t="shared" si="33"/>
        <v>139.68744000000001</v>
      </c>
      <c r="H188" s="89">
        <f t="shared" si="33"/>
        <v>180.24160000000001</v>
      </c>
      <c r="I188" s="89">
        <f t="shared" si="33"/>
        <v>205.2116</v>
      </c>
      <c r="J188" s="86"/>
      <c r="K188" s="6"/>
      <c r="L188" s="6"/>
      <c r="M188" s="6"/>
      <c r="N188" s="6"/>
      <c r="O188" s="6"/>
      <c r="P188" s="6"/>
      <c r="Q188" s="6"/>
      <c r="R188" s="6"/>
      <c r="S188" s="6"/>
      <c r="T188" s="6"/>
      <c r="U188" s="6"/>
      <c r="V188" s="6"/>
      <c r="W188" s="6"/>
      <c r="X188" s="6"/>
      <c r="Y188" s="6"/>
      <c r="Z188" s="6"/>
      <c r="AA188" s="6"/>
      <c r="AB188" s="6"/>
      <c r="AC188" s="6"/>
      <c r="AD188" s="6"/>
      <c r="AE188" s="6"/>
      <c r="AF188" s="6"/>
    </row>
    <row r="189" spans="1:32" ht="10.199999999999999">
      <c r="A189" s="6"/>
      <c r="B189" s="6"/>
      <c r="C189" s="6"/>
      <c r="D189" s="20"/>
      <c r="E189" s="20"/>
      <c r="F189" s="20"/>
      <c r="G189" s="20"/>
      <c r="H189" s="20"/>
      <c r="I189" s="20"/>
      <c r="J189" s="6"/>
      <c r="K189" s="6"/>
      <c r="L189" s="6"/>
      <c r="M189" s="6"/>
      <c r="N189" s="6"/>
      <c r="O189" s="6"/>
      <c r="P189" s="6"/>
      <c r="Q189" s="6"/>
      <c r="R189" s="6"/>
      <c r="S189" s="6"/>
      <c r="T189" s="6"/>
      <c r="U189" s="6"/>
      <c r="V189" s="6"/>
      <c r="W189" s="6"/>
      <c r="X189" s="6"/>
      <c r="Y189" s="6"/>
      <c r="Z189" s="6"/>
      <c r="AA189" s="6"/>
      <c r="AB189" s="6"/>
      <c r="AC189" s="6"/>
      <c r="AD189" s="6"/>
      <c r="AE189" s="6"/>
      <c r="AF189" s="6"/>
    </row>
    <row r="190" spans="1:32" ht="12">
      <c r="A190" s="6"/>
      <c r="B190" s="20"/>
      <c r="C190" s="49"/>
      <c r="D190" s="2952" t="s">
        <v>131</v>
      </c>
      <c r="E190" s="2877"/>
      <c r="F190" s="2877"/>
      <c r="G190" s="2877"/>
      <c r="H190" s="2877"/>
      <c r="I190" s="2880"/>
      <c r="J190" s="1461"/>
      <c r="K190" s="6"/>
      <c r="L190" s="6"/>
      <c r="M190" s="6"/>
      <c r="N190" s="6"/>
      <c r="O190" s="6"/>
      <c r="P190" s="6"/>
      <c r="Q190" s="6"/>
      <c r="R190" s="6"/>
      <c r="S190" s="6"/>
      <c r="T190" s="6"/>
      <c r="U190" s="6"/>
      <c r="V190" s="6"/>
      <c r="W190" s="6"/>
      <c r="X190" s="6"/>
      <c r="Y190" s="6"/>
      <c r="Z190" s="6"/>
      <c r="AA190" s="6"/>
      <c r="AB190" s="6"/>
      <c r="AC190" s="6"/>
      <c r="AD190" s="6"/>
      <c r="AE190" s="6"/>
      <c r="AF190" s="6"/>
    </row>
    <row r="191" spans="1:32" ht="12">
      <c r="A191" s="4"/>
      <c r="B191" s="98" t="s">
        <v>132</v>
      </c>
      <c r="C191" s="49"/>
      <c r="D191" s="92">
        <v>2006</v>
      </c>
      <c r="E191" s="92">
        <v>2010</v>
      </c>
      <c r="F191" s="92">
        <v>2011</v>
      </c>
      <c r="G191" s="92">
        <v>2014</v>
      </c>
      <c r="H191" s="92">
        <v>2016</v>
      </c>
      <c r="I191" s="92">
        <v>2017</v>
      </c>
      <c r="J191" s="1461"/>
      <c r="K191" s="6"/>
      <c r="L191" s="6"/>
      <c r="M191" s="6"/>
      <c r="N191" s="6"/>
      <c r="O191" s="6"/>
      <c r="P191" s="6"/>
      <c r="Q191" s="6"/>
      <c r="R191" s="6"/>
      <c r="S191" s="6"/>
      <c r="T191" s="6"/>
      <c r="U191" s="6"/>
      <c r="V191" s="6"/>
      <c r="W191" s="6"/>
      <c r="X191" s="6"/>
      <c r="Y191" s="6"/>
      <c r="Z191" s="6"/>
      <c r="AA191" s="6"/>
      <c r="AB191" s="6"/>
      <c r="AC191" s="6"/>
      <c r="AD191" s="6"/>
      <c r="AE191" s="6"/>
      <c r="AF191" s="6"/>
    </row>
    <row r="192" spans="1:32" ht="24">
      <c r="A192" s="4"/>
      <c r="B192" s="99" t="s">
        <v>133</v>
      </c>
      <c r="C192" s="49"/>
      <c r="D192" s="100">
        <f t="shared" ref="D192:E192" si="34">0.017961122569791*1000000</f>
        <v>17961.122569790998</v>
      </c>
      <c r="E192" s="101">
        <f t="shared" si="34"/>
        <v>17961.122569790998</v>
      </c>
      <c r="F192" s="101">
        <f t="shared" ref="F192:I192" si="35">0.0123991749336441*1000000</f>
        <v>12399.174933644101</v>
      </c>
      <c r="G192" s="101">
        <f t="shared" si="35"/>
        <v>12399.174933644101</v>
      </c>
      <c r="H192" s="101">
        <f t="shared" si="35"/>
        <v>12399.174933644101</v>
      </c>
      <c r="I192" s="101">
        <f t="shared" si="35"/>
        <v>12399.174933644101</v>
      </c>
      <c r="J192" s="100"/>
      <c r="K192" s="6"/>
      <c r="L192" s="6"/>
      <c r="M192" s="6"/>
      <c r="N192" s="6"/>
      <c r="O192" s="6"/>
      <c r="P192" s="6"/>
      <c r="Q192" s="6"/>
      <c r="R192" s="6"/>
      <c r="S192" s="6"/>
      <c r="T192" s="6"/>
      <c r="U192" s="6"/>
      <c r="V192" s="6"/>
      <c r="W192" s="6"/>
      <c r="X192" s="6"/>
      <c r="Y192" s="6"/>
      <c r="Z192" s="6"/>
      <c r="AA192" s="6"/>
      <c r="AB192" s="6"/>
      <c r="AC192" s="6"/>
      <c r="AD192" s="6"/>
      <c r="AE192" s="6"/>
      <c r="AF192" s="6"/>
    </row>
    <row r="193" spans="1:32" ht="12">
      <c r="A193" s="4"/>
      <c r="B193" s="34" t="s">
        <v>134</v>
      </c>
      <c r="C193" s="49"/>
      <c r="D193" s="102">
        <f t="shared" ref="D193:E193" si="36">0.000443677622843492*1000000</f>
        <v>443.67762284349203</v>
      </c>
      <c r="E193" s="103">
        <f t="shared" si="36"/>
        <v>443.67762284349203</v>
      </c>
      <c r="F193" s="103">
        <f t="shared" ref="F193:I193" si="37">0.000406051384004542*1000000</f>
        <v>406.051384004542</v>
      </c>
      <c r="G193" s="103">
        <f t="shared" si="37"/>
        <v>406.051384004542</v>
      </c>
      <c r="H193" s="103">
        <f t="shared" si="37"/>
        <v>406.051384004542</v>
      </c>
      <c r="I193" s="103">
        <f t="shared" si="37"/>
        <v>406.051384004542</v>
      </c>
      <c r="J193" s="2807"/>
      <c r="K193" s="6"/>
      <c r="L193" s="6"/>
      <c r="M193" s="6"/>
      <c r="N193" s="6"/>
      <c r="O193" s="6"/>
      <c r="P193" s="6"/>
      <c r="Q193" s="6"/>
      <c r="R193" s="6"/>
      <c r="S193" s="6"/>
      <c r="T193" s="6"/>
      <c r="U193" s="6"/>
      <c r="V193" s="6"/>
      <c r="W193" s="6"/>
      <c r="X193" s="6"/>
      <c r="Y193" s="6"/>
      <c r="Z193" s="6"/>
      <c r="AA193" s="6"/>
      <c r="AB193" s="6"/>
      <c r="AC193" s="6"/>
      <c r="AD193" s="6"/>
      <c r="AE193" s="6"/>
      <c r="AF193" s="6"/>
    </row>
    <row r="194" spans="1:32" ht="12">
      <c r="A194" s="4"/>
      <c r="B194" s="34" t="s">
        <v>135</v>
      </c>
      <c r="C194" s="49"/>
      <c r="D194" s="102">
        <v>0</v>
      </c>
      <c r="E194" s="103">
        <v>0</v>
      </c>
      <c r="F194" s="103">
        <v>0</v>
      </c>
      <c r="G194" s="103">
        <v>0</v>
      </c>
      <c r="H194" s="103">
        <v>0</v>
      </c>
      <c r="I194" s="103">
        <v>0</v>
      </c>
      <c r="J194" s="2807"/>
      <c r="K194" s="6"/>
      <c r="L194" s="6"/>
      <c r="M194" s="6"/>
      <c r="N194" s="6"/>
      <c r="O194" s="6"/>
      <c r="P194" s="6"/>
      <c r="Q194" s="6"/>
      <c r="R194" s="6"/>
      <c r="S194" s="6"/>
      <c r="T194" s="6"/>
      <c r="U194" s="6"/>
      <c r="V194" s="6"/>
      <c r="W194" s="6"/>
      <c r="X194" s="6"/>
      <c r="Y194" s="6"/>
      <c r="Z194" s="6"/>
      <c r="AA194" s="6"/>
      <c r="AB194" s="6"/>
      <c r="AC194" s="6"/>
      <c r="AD194" s="6"/>
      <c r="AE194" s="6"/>
      <c r="AF194" s="6"/>
    </row>
    <row r="195" spans="1:32" ht="12">
      <c r="A195" s="4"/>
      <c r="B195" s="34" t="s">
        <v>136</v>
      </c>
      <c r="C195" s="49"/>
      <c r="D195" s="102">
        <f t="shared" ref="D195:E195" si="38">0.0175174449469475*1000000</f>
        <v>17517.4449469475</v>
      </c>
      <c r="E195" s="103">
        <f t="shared" si="38"/>
        <v>17517.4449469475</v>
      </c>
      <c r="F195" s="103">
        <f t="shared" ref="F195:I195" si="39">0.0119931235496396*1000000</f>
        <v>11993.1235496396</v>
      </c>
      <c r="G195" s="103">
        <f t="shared" si="39"/>
        <v>11993.1235496396</v>
      </c>
      <c r="H195" s="103">
        <f t="shared" si="39"/>
        <v>11993.1235496396</v>
      </c>
      <c r="I195" s="103">
        <f t="shared" si="39"/>
        <v>11993.1235496396</v>
      </c>
      <c r="J195" s="2807"/>
      <c r="K195" s="6"/>
      <c r="L195" s="6"/>
      <c r="M195" s="6"/>
      <c r="N195" s="6"/>
      <c r="O195" s="6"/>
      <c r="P195" s="6"/>
      <c r="Q195" s="6"/>
      <c r="R195" s="6"/>
      <c r="S195" s="6"/>
      <c r="T195" s="6"/>
      <c r="U195" s="6"/>
      <c r="V195" s="6"/>
      <c r="W195" s="6"/>
      <c r="X195" s="6"/>
      <c r="Y195" s="6"/>
      <c r="Z195" s="6"/>
      <c r="AA195" s="6"/>
      <c r="AB195" s="6"/>
      <c r="AC195" s="6"/>
      <c r="AD195" s="6"/>
      <c r="AE195" s="6"/>
      <c r="AF195" s="6"/>
    </row>
    <row r="196" spans="1:32" ht="24">
      <c r="A196" s="4"/>
      <c r="B196" s="99" t="s">
        <v>137</v>
      </c>
      <c r="C196" s="49"/>
      <c r="D196" s="104">
        <f>-0.00623927632943711*1000000</f>
        <v>-6239.2763294371098</v>
      </c>
      <c r="E196" s="105">
        <f>-0.00624327632943711*1000000</f>
        <v>-6243.2763294371107</v>
      </c>
      <c r="F196" s="105">
        <f>-0.00240616503570155*1000000</f>
        <v>-2406.1650357015496</v>
      </c>
      <c r="G196" s="105">
        <f>-0.00240916503570155*1000000</f>
        <v>-2409.1650357015496</v>
      </c>
      <c r="H196" s="105">
        <f>-0.00241116503570155*1000000</f>
        <v>-2411.1650357015501</v>
      </c>
      <c r="I196" s="105">
        <f>-0.00241216503570155*1000000</f>
        <v>-2412.1650357015501</v>
      </c>
      <c r="J196" s="2808"/>
      <c r="K196" s="6"/>
      <c r="L196" s="6"/>
      <c r="M196" s="6"/>
      <c r="N196" s="6"/>
      <c r="O196" s="6"/>
      <c r="P196" s="6"/>
      <c r="Q196" s="6"/>
      <c r="R196" s="6"/>
      <c r="S196" s="6"/>
      <c r="T196" s="6"/>
      <c r="U196" s="6"/>
      <c r="V196" s="6"/>
      <c r="W196" s="6"/>
      <c r="X196" s="6"/>
      <c r="Y196" s="6"/>
      <c r="Z196" s="6"/>
      <c r="AA196" s="6"/>
      <c r="AB196" s="6"/>
      <c r="AC196" s="6"/>
      <c r="AD196" s="6"/>
      <c r="AE196" s="6"/>
      <c r="AF196" s="6"/>
    </row>
    <row r="197" spans="1:32" ht="12">
      <c r="A197" s="4"/>
      <c r="B197" s="34" t="s">
        <v>134</v>
      </c>
      <c r="C197" s="49"/>
      <c r="D197" s="106">
        <v>-5.8802495598014046E-3</v>
      </c>
      <c r="E197" s="107">
        <f>-0.00588424955980141*1000000</f>
        <v>-5884.2495598014102</v>
      </c>
      <c r="F197" s="107">
        <f>-0.00233277934304636*1000000</f>
        <v>-2332.7793430463603</v>
      </c>
      <c r="G197" s="107">
        <f>-0.00233577934304636*1000000</f>
        <v>-2335.7793430463598</v>
      </c>
      <c r="H197" s="107">
        <f>-0.00233777934304636*1000000</f>
        <v>-2337.7793430463598</v>
      </c>
      <c r="I197" s="107">
        <f>-0.00233877934304636*1000000</f>
        <v>-2338.7793430463598</v>
      </c>
      <c r="J197" s="2809"/>
      <c r="K197" s="6"/>
      <c r="L197" s="6"/>
      <c r="M197" s="6"/>
      <c r="N197" s="6"/>
      <c r="O197" s="6"/>
      <c r="P197" s="6"/>
      <c r="Q197" s="6"/>
      <c r="R197" s="6"/>
      <c r="S197" s="6"/>
      <c r="T197" s="6"/>
      <c r="U197" s="6"/>
      <c r="V197" s="6"/>
      <c r="W197" s="6"/>
      <c r="X197" s="6"/>
      <c r="Y197" s="6"/>
      <c r="Z197" s="6"/>
      <c r="AA197" s="6"/>
      <c r="AB197" s="6"/>
      <c r="AC197" s="6"/>
      <c r="AD197" s="6"/>
      <c r="AE197" s="6"/>
      <c r="AF197" s="6"/>
    </row>
    <row r="198" spans="1:32" ht="12">
      <c r="A198" s="4"/>
      <c r="B198" s="34" t="s">
        <v>135</v>
      </c>
      <c r="C198" s="49"/>
      <c r="D198" s="106">
        <v>0</v>
      </c>
      <c r="E198" s="107">
        <v>0</v>
      </c>
      <c r="F198" s="107">
        <v>0</v>
      </c>
      <c r="G198" s="107">
        <v>0</v>
      </c>
      <c r="H198" s="107">
        <v>0</v>
      </c>
      <c r="I198" s="107">
        <v>0</v>
      </c>
      <c r="J198" s="2809"/>
      <c r="K198" s="6"/>
      <c r="L198" s="6"/>
      <c r="M198" s="6"/>
      <c r="N198" s="6"/>
      <c r="O198" s="6"/>
      <c r="P198" s="6"/>
      <c r="Q198" s="6"/>
      <c r="R198" s="6"/>
      <c r="S198" s="6"/>
      <c r="T198" s="6"/>
      <c r="U198" s="6"/>
      <c r="V198" s="6"/>
      <c r="W198" s="6"/>
      <c r="X198" s="6"/>
      <c r="Y198" s="6"/>
      <c r="Z198" s="6"/>
      <c r="AA198" s="6"/>
      <c r="AB198" s="6"/>
      <c r="AC198" s="6"/>
      <c r="AD198" s="6"/>
      <c r="AE198" s="6"/>
      <c r="AF198" s="6"/>
    </row>
    <row r="199" spans="1:32" ht="12">
      <c r="A199" s="4"/>
      <c r="B199" s="34" t="s">
        <v>136</v>
      </c>
      <c r="C199" s="49"/>
      <c r="D199" s="106">
        <f t="shared" ref="D199:E199" si="40">-0.000359026769635702*1000000</f>
        <v>-359.02676963570201</v>
      </c>
      <c r="E199" s="107">
        <f t="shared" si="40"/>
        <v>-359.02676963570201</v>
      </c>
      <c r="F199" s="107">
        <f t="shared" ref="F199:I199" si="41">-0.0000733856926551827*1000000</f>
        <v>-73.385692655182694</v>
      </c>
      <c r="G199" s="107">
        <f t="shared" si="41"/>
        <v>-73.385692655182694</v>
      </c>
      <c r="H199" s="107">
        <f t="shared" si="41"/>
        <v>-73.385692655182694</v>
      </c>
      <c r="I199" s="107">
        <f t="shared" si="41"/>
        <v>-73.385692655182694</v>
      </c>
      <c r="J199" s="2809"/>
      <c r="K199" s="6"/>
      <c r="L199" s="6"/>
      <c r="M199" s="6"/>
      <c r="N199" s="6"/>
      <c r="O199" s="6"/>
      <c r="P199" s="6"/>
      <c r="Q199" s="6"/>
      <c r="R199" s="6"/>
      <c r="S199" s="6"/>
      <c r="T199" s="6"/>
      <c r="U199" s="6"/>
      <c r="V199" s="6"/>
      <c r="W199" s="6"/>
      <c r="X199" s="6"/>
      <c r="Y199" s="6"/>
      <c r="Z199" s="6"/>
      <c r="AA199" s="6"/>
      <c r="AB199" s="6"/>
      <c r="AC199" s="6"/>
      <c r="AD199" s="6"/>
      <c r="AE199" s="6"/>
      <c r="AF199" s="6"/>
    </row>
    <row r="200" spans="1:32" ht="12">
      <c r="A200" s="4"/>
      <c r="B200" s="34" t="s">
        <v>138</v>
      </c>
      <c r="C200" s="49"/>
      <c r="D200" s="88">
        <f t="shared" ref="D200:I200" si="42">D196+D192</f>
        <v>11721.846240353887</v>
      </c>
      <c r="E200" s="89">
        <f t="shared" si="42"/>
        <v>11717.846240353887</v>
      </c>
      <c r="F200" s="89">
        <f t="shared" si="42"/>
        <v>9993.0098979425511</v>
      </c>
      <c r="G200" s="89">
        <f t="shared" si="42"/>
        <v>9990.0098979425511</v>
      </c>
      <c r="H200" s="89">
        <f t="shared" si="42"/>
        <v>9988.0098979425511</v>
      </c>
      <c r="I200" s="89">
        <f t="shared" si="42"/>
        <v>9987.0098979425511</v>
      </c>
      <c r="J200" s="86"/>
      <c r="K200" s="6"/>
      <c r="L200" s="6"/>
      <c r="M200" s="6"/>
      <c r="N200" s="6"/>
      <c r="O200" s="6"/>
      <c r="P200" s="6"/>
      <c r="Q200" s="6"/>
      <c r="R200" s="6"/>
      <c r="S200" s="6"/>
      <c r="T200" s="6"/>
      <c r="U200" s="6"/>
      <c r="V200" s="6"/>
      <c r="W200" s="6"/>
      <c r="X200" s="6"/>
      <c r="Y200" s="6"/>
      <c r="Z200" s="6"/>
      <c r="AA200" s="6"/>
      <c r="AB200" s="6"/>
      <c r="AC200" s="6"/>
      <c r="AD200" s="6"/>
      <c r="AE200" s="6"/>
      <c r="AF200" s="6"/>
    </row>
    <row r="201" spans="1:32" ht="10.199999999999999">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row>
    <row r="202" spans="1:32" ht="10.199999999999999">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row>
    <row r="203" spans="1:32" ht="14.4">
      <c r="A203" s="6"/>
      <c r="B203" s="26" t="s">
        <v>139</v>
      </c>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row>
    <row r="204" spans="1:32" ht="10.199999999999999">
      <c r="A204" s="6"/>
      <c r="B204" s="6"/>
      <c r="C204" s="108"/>
      <c r="D204" s="108"/>
      <c r="E204" s="108"/>
      <c r="F204" s="108"/>
      <c r="G204" s="108"/>
      <c r="H204" s="108"/>
      <c r="I204" s="108"/>
      <c r="J204" s="108"/>
      <c r="K204" s="108"/>
      <c r="L204" s="108"/>
      <c r="M204" s="108"/>
      <c r="N204" s="108"/>
      <c r="O204" s="6"/>
      <c r="P204" s="6"/>
      <c r="Q204" s="6"/>
      <c r="R204" s="6"/>
      <c r="S204" s="6"/>
      <c r="T204" s="6"/>
      <c r="U204" s="6"/>
      <c r="V204" s="6"/>
      <c r="W204" s="6"/>
      <c r="X204" s="6"/>
      <c r="Y204" s="6"/>
      <c r="Z204" s="6"/>
      <c r="AA204" s="6"/>
      <c r="AB204" s="6"/>
      <c r="AC204" s="6"/>
      <c r="AD204" s="6"/>
      <c r="AE204" s="6"/>
      <c r="AF204" s="6"/>
    </row>
    <row r="205" spans="1:32" ht="12">
      <c r="A205" s="6"/>
      <c r="B205" s="109"/>
      <c r="C205" s="2946" t="s">
        <v>140</v>
      </c>
      <c r="D205" s="2912"/>
      <c r="E205" s="2912"/>
      <c r="F205" s="2947"/>
      <c r="G205" s="2949" t="s">
        <v>141</v>
      </c>
      <c r="H205" s="2912"/>
      <c r="I205" s="2912"/>
      <c r="J205" s="2912"/>
      <c r="K205" s="2950" t="s">
        <v>142</v>
      </c>
      <c r="L205" s="2912"/>
      <c r="M205" s="2912"/>
      <c r="N205" s="2912"/>
      <c r="O205" s="2810"/>
      <c r="P205" s="1461"/>
      <c r="Q205" s="6"/>
      <c r="R205" s="6"/>
      <c r="S205" s="6"/>
      <c r="T205" s="6"/>
      <c r="U205" s="6"/>
      <c r="V205" s="6"/>
      <c r="W205" s="6"/>
      <c r="X205" s="6"/>
      <c r="Y205" s="6"/>
      <c r="Z205" s="6"/>
      <c r="AA205" s="6"/>
      <c r="AB205" s="6"/>
      <c r="AC205" s="6"/>
      <c r="AD205" s="6"/>
      <c r="AE205" s="6"/>
      <c r="AF205" s="6"/>
    </row>
    <row r="206" spans="1:32" ht="12">
      <c r="A206" s="4"/>
      <c r="B206" s="110" t="s">
        <v>143</v>
      </c>
      <c r="C206" s="92" t="s">
        <v>144</v>
      </c>
      <c r="D206" s="92" t="s">
        <v>145</v>
      </c>
      <c r="E206" s="92" t="s">
        <v>146</v>
      </c>
      <c r="F206" s="111" t="s">
        <v>147</v>
      </c>
      <c r="G206" s="92">
        <v>2006</v>
      </c>
      <c r="H206" s="92">
        <v>2011</v>
      </c>
      <c r="I206" s="92">
        <v>2014</v>
      </c>
      <c r="J206" s="92">
        <v>2017</v>
      </c>
      <c r="K206" s="92">
        <v>2006</v>
      </c>
      <c r="L206" s="92">
        <v>2011</v>
      </c>
      <c r="M206" s="92">
        <v>2014</v>
      </c>
      <c r="N206" s="112">
        <v>2017</v>
      </c>
      <c r="O206" s="2810"/>
      <c r="P206" s="1461"/>
      <c r="Q206" s="6"/>
      <c r="R206" s="6"/>
      <c r="S206" s="6"/>
      <c r="T206" s="6"/>
      <c r="U206" s="6"/>
      <c r="V206" s="6"/>
      <c r="W206" s="6"/>
      <c r="X206" s="6"/>
      <c r="Y206" s="6"/>
      <c r="Z206" s="6"/>
      <c r="AA206" s="6"/>
      <c r="AB206" s="6"/>
      <c r="AC206" s="6"/>
      <c r="AD206" s="6"/>
      <c r="AE206" s="6"/>
      <c r="AF206" s="6"/>
    </row>
    <row r="207" spans="1:32" ht="12">
      <c r="A207" s="4"/>
      <c r="B207" s="113" t="s">
        <v>148</v>
      </c>
      <c r="C207" s="34" t="s">
        <v>149</v>
      </c>
      <c r="D207" s="114">
        <v>54</v>
      </c>
      <c r="E207" s="49"/>
      <c r="F207" s="115"/>
      <c r="G207" s="89">
        <v>2135.3404</v>
      </c>
      <c r="H207" s="89">
        <v>2144.8393219999998</v>
      </c>
      <c r="I207" s="89">
        <v>2144.8393219999998</v>
      </c>
      <c r="J207" s="89">
        <v>2144.8389999999999</v>
      </c>
      <c r="K207" s="89">
        <f t="shared" ref="K207:N207" si="43">G207*$D207/1000</f>
        <v>115.3083816</v>
      </c>
      <c r="L207" s="89">
        <f t="shared" si="43"/>
        <v>115.821323388</v>
      </c>
      <c r="M207" s="89">
        <f t="shared" si="43"/>
        <v>115.821323388</v>
      </c>
      <c r="N207" s="116">
        <f t="shared" si="43"/>
        <v>115.82130599999999</v>
      </c>
      <c r="O207" s="2810"/>
      <c r="P207" s="86"/>
      <c r="Q207" s="117"/>
      <c r="R207" s="117"/>
      <c r="S207" s="117"/>
      <c r="T207" s="6"/>
      <c r="U207" s="6"/>
      <c r="V207" s="6"/>
      <c r="W207" s="6"/>
      <c r="X207" s="6"/>
      <c r="Y207" s="6"/>
      <c r="Z207" s="6"/>
      <c r="AA207" s="6"/>
      <c r="AB207" s="6"/>
      <c r="AC207" s="6"/>
      <c r="AD207" s="6"/>
      <c r="AE207" s="6"/>
      <c r="AF207" s="6"/>
    </row>
    <row r="208" spans="1:32" ht="12">
      <c r="A208" s="4"/>
      <c r="B208" s="113" t="s">
        <v>148</v>
      </c>
      <c r="C208" s="34" t="s">
        <v>150</v>
      </c>
      <c r="D208" s="114">
        <v>80.3</v>
      </c>
      <c r="E208" s="49"/>
      <c r="F208" s="115"/>
      <c r="G208" s="89">
        <v>5990.6760039999999</v>
      </c>
      <c r="H208" s="89">
        <v>5990.6760039999999</v>
      </c>
      <c r="I208" s="89">
        <v>5990.6760039999999</v>
      </c>
      <c r="J208" s="89">
        <v>5990.6760000000004</v>
      </c>
      <c r="K208" s="89">
        <f t="shared" ref="K208:N208" si="44">G208*$D208/1000</f>
        <v>481.05128312120002</v>
      </c>
      <c r="L208" s="89">
        <f t="shared" si="44"/>
        <v>481.05128312120002</v>
      </c>
      <c r="M208" s="89">
        <f t="shared" si="44"/>
        <v>481.05128312120002</v>
      </c>
      <c r="N208" s="116">
        <f t="shared" si="44"/>
        <v>481.05128279999997</v>
      </c>
      <c r="O208" s="2810"/>
      <c r="P208" s="86"/>
      <c r="Q208" s="117"/>
      <c r="R208" s="117"/>
      <c r="S208" s="117"/>
      <c r="T208" s="6"/>
      <c r="U208" s="6"/>
      <c r="V208" s="6"/>
      <c r="W208" s="6"/>
      <c r="X208" s="6"/>
      <c r="Y208" s="6"/>
      <c r="Z208" s="6"/>
      <c r="AA208" s="6"/>
      <c r="AB208" s="6"/>
      <c r="AC208" s="6"/>
      <c r="AD208" s="6"/>
      <c r="AE208" s="6"/>
      <c r="AF208" s="6"/>
    </row>
    <row r="209" spans="1:32" ht="12">
      <c r="A209" s="4"/>
      <c r="B209" s="113" t="s">
        <v>151</v>
      </c>
      <c r="C209" s="34" t="s">
        <v>149</v>
      </c>
      <c r="D209" s="114">
        <v>84.7</v>
      </c>
      <c r="E209" s="114">
        <v>1.02</v>
      </c>
      <c r="F209" s="115">
        <f t="shared" ref="F209:F210" si="45">E209*44/12</f>
        <v>3.74</v>
      </c>
      <c r="G209" s="89">
        <v>9.4989216869999993</v>
      </c>
      <c r="H209" s="89">
        <v>0</v>
      </c>
      <c r="I209" s="89">
        <v>0</v>
      </c>
      <c r="J209" s="89">
        <v>0</v>
      </c>
      <c r="K209" s="89">
        <f t="shared" ref="K209:N209" si="46">G209*$D209/1000</f>
        <v>0.80455866688889999</v>
      </c>
      <c r="L209" s="89">
        <f t="shared" si="46"/>
        <v>0</v>
      </c>
      <c r="M209" s="89">
        <f t="shared" si="46"/>
        <v>0</v>
      </c>
      <c r="N209" s="116">
        <f t="shared" si="46"/>
        <v>0</v>
      </c>
      <c r="O209" s="2810"/>
      <c r="P209" s="86"/>
      <c r="Q209" s="117"/>
      <c r="R209" s="117"/>
      <c r="S209" s="117"/>
      <c r="T209" s="6"/>
      <c r="U209" s="6"/>
      <c r="V209" s="6"/>
      <c r="W209" s="6"/>
      <c r="X209" s="6"/>
      <c r="Y209" s="6"/>
      <c r="Z209" s="6"/>
      <c r="AA209" s="6"/>
      <c r="AB209" s="6"/>
      <c r="AC209" s="6"/>
      <c r="AD209" s="6"/>
      <c r="AE209" s="6"/>
      <c r="AF209" s="6"/>
    </row>
    <row r="210" spans="1:32" ht="12">
      <c r="A210" s="4"/>
      <c r="B210" s="113" t="s">
        <v>151</v>
      </c>
      <c r="C210" s="34" t="s">
        <v>150</v>
      </c>
      <c r="D210" s="114">
        <v>127.5</v>
      </c>
      <c r="E210" s="114">
        <v>1.46</v>
      </c>
      <c r="F210" s="115">
        <f t="shared" si="45"/>
        <v>5.3533333333333326</v>
      </c>
      <c r="G210" s="89">
        <v>0</v>
      </c>
      <c r="H210" s="89">
        <v>0</v>
      </c>
      <c r="I210" s="89">
        <v>0</v>
      </c>
      <c r="J210" s="89">
        <v>0</v>
      </c>
      <c r="K210" s="89">
        <f t="shared" ref="K210:N210" si="47">G210*$D210/1000</f>
        <v>0</v>
      </c>
      <c r="L210" s="89">
        <f t="shared" si="47"/>
        <v>0</v>
      </c>
      <c r="M210" s="89">
        <f t="shared" si="47"/>
        <v>0</v>
      </c>
      <c r="N210" s="116">
        <f t="shared" si="47"/>
        <v>0</v>
      </c>
      <c r="O210" s="2810"/>
      <c r="P210" s="86"/>
      <c r="Q210" s="117"/>
      <c r="R210" s="117"/>
      <c r="S210" s="117"/>
      <c r="T210" s="6"/>
      <c r="U210" s="6"/>
      <c r="V210" s="6"/>
      <c r="W210" s="6"/>
      <c r="X210" s="6"/>
      <c r="Y210" s="6"/>
      <c r="Z210" s="6"/>
      <c r="AA210" s="6"/>
      <c r="AB210" s="6"/>
      <c r="AC210" s="6"/>
      <c r="AD210" s="6"/>
      <c r="AE210" s="6"/>
      <c r="AF210" s="6"/>
    </row>
    <row r="211" spans="1:32" ht="12">
      <c r="A211" s="4"/>
      <c r="B211" s="113" t="s">
        <v>152</v>
      </c>
      <c r="C211" s="34" t="s">
        <v>153</v>
      </c>
      <c r="D211" s="118">
        <v>0.09</v>
      </c>
      <c r="E211" s="49"/>
      <c r="F211" s="115"/>
      <c r="G211" s="49"/>
      <c r="H211" s="49"/>
      <c r="I211" s="49"/>
      <c r="J211" s="49"/>
      <c r="K211" s="89">
        <f t="shared" ref="K211:N211" si="48">SUM(K207:K210)*$D211</f>
        <v>53.744780104927997</v>
      </c>
      <c r="L211" s="89">
        <f t="shared" si="48"/>
        <v>53.718534585828003</v>
      </c>
      <c r="M211" s="89">
        <f t="shared" si="48"/>
        <v>53.718534585828003</v>
      </c>
      <c r="N211" s="116">
        <f t="shared" si="48"/>
        <v>53.718532991999986</v>
      </c>
      <c r="O211" s="2810"/>
      <c r="P211" s="86"/>
      <c r="Q211" s="117"/>
      <c r="R211" s="117"/>
      <c r="S211" s="117"/>
      <c r="T211" s="6"/>
      <c r="U211" s="6"/>
      <c r="V211" s="6"/>
      <c r="W211" s="6"/>
      <c r="X211" s="6"/>
      <c r="Y211" s="6"/>
      <c r="Z211" s="6"/>
      <c r="AA211" s="6"/>
      <c r="AB211" s="6"/>
      <c r="AC211" s="6"/>
      <c r="AD211" s="6"/>
      <c r="AE211" s="6"/>
      <c r="AF211" s="6"/>
    </row>
    <row r="212" spans="1:32" ht="12">
      <c r="A212" s="4"/>
      <c r="B212" s="113" t="s">
        <v>154</v>
      </c>
      <c r="C212" s="34" t="s">
        <v>153</v>
      </c>
      <c r="D212" s="114">
        <v>183</v>
      </c>
      <c r="E212" s="49"/>
      <c r="F212" s="115"/>
      <c r="G212" s="89">
        <v>378.54672799999997</v>
      </c>
      <c r="H212" s="89">
        <v>381.76787580000001</v>
      </c>
      <c r="I212" s="89">
        <v>384.71023600000001</v>
      </c>
      <c r="J212" s="89">
        <v>384.71019999999999</v>
      </c>
      <c r="K212" s="89">
        <f t="shared" ref="K212:N212" si="49">G212*$D212/1000</f>
        <v>69.27405122399999</v>
      </c>
      <c r="L212" s="89">
        <f t="shared" si="49"/>
        <v>69.863521271400003</v>
      </c>
      <c r="M212" s="89">
        <f t="shared" si="49"/>
        <v>70.401973187999999</v>
      </c>
      <c r="N212" s="116">
        <f t="shared" si="49"/>
        <v>70.401966599999994</v>
      </c>
      <c r="O212" s="2810"/>
      <c r="P212" s="86"/>
      <c r="Q212" s="117"/>
      <c r="R212" s="117"/>
      <c r="S212" s="117"/>
      <c r="T212" s="6"/>
      <c r="U212" s="6"/>
      <c r="V212" s="6"/>
      <c r="W212" s="6"/>
      <c r="X212" s="6"/>
      <c r="Y212" s="6"/>
      <c r="Z212" s="6"/>
      <c r="AA212" s="6"/>
      <c r="AB212" s="6"/>
      <c r="AC212" s="6"/>
      <c r="AD212" s="6"/>
      <c r="AE212" s="6"/>
      <c r="AF212" s="6"/>
    </row>
    <row r="213" spans="1:32" ht="12">
      <c r="A213" s="4"/>
      <c r="B213" s="113" t="s">
        <v>155</v>
      </c>
      <c r="C213" s="34" t="s">
        <v>149</v>
      </c>
      <c r="D213" s="114">
        <v>183</v>
      </c>
      <c r="E213" s="114">
        <v>1.02</v>
      </c>
      <c r="F213" s="115">
        <f t="shared" ref="F213:F214" si="50">E213*44/12</f>
        <v>3.74</v>
      </c>
      <c r="G213" s="89">
        <v>0</v>
      </c>
      <c r="H213" s="89">
        <v>0</v>
      </c>
      <c r="I213" s="89">
        <v>0</v>
      </c>
      <c r="J213" s="89">
        <v>0</v>
      </c>
      <c r="K213" s="89">
        <f t="shared" ref="K213:N213" si="51">G213*$D213/1000</f>
        <v>0</v>
      </c>
      <c r="L213" s="89">
        <f t="shared" si="51"/>
        <v>0</v>
      </c>
      <c r="M213" s="89">
        <f t="shared" si="51"/>
        <v>0</v>
      </c>
      <c r="N213" s="116">
        <f t="shared" si="51"/>
        <v>0</v>
      </c>
      <c r="O213" s="2810"/>
      <c r="P213" s="86"/>
      <c r="Q213" s="117"/>
      <c r="R213" s="117"/>
      <c r="S213" s="117"/>
      <c r="T213" s="6"/>
      <c r="U213" s="6"/>
      <c r="V213" s="6"/>
      <c r="W213" s="6"/>
      <c r="X213" s="6"/>
      <c r="Y213" s="6"/>
      <c r="Z213" s="6"/>
      <c r="AA213" s="6"/>
      <c r="AB213" s="6"/>
      <c r="AC213" s="6"/>
      <c r="AD213" s="6"/>
      <c r="AE213" s="6"/>
      <c r="AF213" s="6"/>
    </row>
    <row r="214" spans="1:32" ht="12">
      <c r="A214" s="4"/>
      <c r="B214" s="113" t="s">
        <v>155</v>
      </c>
      <c r="C214" s="34" t="s">
        <v>150</v>
      </c>
      <c r="D214" s="114">
        <v>183</v>
      </c>
      <c r="E214" s="114">
        <v>1.46</v>
      </c>
      <c r="F214" s="115">
        <f t="shared" si="50"/>
        <v>5.3533333333333326</v>
      </c>
      <c r="G214" s="89">
        <v>6.1635079480000003</v>
      </c>
      <c r="H214" s="89">
        <v>8.6464103950000002</v>
      </c>
      <c r="I214" s="89">
        <v>5.7040501949999998</v>
      </c>
      <c r="J214" s="89">
        <v>5.7040499999999996</v>
      </c>
      <c r="K214" s="89">
        <f t="shared" ref="K214:N214" si="52">G214*$D214/1000</f>
        <v>1.127921954484</v>
      </c>
      <c r="L214" s="89">
        <f t="shared" si="52"/>
        <v>1.582293102285</v>
      </c>
      <c r="M214" s="89">
        <f t="shared" si="52"/>
        <v>1.0438411856850001</v>
      </c>
      <c r="N214" s="116">
        <f t="shared" si="52"/>
        <v>1.04384115</v>
      </c>
      <c r="O214" s="2810"/>
      <c r="P214" s="86"/>
      <c r="Q214" s="117"/>
      <c r="R214" s="117"/>
      <c r="S214" s="117"/>
      <c r="T214" s="6"/>
      <c r="U214" s="6"/>
      <c r="V214" s="6"/>
      <c r="W214" s="6"/>
      <c r="X214" s="6"/>
      <c r="Y214" s="6"/>
      <c r="Z214" s="6"/>
      <c r="AA214" s="6"/>
      <c r="AB214" s="6"/>
      <c r="AC214" s="6"/>
      <c r="AD214" s="6"/>
      <c r="AE214" s="6"/>
      <c r="AF214" s="6"/>
    </row>
    <row r="215" spans="1:32" ht="12">
      <c r="A215" s="4"/>
      <c r="B215" s="113" t="s">
        <v>156</v>
      </c>
      <c r="C215" s="94" t="s">
        <v>153</v>
      </c>
      <c r="D215" s="7">
        <v>416</v>
      </c>
      <c r="E215" s="119"/>
      <c r="F215" s="120"/>
      <c r="G215" s="91">
        <v>230.3975188</v>
      </c>
      <c r="H215" s="91">
        <v>230.3975188</v>
      </c>
      <c r="I215" s="91">
        <v>230.3975188</v>
      </c>
      <c r="J215" s="91">
        <v>230.39750000000001</v>
      </c>
      <c r="K215" s="91">
        <f t="shared" ref="K215:N215" si="53">G215*$D215/1000</f>
        <v>95.845367820800007</v>
      </c>
      <c r="L215" s="91">
        <f t="shared" si="53"/>
        <v>95.845367820800007</v>
      </c>
      <c r="M215" s="91">
        <f t="shared" si="53"/>
        <v>95.845367820800007</v>
      </c>
      <c r="N215" s="121">
        <f t="shared" si="53"/>
        <v>95.845359999999999</v>
      </c>
      <c r="O215" s="2810"/>
      <c r="P215" s="86"/>
      <c r="Q215" s="117"/>
      <c r="R215" s="117"/>
      <c r="S215" s="117"/>
      <c r="T215" s="6"/>
      <c r="U215" s="6"/>
      <c r="V215" s="6"/>
      <c r="W215" s="6"/>
      <c r="X215" s="6"/>
      <c r="Y215" s="6"/>
      <c r="Z215" s="6"/>
      <c r="AA215" s="6"/>
      <c r="AB215" s="6"/>
      <c r="AC215" s="6"/>
      <c r="AD215" s="6"/>
      <c r="AE215" s="6"/>
      <c r="AF215" s="6"/>
    </row>
    <row r="216" spans="1:32" ht="10.199999999999999">
      <c r="A216" s="6"/>
      <c r="B216" s="6"/>
      <c r="C216" s="6"/>
      <c r="D216" s="6"/>
      <c r="E216" s="6"/>
      <c r="F216" s="6"/>
      <c r="G216" s="6"/>
      <c r="H216" s="6"/>
      <c r="I216" s="6"/>
      <c r="J216" s="6"/>
      <c r="K216" s="6"/>
      <c r="L216" s="6"/>
      <c r="M216" s="6"/>
      <c r="N216" s="6"/>
      <c r="O216" s="2632"/>
      <c r="P216" s="6"/>
      <c r="Q216" s="6"/>
      <c r="R216" s="6"/>
      <c r="S216" s="6"/>
      <c r="T216" s="6"/>
      <c r="U216" s="6"/>
      <c r="V216" s="6"/>
      <c r="W216" s="6"/>
      <c r="X216" s="6"/>
      <c r="Y216" s="6"/>
      <c r="Z216" s="6"/>
      <c r="AA216" s="6"/>
      <c r="AB216" s="6"/>
      <c r="AC216" s="6"/>
      <c r="AD216" s="6"/>
      <c r="AE216" s="6"/>
      <c r="AF216" s="6"/>
    </row>
    <row r="217" spans="1:32" ht="10.199999999999999">
      <c r="A217" s="6"/>
      <c r="B217" s="6"/>
      <c r="C217" s="108"/>
      <c r="D217" s="108"/>
      <c r="E217" s="108"/>
      <c r="F217" s="108"/>
      <c r="G217" s="108"/>
      <c r="H217" s="108"/>
      <c r="I217" s="108"/>
      <c r="J217" s="108"/>
      <c r="K217" s="108"/>
      <c r="L217" s="108"/>
      <c r="M217" s="108"/>
      <c r="N217" s="108"/>
      <c r="O217" s="2632"/>
      <c r="P217" s="6"/>
      <c r="Q217" s="6"/>
      <c r="R217" s="6"/>
      <c r="S217" s="6"/>
      <c r="T217" s="6"/>
      <c r="U217" s="6"/>
      <c r="V217" s="6"/>
      <c r="W217" s="6"/>
      <c r="X217" s="6"/>
      <c r="Y217" s="6"/>
      <c r="Z217" s="6"/>
      <c r="AA217" s="6"/>
      <c r="AB217" s="6"/>
      <c r="AC217" s="6"/>
      <c r="AD217" s="6"/>
      <c r="AE217" s="6"/>
      <c r="AF217" s="6"/>
    </row>
    <row r="218" spans="1:32" ht="12">
      <c r="A218" s="6"/>
      <c r="B218" s="109"/>
      <c r="C218" s="2946" t="s">
        <v>140</v>
      </c>
      <c r="D218" s="2912"/>
      <c r="E218" s="2912"/>
      <c r="F218" s="2947"/>
      <c r="G218" s="2949" t="s">
        <v>141</v>
      </c>
      <c r="H218" s="2912"/>
      <c r="I218" s="2912"/>
      <c r="J218" s="2912"/>
      <c r="K218" s="2951" t="s">
        <v>157</v>
      </c>
      <c r="L218" s="2912"/>
      <c r="M218" s="2912"/>
      <c r="N218" s="2912"/>
      <c r="O218" s="2810"/>
      <c r="P218" s="1461"/>
      <c r="Q218" s="6"/>
      <c r="R218" s="6"/>
      <c r="S218" s="6"/>
      <c r="T218" s="6"/>
      <c r="U218" s="6"/>
      <c r="V218" s="6"/>
      <c r="W218" s="6"/>
      <c r="X218" s="6"/>
      <c r="Y218" s="6"/>
      <c r="Z218" s="6"/>
      <c r="AA218" s="6"/>
      <c r="AB218" s="6"/>
      <c r="AC218" s="6"/>
      <c r="AD218" s="6"/>
      <c r="AE218" s="6"/>
      <c r="AF218" s="6"/>
    </row>
    <row r="219" spans="1:32" ht="12">
      <c r="A219" s="4"/>
      <c r="B219" s="110" t="s">
        <v>143</v>
      </c>
      <c r="C219" s="92" t="s">
        <v>144</v>
      </c>
      <c r="D219" s="92" t="s">
        <v>145</v>
      </c>
      <c r="E219" s="92" t="s">
        <v>146</v>
      </c>
      <c r="F219" s="111" t="s">
        <v>147</v>
      </c>
      <c r="G219" s="92">
        <v>2006</v>
      </c>
      <c r="H219" s="92">
        <v>2011</v>
      </c>
      <c r="I219" s="92">
        <v>2014</v>
      </c>
      <c r="J219" s="92">
        <v>2017</v>
      </c>
      <c r="K219" s="92">
        <v>2006</v>
      </c>
      <c r="L219" s="92">
        <v>2011</v>
      </c>
      <c r="M219" s="92">
        <v>2014</v>
      </c>
      <c r="N219" s="112">
        <v>2017</v>
      </c>
      <c r="O219" s="2810"/>
      <c r="P219" s="1461"/>
      <c r="Q219" s="6"/>
      <c r="R219" s="6"/>
      <c r="S219" s="6"/>
      <c r="T219" s="6"/>
      <c r="U219" s="6"/>
      <c r="V219" s="6"/>
      <c r="W219" s="6"/>
      <c r="X219" s="6"/>
      <c r="Y219" s="6"/>
      <c r="Z219" s="6"/>
      <c r="AA219" s="6"/>
      <c r="AB219" s="6"/>
      <c r="AC219" s="6"/>
      <c r="AD219" s="6"/>
      <c r="AE219" s="6"/>
      <c r="AF219" s="6"/>
    </row>
    <row r="220" spans="1:32" ht="12">
      <c r="A220" s="4"/>
      <c r="B220" s="113" t="s">
        <v>148</v>
      </c>
      <c r="C220" s="34" t="s">
        <v>149</v>
      </c>
      <c r="D220" s="114">
        <v>54</v>
      </c>
      <c r="E220" s="49"/>
      <c r="F220" s="115"/>
      <c r="G220" s="89">
        <v>2135.3404</v>
      </c>
      <c r="H220" s="89">
        <v>2144.8393219999998</v>
      </c>
      <c r="I220" s="89">
        <v>2144.8393219999998</v>
      </c>
      <c r="J220" s="89">
        <v>2144.8389999999999</v>
      </c>
      <c r="K220" s="89">
        <f t="shared" ref="K220:N220" si="54">G220*$F220</f>
        <v>0</v>
      </c>
      <c r="L220" s="89">
        <f t="shared" si="54"/>
        <v>0</v>
      </c>
      <c r="M220" s="89">
        <f t="shared" si="54"/>
        <v>0</v>
      </c>
      <c r="N220" s="116">
        <f t="shared" si="54"/>
        <v>0</v>
      </c>
      <c r="O220" s="2810"/>
      <c r="P220" s="86"/>
      <c r="Q220" s="6"/>
      <c r="R220" s="6"/>
      <c r="S220" s="6"/>
      <c r="T220" s="6"/>
      <c r="U220" s="6"/>
      <c r="V220" s="6"/>
      <c r="W220" s="6"/>
      <c r="X220" s="6"/>
      <c r="Y220" s="6"/>
      <c r="Z220" s="6"/>
      <c r="AA220" s="6"/>
      <c r="AB220" s="6"/>
      <c r="AC220" s="6"/>
      <c r="AD220" s="6"/>
      <c r="AE220" s="6"/>
      <c r="AF220" s="6"/>
    </row>
    <row r="221" spans="1:32" ht="12">
      <c r="A221" s="4"/>
      <c r="B221" s="113" t="s">
        <v>148</v>
      </c>
      <c r="C221" s="34" t="s">
        <v>150</v>
      </c>
      <c r="D221" s="114">
        <v>80.3</v>
      </c>
      <c r="E221" s="49"/>
      <c r="F221" s="115"/>
      <c r="G221" s="89">
        <v>5990.6760039999999</v>
      </c>
      <c r="H221" s="89">
        <v>5990.6760039999999</v>
      </c>
      <c r="I221" s="89">
        <v>5990.6760039999999</v>
      </c>
      <c r="J221" s="89">
        <v>5990.6760000000004</v>
      </c>
      <c r="K221" s="89">
        <f t="shared" ref="K221:N221" si="55">G221*$F221</f>
        <v>0</v>
      </c>
      <c r="L221" s="89">
        <f t="shared" si="55"/>
        <v>0</v>
      </c>
      <c r="M221" s="89">
        <f t="shared" si="55"/>
        <v>0</v>
      </c>
      <c r="N221" s="116">
        <f t="shared" si="55"/>
        <v>0</v>
      </c>
      <c r="O221" s="2810"/>
      <c r="P221" s="86"/>
      <c r="Q221" s="6"/>
      <c r="R221" s="6"/>
      <c r="S221" s="6"/>
      <c r="T221" s="6"/>
      <c r="U221" s="6"/>
      <c r="V221" s="6"/>
      <c r="W221" s="6"/>
      <c r="X221" s="6"/>
      <c r="Y221" s="6"/>
      <c r="Z221" s="6"/>
      <c r="AA221" s="6"/>
      <c r="AB221" s="6"/>
      <c r="AC221" s="6"/>
      <c r="AD221" s="6"/>
      <c r="AE221" s="6"/>
      <c r="AF221" s="6"/>
    </row>
    <row r="222" spans="1:32" ht="12">
      <c r="A222" s="4"/>
      <c r="B222" s="113" t="s">
        <v>151</v>
      </c>
      <c r="C222" s="34" t="s">
        <v>149</v>
      </c>
      <c r="D222" s="114">
        <v>84.7</v>
      </c>
      <c r="E222" s="114">
        <v>1.02</v>
      </c>
      <c r="F222" s="115">
        <f t="shared" ref="F222:F223" si="56">E222*44/12</f>
        <v>3.74</v>
      </c>
      <c r="G222" s="89">
        <v>9.4989216869999993</v>
      </c>
      <c r="H222" s="89">
        <v>0</v>
      </c>
      <c r="I222" s="89">
        <v>0</v>
      </c>
      <c r="J222" s="89">
        <v>0</v>
      </c>
      <c r="K222" s="89">
        <f t="shared" ref="K222:N222" si="57">G222*$F222</f>
        <v>35.525967109379998</v>
      </c>
      <c r="L222" s="89">
        <f t="shared" si="57"/>
        <v>0</v>
      </c>
      <c r="M222" s="89">
        <f t="shared" si="57"/>
        <v>0</v>
      </c>
      <c r="N222" s="116">
        <f t="shared" si="57"/>
        <v>0</v>
      </c>
      <c r="O222" s="2810"/>
      <c r="P222" s="86"/>
      <c r="Q222" s="6"/>
      <c r="R222" s="6"/>
      <c r="S222" s="6"/>
      <c r="T222" s="6"/>
      <c r="U222" s="6"/>
      <c r="V222" s="6"/>
      <c r="W222" s="6"/>
      <c r="X222" s="6"/>
      <c r="Y222" s="6"/>
      <c r="Z222" s="6"/>
      <c r="AA222" s="6"/>
      <c r="AB222" s="6"/>
      <c r="AC222" s="6"/>
      <c r="AD222" s="6"/>
      <c r="AE222" s="6"/>
      <c r="AF222" s="6"/>
    </row>
    <row r="223" spans="1:32" ht="12">
      <c r="A223" s="4"/>
      <c r="B223" s="113" t="s">
        <v>151</v>
      </c>
      <c r="C223" s="34" t="s">
        <v>150</v>
      </c>
      <c r="D223" s="114">
        <v>127.5</v>
      </c>
      <c r="E223" s="114">
        <v>1.46</v>
      </c>
      <c r="F223" s="115">
        <f t="shared" si="56"/>
        <v>5.3533333333333326</v>
      </c>
      <c r="G223" s="89">
        <v>0</v>
      </c>
      <c r="H223" s="89">
        <v>0</v>
      </c>
      <c r="I223" s="89">
        <v>0</v>
      </c>
      <c r="J223" s="89">
        <v>0</v>
      </c>
      <c r="K223" s="89">
        <f t="shared" ref="K223:N223" si="58">G223*$F223</f>
        <v>0</v>
      </c>
      <c r="L223" s="89">
        <f t="shared" si="58"/>
        <v>0</v>
      </c>
      <c r="M223" s="89">
        <f t="shared" si="58"/>
        <v>0</v>
      </c>
      <c r="N223" s="116">
        <f t="shared" si="58"/>
        <v>0</v>
      </c>
      <c r="O223" s="2810"/>
      <c r="P223" s="86"/>
      <c r="Q223" s="6"/>
      <c r="R223" s="6"/>
      <c r="S223" s="6"/>
      <c r="T223" s="6"/>
      <c r="U223" s="6"/>
      <c r="V223" s="6"/>
      <c r="W223" s="6"/>
      <c r="X223" s="6"/>
      <c r="Y223" s="6"/>
      <c r="Z223" s="6"/>
      <c r="AA223" s="6"/>
      <c r="AB223" s="6"/>
      <c r="AC223" s="6"/>
      <c r="AD223" s="6"/>
      <c r="AE223" s="6"/>
      <c r="AF223" s="6"/>
    </row>
    <row r="224" spans="1:32" ht="12">
      <c r="A224" s="4"/>
      <c r="B224" s="113" t="s">
        <v>152</v>
      </c>
      <c r="C224" s="34" t="s">
        <v>153</v>
      </c>
      <c r="D224" s="118">
        <v>0.09</v>
      </c>
      <c r="E224" s="49"/>
      <c r="F224" s="115"/>
      <c r="G224" s="49"/>
      <c r="H224" s="49"/>
      <c r="I224" s="49"/>
      <c r="J224" s="49"/>
      <c r="K224" s="89"/>
      <c r="L224" s="89"/>
      <c r="M224" s="89"/>
      <c r="N224" s="116"/>
      <c r="O224" s="2810"/>
      <c r="P224" s="86"/>
      <c r="Q224" s="6"/>
      <c r="R224" s="6"/>
      <c r="S224" s="6"/>
      <c r="T224" s="6"/>
      <c r="U224" s="6"/>
      <c r="V224" s="6"/>
      <c r="W224" s="6"/>
      <c r="X224" s="6"/>
      <c r="Y224" s="6"/>
      <c r="Z224" s="6"/>
      <c r="AA224" s="6"/>
      <c r="AB224" s="6"/>
      <c r="AC224" s="6"/>
      <c r="AD224" s="6"/>
      <c r="AE224" s="6"/>
      <c r="AF224" s="6"/>
    </row>
    <row r="225" spans="1:32" ht="12">
      <c r="A225" s="4"/>
      <c r="B225" s="113" t="s">
        <v>154</v>
      </c>
      <c r="C225" s="34" t="s">
        <v>153</v>
      </c>
      <c r="D225" s="114">
        <v>183</v>
      </c>
      <c r="E225" s="49"/>
      <c r="F225" s="115"/>
      <c r="G225" s="89">
        <v>378.54672799999997</v>
      </c>
      <c r="H225" s="89">
        <v>381.76787580000001</v>
      </c>
      <c r="I225" s="89">
        <v>384.71023600000001</v>
      </c>
      <c r="J225" s="89">
        <v>384.71019999999999</v>
      </c>
      <c r="K225" s="89">
        <f t="shared" ref="K225:N225" si="59">G225*$F225</f>
        <v>0</v>
      </c>
      <c r="L225" s="89">
        <f t="shared" si="59"/>
        <v>0</v>
      </c>
      <c r="M225" s="89">
        <f t="shared" si="59"/>
        <v>0</v>
      </c>
      <c r="N225" s="116">
        <f t="shared" si="59"/>
        <v>0</v>
      </c>
      <c r="O225" s="2810"/>
      <c r="P225" s="86"/>
      <c r="Q225" s="6"/>
      <c r="R225" s="6"/>
      <c r="S225" s="6"/>
      <c r="T225" s="6"/>
      <c r="U225" s="6"/>
      <c r="V225" s="6"/>
      <c r="W225" s="6"/>
      <c r="X225" s="6"/>
      <c r="Y225" s="6"/>
      <c r="Z225" s="6"/>
      <c r="AA225" s="6"/>
      <c r="AB225" s="6"/>
      <c r="AC225" s="6"/>
      <c r="AD225" s="6"/>
      <c r="AE225" s="6"/>
      <c r="AF225" s="6"/>
    </row>
    <row r="226" spans="1:32" ht="12">
      <c r="A226" s="4"/>
      <c r="B226" s="113" t="s">
        <v>155</v>
      </c>
      <c r="C226" s="34" t="s">
        <v>149</v>
      </c>
      <c r="D226" s="114">
        <v>183</v>
      </c>
      <c r="E226" s="114">
        <v>1.02</v>
      </c>
      <c r="F226" s="115">
        <f t="shared" ref="F226:F227" si="60">E226*44/12</f>
        <v>3.74</v>
      </c>
      <c r="G226" s="89">
        <v>0</v>
      </c>
      <c r="H226" s="89">
        <v>0</v>
      </c>
      <c r="I226" s="89">
        <v>0</v>
      </c>
      <c r="J226" s="89">
        <v>0</v>
      </c>
      <c r="K226" s="89">
        <f t="shared" ref="K226:N226" si="61">G226*$F226</f>
        <v>0</v>
      </c>
      <c r="L226" s="89">
        <f t="shared" si="61"/>
        <v>0</v>
      </c>
      <c r="M226" s="89">
        <f t="shared" si="61"/>
        <v>0</v>
      </c>
      <c r="N226" s="116">
        <f t="shared" si="61"/>
        <v>0</v>
      </c>
      <c r="O226" s="2810"/>
      <c r="P226" s="86"/>
      <c r="Q226" s="6"/>
      <c r="R226" s="6"/>
      <c r="S226" s="6"/>
      <c r="T226" s="6"/>
      <c r="U226" s="6"/>
      <c r="V226" s="6"/>
      <c r="W226" s="6"/>
      <c r="X226" s="6"/>
      <c r="Y226" s="6"/>
      <c r="Z226" s="6"/>
      <c r="AA226" s="6"/>
      <c r="AB226" s="6"/>
      <c r="AC226" s="6"/>
      <c r="AD226" s="6"/>
      <c r="AE226" s="6"/>
      <c r="AF226" s="6"/>
    </row>
    <row r="227" spans="1:32" ht="12">
      <c r="A227" s="4"/>
      <c r="B227" s="113" t="s">
        <v>155</v>
      </c>
      <c r="C227" s="34" t="s">
        <v>150</v>
      </c>
      <c r="D227" s="114">
        <v>183</v>
      </c>
      <c r="E227" s="114">
        <v>1.46</v>
      </c>
      <c r="F227" s="115">
        <f t="shared" si="60"/>
        <v>5.3533333333333326</v>
      </c>
      <c r="G227" s="89">
        <v>6.1635079480000003</v>
      </c>
      <c r="H227" s="89">
        <v>8.6464103950000002</v>
      </c>
      <c r="I227" s="89">
        <v>5.7040501949999998</v>
      </c>
      <c r="J227" s="89">
        <v>5.7040499999999996</v>
      </c>
      <c r="K227" s="89">
        <f t="shared" ref="K227:N227" si="62">G227*$F227</f>
        <v>32.995312548293327</v>
      </c>
      <c r="L227" s="89">
        <f t="shared" si="62"/>
        <v>46.287116981233325</v>
      </c>
      <c r="M227" s="89">
        <f t="shared" si="62"/>
        <v>30.535682043899996</v>
      </c>
      <c r="N227" s="116">
        <f t="shared" si="62"/>
        <v>30.535680999999993</v>
      </c>
      <c r="O227" s="2810"/>
      <c r="P227" s="86"/>
      <c r="Q227" s="6"/>
      <c r="R227" s="6"/>
      <c r="S227" s="6"/>
      <c r="T227" s="6"/>
      <c r="U227" s="6"/>
      <c r="V227" s="6"/>
      <c r="W227" s="6"/>
      <c r="X227" s="6"/>
      <c r="Y227" s="6"/>
      <c r="Z227" s="6"/>
      <c r="AA227" s="6"/>
      <c r="AB227" s="6"/>
      <c r="AC227" s="6"/>
      <c r="AD227" s="6"/>
      <c r="AE227" s="6"/>
      <c r="AF227" s="6"/>
    </row>
    <row r="228" spans="1:32" ht="12">
      <c r="A228" s="4"/>
      <c r="B228" s="113" t="s">
        <v>156</v>
      </c>
      <c r="C228" s="94" t="s">
        <v>153</v>
      </c>
      <c r="D228" s="7">
        <v>416</v>
      </c>
      <c r="E228" s="119"/>
      <c r="F228" s="120"/>
      <c r="G228" s="91">
        <v>230.3975188</v>
      </c>
      <c r="H228" s="91">
        <v>230.3975188</v>
      </c>
      <c r="I228" s="91">
        <v>230.3975188</v>
      </c>
      <c r="J228" s="91">
        <v>230.39750000000001</v>
      </c>
      <c r="K228" s="91">
        <f t="shared" ref="K228:N228" si="63">G228*$F228</f>
        <v>0</v>
      </c>
      <c r="L228" s="91">
        <f t="shared" si="63"/>
        <v>0</v>
      </c>
      <c r="M228" s="91">
        <f t="shared" si="63"/>
        <v>0</v>
      </c>
      <c r="N228" s="121">
        <f t="shared" si="63"/>
        <v>0</v>
      </c>
      <c r="O228" s="2810"/>
      <c r="P228" s="86"/>
      <c r="Q228" s="6"/>
      <c r="R228" s="6"/>
      <c r="S228" s="6"/>
      <c r="T228" s="6"/>
      <c r="U228" s="6"/>
      <c r="V228" s="6"/>
      <c r="W228" s="6"/>
      <c r="X228" s="6"/>
      <c r="Y228" s="6"/>
      <c r="Z228" s="6"/>
      <c r="AA228" s="6"/>
      <c r="AB228" s="6"/>
      <c r="AC228" s="6"/>
      <c r="AD228" s="6"/>
      <c r="AE228" s="6"/>
      <c r="AF228" s="6"/>
    </row>
    <row r="229" spans="1:32" ht="10.199999999999999">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row>
    <row r="230" spans="1:32" ht="10.199999999999999">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row>
    <row r="231" spans="1:32" ht="14.4">
      <c r="A231" s="6"/>
      <c r="B231" s="26" t="s">
        <v>158</v>
      </c>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row>
    <row r="232" spans="1:32" ht="10.199999999999999">
      <c r="A232" s="6"/>
      <c r="B232" s="20"/>
      <c r="C232" s="20"/>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row>
    <row r="233" spans="1:32" ht="12">
      <c r="A233" s="4"/>
      <c r="B233" s="30" t="s">
        <v>81</v>
      </c>
      <c r="C233" s="92">
        <v>2017</v>
      </c>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row>
    <row r="234" spans="1:32" ht="12">
      <c r="A234" s="4"/>
      <c r="B234" s="30" t="s">
        <v>3</v>
      </c>
      <c r="C234" s="122">
        <f>SUM(C235:C237)</f>
        <v>-0.61788415681070519</v>
      </c>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row>
    <row r="235" spans="1:32" ht="12">
      <c r="A235" s="4"/>
      <c r="B235" s="123" t="s">
        <v>159</v>
      </c>
      <c r="C235" s="124">
        <f>(I176+I200)/1000000</f>
        <v>-0.60125653574170512</v>
      </c>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row>
    <row r="236" spans="1:32" ht="12">
      <c r="A236" s="4"/>
      <c r="B236" s="123" t="s">
        <v>160</v>
      </c>
      <c r="C236" s="124">
        <f>I177/1000000</f>
        <v>-1.6658156750000003E-2</v>
      </c>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row>
    <row r="237" spans="1:32" ht="12">
      <c r="A237" s="4"/>
      <c r="B237" s="123" t="s">
        <v>161</v>
      </c>
      <c r="C237" s="124">
        <f>SUM(N220:N228)/1000000</f>
        <v>3.0535680999999994E-5</v>
      </c>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row>
    <row r="238" spans="1:32" ht="12">
      <c r="A238" s="4"/>
      <c r="B238" s="30" t="s">
        <v>4</v>
      </c>
      <c r="C238" s="122">
        <f>SUM(C239:C241)</f>
        <v>0.33672521009488393</v>
      </c>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row>
    <row r="239" spans="1:32" ht="12">
      <c r="A239" s="4"/>
      <c r="B239" s="123" t="s">
        <v>159</v>
      </c>
      <c r="C239" s="124">
        <f>I187*K5/1000000</f>
        <v>0.30807858118770792</v>
      </c>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row>
    <row r="240" spans="1:32" ht="12">
      <c r="A240" s="4"/>
      <c r="B240" s="123" t="s">
        <v>160</v>
      </c>
      <c r="C240" s="124">
        <f>I188*K5/1000000</f>
        <v>5.7459247999999997E-3</v>
      </c>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row>
    <row r="241" spans="1:32" ht="12">
      <c r="A241" s="4"/>
      <c r="B241" s="123" t="s">
        <v>161</v>
      </c>
      <c r="C241" s="124">
        <f>SUM(N207:N215)*K5/1000000</f>
        <v>2.2900704107175998E-2</v>
      </c>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row>
    <row r="242" spans="1:32" ht="12">
      <c r="A242" s="4"/>
      <c r="B242" s="30" t="s">
        <v>88</v>
      </c>
      <c r="C242" s="122">
        <f>C234+C238</f>
        <v>-0.28115894671582126</v>
      </c>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row>
    <row r="243" spans="1:32" ht="10.199999999999999">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row>
    <row r="244" spans="1:32" ht="10.199999999999999">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row>
    <row r="245" spans="1:32" ht="14.4">
      <c r="A245" s="6"/>
      <c r="B245" s="24" t="s">
        <v>162</v>
      </c>
      <c r="C245" s="25"/>
      <c r="D245" s="25"/>
      <c r="E245" s="25"/>
      <c r="F245" s="25"/>
      <c r="G245" s="25"/>
      <c r="H245" s="25"/>
      <c r="I245" s="25"/>
      <c r="J245" s="25"/>
      <c r="K245" s="25"/>
      <c r="L245" s="25"/>
      <c r="M245" s="25"/>
      <c r="N245" s="25"/>
      <c r="O245" s="25"/>
      <c r="P245" s="25"/>
      <c r="Q245" s="25"/>
      <c r="R245" s="25"/>
      <c r="S245" s="25"/>
      <c r="T245" s="6"/>
      <c r="U245" s="6"/>
      <c r="V245" s="6"/>
      <c r="W245" s="6"/>
      <c r="X245" s="6"/>
      <c r="Y245" s="6"/>
      <c r="Z245" s="6"/>
      <c r="AA245" s="6"/>
      <c r="AB245" s="6"/>
      <c r="AC245" s="6"/>
      <c r="AD245" s="6"/>
      <c r="AE245" s="6"/>
      <c r="AF245" s="6"/>
    </row>
    <row r="246" spans="1:32" ht="10.199999999999999">
      <c r="A246" s="6"/>
      <c r="B246" s="6"/>
      <c r="C246" s="20"/>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row>
    <row r="247" spans="1:32" ht="14.4">
      <c r="A247" s="6"/>
      <c r="B247" s="49"/>
      <c r="C247" s="125">
        <v>2017</v>
      </c>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row>
    <row r="248" spans="1:32" ht="14.4">
      <c r="A248" s="4"/>
      <c r="B248" s="126" t="s">
        <v>163</v>
      </c>
      <c r="C248" s="127">
        <f>C249+C256+C259+C261+C264+C265</f>
        <v>-7.236995078641427</v>
      </c>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row>
    <row r="249" spans="1:32" ht="14.4">
      <c r="A249" s="4"/>
      <c r="B249" s="128" t="s">
        <v>38</v>
      </c>
      <c r="C249" s="129">
        <f>SUM(C250:C255)</f>
        <v>-5.8893733333333342</v>
      </c>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row>
    <row r="250" spans="1:32" ht="14.4">
      <c r="A250" s="4"/>
      <c r="B250" s="130" t="s">
        <v>82</v>
      </c>
      <c r="C250" s="131">
        <f t="shared" ref="C250:C255" si="64">C73</f>
        <v>-4.6566666666666672</v>
      </c>
      <c r="D250" s="6"/>
      <c r="E250" s="6"/>
      <c r="F250" s="132"/>
      <c r="G250" s="132"/>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row>
    <row r="251" spans="1:32" ht="14.4">
      <c r="A251" s="4"/>
      <c r="B251" s="130" t="s">
        <v>83</v>
      </c>
      <c r="C251" s="131">
        <f t="shared" si="64"/>
        <v>-0.91270666666666678</v>
      </c>
      <c r="D251" s="6"/>
      <c r="E251" s="6"/>
      <c r="F251" s="132"/>
      <c r="G251" s="132"/>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row>
    <row r="252" spans="1:32" ht="14.4">
      <c r="A252" s="4"/>
      <c r="B252" s="130" t="s">
        <v>84</v>
      </c>
      <c r="C252" s="131">
        <f t="shared" si="64"/>
        <v>-0.57000000000000006</v>
      </c>
      <c r="D252" s="6"/>
      <c r="E252" s="6"/>
      <c r="F252" s="132"/>
      <c r="G252" s="132"/>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row>
    <row r="253" spans="1:32" ht="14.4">
      <c r="A253" s="4"/>
      <c r="B253" s="130" t="s">
        <v>85</v>
      </c>
      <c r="C253" s="131">
        <f t="shared" si="64"/>
        <v>0.14000000000000001</v>
      </c>
      <c r="D253" s="6"/>
      <c r="E253" s="6"/>
      <c r="F253" s="132"/>
      <c r="G253" s="132"/>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row>
    <row r="254" spans="1:32" ht="14.4">
      <c r="A254" s="4"/>
      <c r="B254" s="130" t="s">
        <v>86</v>
      </c>
      <c r="C254" s="131">
        <f t="shared" si="64"/>
        <v>0.11</v>
      </c>
      <c r="D254" s="6"/>
      <c r="E254" s="6"/>
      <c r="F254" s="132"/>
      <c r="G254" s="132"/>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row>
    <row r="255" spans="1:32" ht="14.4">
      <c r="A255" s="4"/>
      <c r="B255" s="130" t="s">
        <v>87</v>
      </c>
      <c r="C255" s="131">
        <f t="shared" si="64"/>
        <v>0</v>
      </c>
      <c r="D255" s="6"/>
      <c r="E255" s="6"/>
      <c r="F255" s="132"/>
      <c r="G255" s="132"/>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row>
    <row r="256" spans="1:32" ht="14.4">
      <c r="A256" s="4"/>
      <c r="B256" s="128" t="s">
        <v>39</v>
      </c>
      <c r="C256" s="129">
        <f>C257+C258</f>
        <v>-0.88864007253577504</v>
      </c>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row>
    <row r="257" spans="1:32" ht="14.4">
      <c r="A257" s="4"/>
      <c r="B257" s="130" t="s">
        <v>89</v>
      </c>
      <c r="C257" s="131">
        <f>F86</f>
        <v>-0.16864007253577512</v>
      </c>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row>
    <row r="258" spans="1:32" ht="14.4">
      <c r="A258" s="4"/>
      <c r="B258" s="130" t="s">
        <v>95</v>
      </c>
      <c r="C258" s="131">
        <f>F95</f>
        <v>-0.72</v>
      </c>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row>
    <row r="259" spans="1:32" ht="14.4">
      <c r="A259" s="4"/>
      <c r="B259" s="128" t="s">
        <v>40</v>
      </c>
      <c r="C259" s="129">
        <f>C260</f>
        <v>1.6733530999999999E-2</v>
      </c>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row>
    <row r="260" spans="1:32" ht="14.4">
      <c r="A260" s="4"/>
      <c r="B260" s="130" t="s">
        <v>5</v>
      </c>
      <c r="C260" s="131">
        <f>G102</f>
        <v>1.6733530999999999E-2</v>
      </c>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row>
    <row r="261" spans="1:32" ht="14.4">
      <c r="A261" s="4"/>
      <c r="B261" s="128" t="s">
        <v>41</v>
      </c>
      <c r="C261" s="129">
        <f>C262+C263</f>
        <v>3.2443742943504002E-2</v>
      </c>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row>
    <row r="262" spans="1:32" ht="14.4">
      <c r="A262" s="4"/>
      <c r="B262" s="130" t="s">
        <v>4</v>
      </c>
      <c r="C262" s="131">
        <f>F138</f>
        <v>2.8748743502976001E-2</v>
      </c>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row>
    <row r="263" spans="1:32" ht="14.4">
      <c r="A263" s="4"/>
      <c r="B263" s="130" t="s">
        <v>5</v>
      </c>
      <c r="C263" s="131">
        <f>F141</f>
        <v>3.694999440528E-3</v>
      </c>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row>
    <row r="264" spans="1:32" ht="14.4">
      <c r="A264" s="4"/>
      <c r="B264" s="128" t="s">
        <v>164</v>
      </c>
      <c r="C264" s="129">
        <f>F150</f>
        <v>-0.22700000000000001</v>
      </c>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row>
    <row r="265" spans="1:32" ht="14.4">
      <c r="A265" s="4"/>
      <c r="B265" s="128" t="s">
        <v>43</v>
      </c>
      <c r="C265" s="129">
        <f>SUM(C266:C267)</f>
        <v>-0.28115894671582126</v>
      </c>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row>
    <row r="266" spans="1:32" ht="14.4">
      <c r="A266" s="4"/>
      <c r="B266" s="130" t="s">
        <v>3</v>
      </c>
      <c r="C266" s="131">
        <f>C234</f>
        <v>-0.61788415681070519</v>
      </c>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row>
    <row r="267" spans="1:32" ht="14.4">
      <c r="A267" s="4"/>
      <c r="B267" s="130" t="s">
        <v>4</v>
      </c>
      <c r="C267" s="131">
        <f>C238</f>
        <v>0.33672521009488393</v>
      </c>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row>
    <row r="268" spans="1:32" ht="10.199999999999999">
      <c r="A268" s="6"/>
      <c r="B268" s="133" t="s">
        <v>165</v>
      </c>
      <c r="C268" s="133"/>
      <c r="D268" s="133"/>
      <c r="E268" s="133"/>
      <c r="F268" s="133"/>
      <c r="G268" s="133"/>
      <c r="H268" s="133"/>
      <c r="I268" s="133"/>
      <c r="J268" s="6"/>
      <c r="K268" s="6"/>
      <c r="L268" s="6"/>
      <c r="M268" s="6"/>
      <c r="N268" s="6"/>
      <c r="O268" s="6"/>
      <c r="P268" s="6"/>
      <c r="Q268" s="6"/>
      <c r="R268" s="6"/>
      <c r="S268" s="6"/>
      <c r="T268" s="6"/>
      <c r="U268" s="6"/>
      <c r="V268" s="6"/>
      <c r="W268" s="6"/>
      <c r="X268" s="6"/>
      <c r="Y268" s="6"/>
      <c r="Z268" s="6"/>
      <c r="AA268" s="6"/>
      <c r="AB268" s="6"/>
      <c r="AC268" s="6"/>
      <c r="AD268" s="6"/>
      <c r="AE268" s="6"/>
      <c r="AF268" s="6"/>
    </row>
    <row r="269" spans="1:32" ht="10.199999999999999">
      <c r="A269" s="6"/>
      <c r="B269" s="133" t="s">
        <v>166</v>
      </c>
      <c r="C269" s="133"/>
      <c r="D269" s="133"/>
      <c r="E269" s="133"/>
      <c r="F269" s="133"/>
      <c r="G269" s="133"/>
      <c r="H269" s="133"/>
      <c r="I269" s="29"/>
      <c r="J269" s="6"/>
      <c r="K269" s="6"/>
      <c r="L269" s="6"/>
      <c r="M269" s="6"/>
      <c r="N269" s="6"/>
      <c r="O269" s="6"/>
      <c r="P269" s="6"/>
      <c r="Q269" s="6"/>
      <c r="R269" s="6"/>
      <c r="S269" s="6"/>
      <c r="T269" s="6"/>
      <c r="U269" s="6"/>
      <c r="V269" s="6"/>
      <c r="W269" s="6"/>
      <c r="X269" s="6"/>
      <c r="Y269" s="6"/>
      <c r="Z269" s="6"/>
      <c r="AA269" s="6"/>
      <c r="AB269" s="6"/>
      <c r="AC269" s="6"/>
      <c r="AD269" s="6"/>
      <c r="AE269" s="6"/>
      <c r="AF269" s="6"/>
    </row>
    <row r="270" spans="1:32" ht="10.199999999999999">
      <c r="A270" s="6"/>
      <c r="B270" s="133" t="s">
        <v>167</v>
      </c>
      <c r="C270" s="133"/>
      <c r="D270" s="133"/>
      <c r="E270" s="133"/>
      <c r="F270" s="133"/>
      <c r="G270" s="133"/>
      <c r="H270" s="133"/>
      <c r="I270" s="133"/>
      <c r="J270" s="6"/>
      <c r="K270" s="6"/>
      <c r="L270" s="6"/>
      <c r="M270" s="6"/>
      <c r="N270" s="6"/>
      <c r="O270" s="6"/>
      <c r="P270" s="6"/>
      <c r="Q270" s="6"/>
      <c r="R270" s="6"/>
      <c r="S270" s="6"/>
      <c r="T270" s="6"/>
      <c r="U270" s="6"/>
      <c r="V270" s="6"/>
      <c r="W270" s="6"/>
      <c r="X270" s="6"/>
      <c r="Y270" s="6"/>
      <c r="Z270" s="6"/>
      <c r="AA270" s="6"/>
      <c r="AB270" s="6"/>
      <c r="AC270" s="6"/>
      <c r="AD270" s="6"/>
      <c r="AE270" s="6"/>
      <c r="AF270" s="6"/>
    </row>
    <row r="271" spans="1:32" ht="10.199999999999999">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row>
    <row r="272" spans="1:32" ht="10.199999999999999">
      <c r="A272" s="6"/>
      <c r="B272" s="133"/>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row>
    <row r="273" spans="1:32" ht="10.199999999999999">
      <c r="A273" s="6"/>
      <c r="B273" s="133"/>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row>
    <row r="274" spans="1:32" ht="10.199999999999999">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row>
    <row r="275" spans="1:32" ht="10.199999999999999">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row>
    <row r="276" spans="1:32" ht="10.199999999999999">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row>
    <row r="277" spans="1:32" ht="10.199999999999999">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row>
    <row r="278" spans="1:32" ht="10.199999999999999">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row>
    <row r="279" spans="1:32" ht="10.199999999999999">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row>
    <row r="280" spans="1:32" ht="10.199999999999999">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row>
    <row r="281" spans="1:32" ht="10.199999999999999">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row>
    <row r="282" spans="1:32" ht="10.199999999999999">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row>
    <row r="283" spans="1:32" ht="10.199999999999999">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row>
    <row r="284" spans="1:32" ht="10.199999999999999">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row>
    <row r="285" spans="1:32" ht="10.199999999999999">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row>
    <row r="286" spans="1:32" ht="10.199999999999999">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row>
    <row r="287" spans="1:32" ht="10.199999999999999">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row>
    <row r="288" spans="1:32" ht="10.199999999999999">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row>
    <row r="289" spans="1:32" ht="10.199999999999999">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row>
    <row r="290" spans="1:32" ht="10.199999999999999">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row>
    <row r="291" spans="1:32" ht="10.199999999999999">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row>
    <row r="292" spans="1:32" ht="10.199999999999999">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row>
    <row r="293" spans="1:32" ht="10.199999999999999">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row>
    <row r="294" spans="1:32" ht="10.199999999999999">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row>
    <row r="295" spans="1:32" ht="10.199999999999999">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row>
    <row r="296" spans="1:32" ht="10.199999999999999">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row>
    <row r="297" spans="1:32" ht="10.199999999999999">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row>
    <row r="298" spans="1:32" ht="10.199999999999999">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row>
    <row r="299" spans="1:32" ht="10.199999999999999">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row>
    <row r="300" spans="1:32" ht="10.199999999999999">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row>
    <row r="301" spans="1:32" ht="10.199999999999999">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row>
    <row r="302" spans="1:32" ht="10.199999999999999">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row>
    <row r="303" spans="1:32" ht="10.199999999999999">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row>
    <row r="304" spans="1:32" ht="10.199999999999999">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row>
    <row r="305" spans="1:32" ht="10.199999999999999">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row>
    <row r="306" spans="1:32" ht="10.199999999999999">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row>
    <row r="307" spans="1:32" ht="10.199999999999999">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row>
    <row r="308" spans="1:32" ht="10.199999999999999">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row>
    <row r="309" spans="1:32" ht="10.199999999999999">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row>
    <row r="310" spans="1:32" ht="10.199999999999999">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row>
    <row r="311" spans="1:32" ht="10.199999999999999">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row>
    <row r="312" spans="1:32" ht="10.199999999999999">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row>
    <row r="313" spans="1:32" ht="10.199999999999999">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row>
    <row r="314" spans="1:32" ht="10.199999999999999">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row>
    <row r="315" spans="1:32" ht="10.199999999999999">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row>
    <row r="316" spans="1:32" ht="10.199999999999999">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row>
    <row r="317" spans="1:32" ht="10.199999999999999">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row>
    <row r="318" spans="1:32" ht="10.199999999999999">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row>
    <row r="319" spans="1:32" ht="10.199999999999999">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row>
    <row r="320" spans="1:32" ht="10.199999999999999">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row>
    <row r="321" spans="1:32" ht="10.199999999999999">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row>
    <row r="322" spans="1:32" ht="10.199999999999999">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row>
    <row r="323" spans="1:32" ht="10.199999999999999">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row>
    <row r="324" spans="1:32" ht="10.199999999999999">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row>
    <row r="325" spans="1:32" ht="10.199999999999999">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row>
    <row r="326" spans="1:32" ht="10.199999999999999">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row>
    <row r="327" spans="1:32" ht="10.199999999999999">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row>
    <row r="328" spans="1:32" ht="10.199999999999999">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row>
    <row r="329" spans="1:32" ht="10.199999999999999">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row>
    <row r="330" spans="1:32" ht="10.199999999999999">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row>
    <row r="331" spans="1:32" ht="10.199999999999999">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row>
    <row r="332" spans="1:32" ht="10.199999999999999">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row>
    <row r="333" spans="1:32" ht="10.199999999999999">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row>
    <row r="334" spans="1:32" ht="10.199999999999999">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row>
    <row r="335" spans="1:32" ht="10.199999999999999">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row>
    <row r="336" spans="1:32" ht="10.199999999999999">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row>
    <row r="337" spans="1:32" ht="10.199999999999999">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row>
    <row r="338" spans="1:32" ht="10.199999999999999">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row>
    <row r="339" spans="1:32" ht="10.199999999999999">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row>
    <row r="340" spans="1:32" ht="10.199999999999999">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row>
    <row r="341" spans="1:32" ht="10.199999999999999">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row>
    <row r="342" spans="1:32" ht="10.199999999999999">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row>
    <row r="343" spans="1:32" ht="10.199999999999999">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row>
    <row r="344" spans="1:32" ht="10.199999999999999">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row>
    <row r="345" spans="1:32" ht="10.199999999999999">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row>
    <row r="346" spans="1:32" ht="10.199999999999999">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row>
    <row r="347" spans="1:32" ht="10.199999999999999">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row>
    <row r="348" spans="1:32" ht="10.199999999999999">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row>
    <row r="349" spans="1:32" ht="10.199999999999999">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row>
    <row r="350" spans="1:32" ht="10.199999999999999">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row>
    <row r="351" spans="1:32" ht="10.199999999999999">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row>
    <row r="352" spans="1:32" ht="10.199999999999999">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row>
    <row r="353" spans="1:32" ht="10.199999999999999">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row>
    <row r="354" spans="1:32" ht="10.199999999999999">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row>
    <row r="355" spans="1:32" ht="10.199999999999999">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row>
    <row r="356" spans="1:32" ht="10.199999999999999">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row>
    <row r="357" spans="1:32" ht="10.199999999999999">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row>
    <row r="358" spans="1:32" ht="10.199999999999999">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row>
    <row r="359" spans="1:32" ht="10.199999999999999">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row>
    <row r="360" spans="1:32" ht="10.199999999999999">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row>
    <row r="361" spans="1:32" ht="10.199999999999999">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row>
    <row r="362" spans="1:32" ht="10.199999999999999">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row>
    <row r="363" spans="1:32" ht="10.199999999999999">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row>
    <row r="364" spans="1:32" ht="10.199999999999999">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row>
    <row r="365" spans="1:32" ht="10.199999999999999">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row>
    <row r="366" spans="1:32" ht="10.199999999999999">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row>
    <row r="367" spans="1:32" ht="10.199999999999999">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row>
    <row r="368" spans="1:32" ht="10.199999999999999">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row>
    <row r="369" spans="1:32" ht="10.199999999999999">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row>
    <row r="370" spans="1:32" ht="10.199999999999999">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row>
    <row r="371" spans="1:32" ht="10.199999999999999">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row>
    <row r="372" spans="1:32" ht="10.199999999999999">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row>
    <row r="373" spans="1:32" ht="10.199999999999999">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row>
    <row r="374" spans="1:32" ht="10.199999999999999">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row>
    <row r="375" spans="1:32" ht="10.199999999999999">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row>
    <row r="376" spans="1:32" ht="10.199999999999999">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row>
    <row r="377" spans="1:32" ht="10.199999999999999">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row>
    <row r="378" spans="1:32" ht="10.199999999999999">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row>
    <row r="379" spans="1:32" ht="10.199999999999999">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row>
    <row r="380" spans="1:32" ht="10.199999999999999">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row>
    <row r="381" spans="1:32" ht="10.199999999999999">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row>
    <row r="382" spans="1:32" ht="10.199999999999999">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row>
    <row r="383" spans="1:32" ht="10.199999999999999">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row>
    <row r="384" spans="1:32" ht="10.199999999999999">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row>
    <row r="385" spans="1:32" ht="10.199999999999999">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row>
    <row r="386" spans="1:32" ht="10.199999999999999">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row>
    <row r="387" spans="1:32" ht="10.199999999999999">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row>
    <row r="388" spans="1:32" ht="10.199999999999999">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row>
    <row r="389" spans="1:32" ht="10.199999999999999">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row>
    <row r="390" spans="1:32" ht="10.199999999999999">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row>
    <row r="391" spans="1:32" ht="10.199999999999999">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row>
    <row r="392" spans="1:32" ht="10.199999999999999">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row>
    <row r="393" spans="1:32" ht="10.199999999999999">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row>
    <row r="394" spans="1:32" ht="10.199999999999999">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row>
    <row r="395" spans="1:32" ht="10.199999999999999">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row>
    <row r="396" spans="1:32" ht="10.199999999999999">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row>
    <row r="397" spans="1:32" ht="10.199999999999999">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row>
    <row r="398" spans="1:32" ht="10.199999999999999">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row>
    <row r="399" spans="1:32" ht="10.199999999999999">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row>
    <row r="400" spans="1:32" ht="10.199999999999999">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row>
    <row r="401" spans="1:32" ht="10.199999999999999">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row>
    <row r="402" spans="1:32" ht="10.199999999999999">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row>
    <row r="403" spans="1:32" ht="10.199999999999999">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row>
    <row r="404" spans="1:32" ht="10.199999999999999">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row>
    <row r="405" spans="1:32" ht="10.199999999999999">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row>
    <row r="406" spans="1:32" ht="10.199999999999999">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row>
    <row r="407" spans="1:32" ht="10.199999999999999">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row>
    <row r="408" spans="1:32" ht="10.199999999999999">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row>
    <row r="409" spans="1:32" ht="10.199999999999999">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row>
    <row r="410" spans="1:32" ht="10.199999999999999">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row>
    <row r="411" spans="1:32" ht="10.199999999999999">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row>
    <row r="412" spans="1:32" ht="10.199999999999999">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row>
    <row r="413" spans="1:32" ht="10.199999999999999">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row>
    <row r="414" spans="1:32" ht="10.199999999999999">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row>
    <row r="415" spans="1:32" ht="10.199999999999999">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row>
    <row r="416" spans="1:32" ht="10.199999999999999">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row>
    <row r="417" spans="1:32" ht="10.199999999999999">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row>
    <row r="418" spans="1:32" ht="10.199999999999999">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row>
    <row r="419" spans="1:32" ht="10.199999999999999">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row>
    <row r="420" spans="1:32" ht="10.199999999999999">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row>
    <row r="421" spans="1:32" ht="10.199999999999999">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row>
    <row r="422" spans="1:32" ht="10.199999999999999">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row>
    <row r="423" spans="1:32" ht="10.199999999999999">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row>
    <row r="424" spans="1:32" ht="10.199999999999999">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row>
    <row r="425" spans="1:32" ht="10.199999999999999">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row>
    <row r="426" spans="1:32" ht="10.199999999999999">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row>
    <row r="427" spans="1:32" ht="10.199999999999999">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row>
    <row r="428" spans="1:32" ht="10.199999999999999">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row>
    <row r="429" spans="1:32" ht="10.199999999999999">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row>
    <row r="430" spans="1:32" ht="10.199999999999999">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row>
    <row r="431" spans="1:32" ht="10.199999999999999">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row>
    <row r="432" spans="1:32" ht="10.199999999999999">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row>
    <row r="433" spans="1:32" ht="10.199999999999999">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row>
    <row r="434" spans="1:32" ht="10.199999999999999">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row>
    <row r="435" spans="1:32" ht="10.199999999999999">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row>
    <row r="436" spans="1:32" ht="10.199999999999999">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row>
    <row r="437" spans="1:32" ht="10.199999999999999">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row>
    <row r="438" spans="1:32" ht="10.199999999999999">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row>
    <row r="439" spans="1:32" ht="10.199999999999999">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row>
    <row r="440" spans="1:32" ht="10.199999999999999">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row>
    <row r="441" spans="1:32" ht="10.199999999999999">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row>
    <row r="442" spans="1:32" ht="10.199999999999999">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row>
    <row r="443" spans="1:32" ht="10.199999999999999">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row>
    <row r="444" spans="1:32" ht="10.199999999999999">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row>
    <row r="445" spans="1:32" ht="10.199999999999999">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row>
    <row r="446" spans="1:32" ht="10.199999999999999">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row>
    <row r="447" spans="1:32" ht="10.199999999999999">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row>
    <row r="448" spans="1:32" ht="10.199999999999999">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row>
    <row r="449" spans="1:32" ht="10.199999999999999">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row>
    <row r="450" spans="1:32" ht="10.199999999999999">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row>
    <row r="451" spans="1:32" ht="10.199999999999999">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row>
    <row r="452" spans="1:32" ht="10.199999999999999">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row>
    <row r="453" spans="1:32" ht="10.199999999999999">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row>
    <row r="454" spans="1:32" ht="10.199999999999999">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row>
    <row r="455" spans="1:32" ht="10.199999999999999">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row>
    <row r="456" spans="1:32" ht="10.199999999999999">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row>
    <row r="457" spans="1:32" ht="10.199999999999999">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row>
    <row r="458" spans="1:32" ht="10.199999999999999">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row>
    <row r="459" spans="1:32" ht="10.199999999999999">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row>
    <row r="460" spans="1:32" ht="10.199999999999999">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row>
    <row r="461" spans="1:32" ht="10.199999999999999">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row>
    <row r="462" spans="1:32" ht="10.199999999999999">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row>
    <row r="463" spans="1:32" ht="10.199999999999999">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row>
    <row r="464" spans="1:32" ht="10.199999999999999">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row>
    <row r="465" spans="1:32" ht="10.199999999999999">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row>
    <row r="466" spans="1:32" ht="10.199999999999999">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row>
    <row r="467" spans="1:32" ht="10.199999999999999">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row>
    <row r="468" spans="1:32" ht="10.199999999999999">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row>
    <row r="469" spans="1:32" ht="10.199999999999999">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row>
    <row r="470" spans="1:32" ht="10.199999999999999">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row>
    <row r="471" spans="1:32" ht="10.199999999999999">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row>
    <row r="472" spans="1:32" ht="10.199999999999999">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row>
    <row r="473" spans="1:32" ht="10.199999999999999">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row>
    <row r="474" spans="1:32" ht="10.199999999999999">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row>
    <row r="475" spans="1:32" ht="10.199999999999999">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row>
    <row r="476" spans="1:32" ht="10.199999999999999">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row>
    <row r="477" spans="1:32" ht="10.199999999999999">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row>
    <row r="478" spans="1:32" ht="10.199999999999999">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row>
    <row r="479" spans="1:32" ht="10.199999999999999">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row>
    <row r="480" spans="1:32" ht="10.199999999999999">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row>
    <row r="481" spans="1:32" ht="10.199999999999999">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row>
    <row r="482" spans="1:32" ht="10.199999999999999">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row>
    <row r="483" spans="1:32" ht="10.199999999999999">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row>
    <row r="484" spans="1:32" ht="10.199999999999999">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row>
    <row r="485" spans="1:32" ht="10.199999999999999">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row>
    <row r="486" spans="1:32" ht="10.199999999999999">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row>
    <row r="487" spans="1:32" ht="10.199999999999999">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row>
    <row r="488" spans="1:32" ht="10.199999999999999">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row>
    <row r="489" spans="1:32" ht="10.199999999999999">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row>
    <row r="490" spans="1:32" ht="10.199999999999999">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row>
    <row r="491" spans="1:32" ht="10.199999999999999">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row>
    <row r="492" spans="1:32" ht="10.199999999999999">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row>
    <row r="493" spans="1:32" ht="10.199999999999999">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row>
    <row r="494" spans="1:32" ht="10.199999999999999">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row>
    <row r="495" spans="1:32" ht="10.199999999999999">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row>
    <row r="496" spans="1:32" ht="10.199999999999999">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row>
    <row r="497" spans="1:32" ht="10.199999999999999">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row>
    <row r="498" spans="1:32" ht="10.199999999999999">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row>
    <row r="499" spans="1:32" ht="10.199999999999999">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row>
    <row r="500" spans="1:32" ht="10.199999999999999">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row>
    <row r="501" spans="1:32" ht="10.199999999999999">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row>
    <row r="502" spans="1:32" ht="10.199999999999999">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row>
    <row r="503" spans="1:32" ht="10.199999999999999">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row>
    <row r="504" spans="1:32" ht="10.199999999999999">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row>
    <row r="505" spans="1:32" ht="10.199999999999999">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row>
    <row r="506" spans="1:32" ht="10.199999999999999">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row>
    <row r="507" spans="1:32" ht="10.199999999999999">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row>
    <row r="508" spans="1:32" ht="10.199999999999999">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row>
    <row r="509" spans="1:32" ht="10.199999999999999">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row>
    <row r="510" spans="1:32" ht="10.199999999999999">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row>
    <row r="511" spans="1:32" ht="10.199999999999999">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row>
    <row r="512" spans="1:32" ht="10.199999999999999">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row>
    <row r="513" spans="1:32" ht="10.199999999999999">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row>
    <row r="514" spans="1:32" ht="10.199999999999999">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row>
    <row r="515" spans="1:32" ht="10.199999999999999">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row>
    <row r="516" spans="1:32" ht="10.199999999999999">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row>
    <row r="517" spans="1:32" ht="10.199999999999999">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row>
    <row r="518" spans="1:32" ht="10.199999999999999">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row>
    <row r="519" spans="1:32" ht="10.199999999999999">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row>
    <row r="520" spans="1:32" ht="10.199999999999999">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row>
    <row r="521" spans="1:32" ht="10.199999999999999">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row>
    <row r="522" spans="1:32" ht="10.199999999999999">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row>
    <row r="523" spans="1:32" ht="10.199999999999999">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row>
    <row r="524" spans="1:32" ht="10.199999999999999">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row>
    <row r="525" spans="1:32" ht="10.199999999999999">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row>
    <row r="526" spans="1:32" ht="10.199999999999999">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row>
    <row r="527" spans="1:32" ht="10.199999999999999">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row>
    <row r="528" spans="1:32" ht="10.199999999999999">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row>
    <row r="529" spans="1:32" ht="10.199999999999999">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row>
    <row r="530" spans="1:32" ht="10.199999999999999">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row>
    <row r="531" spans="1:32" ht="10.199999999999999">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row>
    <row r="532" spans="1:32" ht="10.199999999999999">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row>
    <row r="533" spans="1:32" ht="10.199999999999999">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row>
    <row r="534" spans="1:32" ht="10.199999999999999">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row>
    <row r="535" spans="1:32" ht="10.199999999999999">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row>
    <row r="536" spans="1:32" ht="10.199999999999999">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row>
    <row r="537" spans="1:32" ht="10.199999999999999">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row>
    <row r="538" spans="1:32" ht="10.199999999999999">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row>
    <row r="539" spans="1:32" ht="10.199999999999999">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row>
    <row r="540" spans="1:32" ht="10.199999999999999">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row>
    <row r="541" spans="1:32" ht="10.199999999999999">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row>
    <row r="542" spans="1:32" ht="10.199999999999999">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row>
    <row r="543" spans="1:32" ht="10.199999999999999">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row>
    <row r="544" spans="1:32" ht="10.199999999999999">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row>
    <row r="545" spans="1:32" ht="10.199999999999999">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row>
    <row r="546" spans="1:32" ht="10.199999999999999">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row>
    <row r="547" spans="1:32" ht="10.199999999999999">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row>
    <row r="548" spans="1:32" ht="10.199999999999999">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row>
    <row r="549" spans="1:32" ht="10.199999999999999">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row>
    <row r="550" spans="1:32" ht="10.199999999999999">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row>
    <row r="551" spans="1:32" ht="10.199999999999999">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row>
    <row r="552" spans="1:32" ht="10.199999999999999">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row>
    <row r="553" spans="1:32" ht="10.199999999999999">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row>
    <row r="554" spans="1:32" ht="10.199999999999999">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row>
    <row r="555" spans="1:32" ht="10.199999999999999">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row>
    <row r="556" spans="1:32" ht="10.199999999999999">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row>
    <row r="557" spans="1:32" ht="10.199999999999999">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row>
    <row r="558" spans="1:32" ht="10.199999999999999">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row>
    <row r="559" spans="1:32" ht="10.199999999999999">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row>
    <row r="560" spans="1:32" ht="10.199999999999999">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row>
    <row r="561" spans="1:32" ht="10.199999999999999">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row>
    <row r="562" spans="1:32" ht="10.199999999999999">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row>
    <row r="563" spans="1:32" ht="10.199999999999999">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row>
    <row r="564" spans="1:32" ht="10.199999999999999">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row>
    <row r="565" spans="1:32" ht="10.199999999999999">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row>
    <row r="566" spans="1:32" ht="10.199999999999999">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row>
    <row r="567" spans="1:32" ht="10.199999999999999">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row>
    <row r="568" spans="1:32" ht="10.199999999999999">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row>
    <row r="569" spans="1:32" ht="10.199999999999999">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row>
    <row r="570" spans="1:32" ht="10.199999999999999">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row>
    <row r="571" spans="1:32" ht="10.199999999999999">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row>
    <row r="572" spans="1:32" ht="10.199999999999999">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row>
    <row r="573" spans="1:32" ht="10.199999999999999">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row>
    <row r="574" spans="1:32" ht="10.199999999999999">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row>
    <row r="575" spans="1:32" ht="10.199999999999999">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row>
    <row r="576" spans="1:32" ht="10.199999999999999">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row>
    <row r="577" spans="1:32" ht="10.199999999999999">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row>
    <row r="578" spans="1:32" ht="10.199999999999999">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row>
    <row r="579" spans="1:32" ht="10.199999999999999">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row>
    <row r="580" spans="1:32" ht="10.199999999999999">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row>
    <row r="581" spans="1:32" ht="10.199999999999999">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row>
    <row r="582" spans="1:32" ht="10.199999999999999">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row>
    <row r="583" spans="1:32" ht="10.199999999999999">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row>
    <row r="584" spans="1:32" ht="10.199999999999999">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row>
    <row r="585" spans="1:32" ht="10.199999999999999">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row>
    <row r="586" spans="1:32" ht="10.199999999999999">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row>
    <row r="587" spans="1:32" ht="10.199999999999999">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row>
    <row r="588" spans="1:32" ht="10.199999999999999">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row>
    <row r="589" spans="1:32" ht="10.199999999999999">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row>
    <row r="590" spans="1:32" ht="10.199999999999999">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row>
    <row r="591" spans="1:32" ht="10.199999999999999">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row>
    <row r="592" spans="1:32" ht="10.199999999999999">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row>
    <row r="593" spans="1:32" ht="10.199999999999999">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row>
    <row r="594" spans="1:32" ht="10.199999999999999">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row>
    <row r="595" spans="1:32" ht="10.199999999999999">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row>
    <row r="596" spans="1:32" ht="10.199999999999999">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row>
    <row r="597" spans="1:32" ht="10.199999999999999">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row>
    <row r="598" spans="1:32" ht="10.199999999999999">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row>
    <row r="599" spans="1:32" ht="10.199999999999999">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row>
    <row r="600" spans="1:32" ht="10.199999999999999">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row>
    <row r="601" spans="1:32" ht="10.199999999999999">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row>
    <row r="602" spans="1:32" ht="10.199999999999999">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row>
    <row r="603" spans="1:32" ht="10.199999999999999">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row>
    <row r="604" spans="1:32" ht="10.199999999999999">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row>
    <row r="605" spans="1:32" ht="10.199999999999999">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row>
    <row r="606" spans="1:32" ht="10.199999999999999">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row>
    <row r="607" spans="1:32" ht="10.199999999999999">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row>
    <row r="608" spans="1:32" ht="10.199999999999999">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row>
    <row r="609" spans="1:32" ht="10.199999999999999">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row>
    <row r="610" spans="1:32" ht="10.199999999999999">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row>
    <row r="611" spans="1:32" ht="10.199999999999999">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row>
    <row r="612" spans="1:32" ht="10.199999999999999">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row>
    <row r="613" spans="1:32" ht="10.199999999999999">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row>
    <row r="614" spans="1:32" ht="10.199999999999999">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row>
    <row r="615" spans="1:32" ht="10.199999999999999">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row>
    <row r="616" spans="1:32" ht="10.199999999999999">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row>
    <row r="617" spans="1:32" ht="10.199999999999999">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row>
    <row r="618" spans="1:32" ht="10.199999999999999">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row>
    <row r="619" spans="1:32" ht="10.199999999999999">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row>
    <row r="620" spans="1:32" ht="10.199999999999999">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row>
    <row r="621" spans="1:32" ht="10.199999999999999">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row>
    <row r="622" spans="1:32" ht="10.199999999999999">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row>
    <row r="623" spans="1:32" ht="10.199999999999999">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row>
    <row r="624" spans="1:32" ht="10.199999999999999">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row>
    <row r="625" spans="1:32" ht="10.199999999999999">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row>
    <row r="626" spans="1:32" ht="10.199999999999999">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row>
    <row r="627" spans="1:32" ht="10.199999999999999">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row>
    <row r="628" spans="1:32" ht="10.199999999999999">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row>
    <row r="629" spans="1:32" ht="10.199999999999999">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row>
    <row r="630" spans="1:32" ht="10.199999999999999">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row>
    <row r="631" spans="1:32" ht="10.199999999999999">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row>
    <row r="632" spans="1:32" ht="10.199999999999999">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row>
    <row r="633" spans="1:32" ht="10.199999999999999">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row>
    <row r="634" spans="1:32" ht="10.199999999999999">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row>
    <row r="635" spans="1:32" ht="10.199999999999999">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row>
    <row r="636" spans="1:32" ht="10.199999999999999">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row>
    <row r="637" spans="1:32" ht="10.199999999999999">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row>
    <row r="638" spans="1:32" ht="10.199999999999999">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row>
    <row r="639" spans="1:32" ht="10.199999999999999">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row>
    <row r="640" spans="1:32" ht="10.199999999999999">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row>
    <row r="641" spans="1:32" ht="10.199999999999999">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row>
    <row r="642" spans="1:32" ht="10.199999999999999">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row>
    <row r="643" spans="1:32" ht="10.199999999999999">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row>
    <row r="644" spans="1:32" ht="10.199999999999999">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row>
    <row r="645" spans="1:32" ht="10.199999999999999">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row>
    <row r="646" spans="1:32" ht="10.199999999999999">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row>
    <row r="647" spans="1:32" ht="10.199999999999999">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row>
    <row r="648" spans="1:32" ht="10.199999999999999">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row>
    <row r="649" spans="1:32" ht="10.199999999999999">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row>
    <row r="650" spans="1:32" ht="10.199999999999999">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row>
    <row r="651" spans="1:32" ht="10.199999999999999">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row>
    <row r="652" spans="1:32" ht="10.199999999999999">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row>
    <row r="653" spans="1:32" ht="10.199999999999999">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row>
    <row r="654" spans="1:32" ht="10.199999999999999">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row>
    <row r="655" spans="1:32" ht="10.199999999999999">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row>
    <row r="656" spans="1:32" ht="10.199999999999999">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row>
    <row r="657" spans="1:32" ht="10.199999999999999">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row>
    <row r="658" spans="1:32" ht="10.199999999999999">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row>
    <row r="659" spans="1:32" ht="10.199999999999999">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row>
    <row r="660" spans="1:32" ht="10.199999999999999">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row>
    <row r="661" spans="1:32" ht="10.199999999999999">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row>
    <row r="662" spans="1:32" ht="10.199999999999999">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row>
    <row r="663" spans="1:32" ht="10.199999999999999">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row>
    <row r="664" spans="1:32" ht="10.199999999999999">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row>
    <row r="665" spans="1:32" ht="10.199999999999999">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row>
    <row r="666" spans="1:32" ht="10.199999999999999">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row>
    <row r="667" spans="1:32" ht="10.199999999999999">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row>
    <row r="668" spans="1:32" ht="10.199999999999999">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row>
    <row r="669" spans="1:32" ht="10.199999999999999">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row>
    <row r="670" spans="1:32" ht="10.199999999999999">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row>
    <row r="671" spans="1:32" ht="10.199999999999999">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row>
    <row r="672" spans="1:32" ht="10.199999999999999">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row>
    <row r="673" spans="1:32" ht="10.199999999999999">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row>
    <row r="674" spans="1:32" ht="10.199999999999999">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row>
    <row r="675" spans="1:32" ht="10.199999999999999">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row>
    <row r="676" spans="1:32" ht="10.199999999999999">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row>
    <row r="677" spans="1:32" ht="10.199999999999999">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row>
    <row r="678" spans="1:32" ht="10.199999999999999">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row>
    <row r="679" spans="1:32" ht="10.199999999999999">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row>
    <row r="680" spans="1:32" ht="10.199999999999999">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row>
    <row r="681" spans="1:32" ht="10.199999999999999">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row>
    <row r="682" spans="1:32" ht="10.199999999999999">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row>
    <row r="683" spans="1:32" ht="10.199999999999999">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row>
    <row r="684" spans="1:32" ht="10.199999999999999">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row>
    <row r="685" spans="1:32" ht="10.199999999999999">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row>
    <row r="686" spans="1:32" ht="10.199999999999999">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row>
    <row r="687" spans="1:32" ht="10.199999999999999">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row>
    <row r="688" spans="1:32" ht="10.199999999999999">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row>
    <row r="689" spans="1:32" ht="10.199999999999999">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row>
    <row r="690" spans="1:32" ht="10.199999999999999">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row>
    <row r="691" spans="1:32" ht="10.199999999999999">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row>
    <row r="692" spans="1:32" ht="10.199999999999999">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row>
    <row r="693" spans="1:32" ht="10.199999999999999">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row>
    <row r="694" spans="1:32" ht="10.199999999999999">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row>
    <row r="695" spans="1:32" ht="10.199999999999999">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row>
    <row r="696" spans="1:32" ht="10.199999999999999">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row>
    <row r="697" spans="1:32" ht="10.199999999999999">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row>
    <row r="698" spans="1:32" ht="10.199999999999999">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row>
    <row r="699" spans="1:32" ht="10.199999999999999">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row>
    <row r="700" spans="1:32" ht="10.199999999999999">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row>
    <row r="701" spans="1:32" ht="10.199999999999999">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row>
    <row r="702" spans="1:32" ht="10.199999999999999">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row>
    <row r="703" spans="1:32" ht="10.199999999999999">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row>
    <row r="704" spans="1:32" ht="10.199999999999999">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row>
    <row r="705" spans="1:32" ht="10.199999999999999">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row>
    <row r="706" spans="1:32" ht="10.199999999999999">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row>
    <row r="707" spans="1:32" ht="10.199999999999999">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row>
    <row r="708" spans="1:32" ht="10.199999999999999">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row>
    <row r="709" spans="1:32" ht="10.199999999999999">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row>
    <row r="710" spans="1:32" ht="10.199999999999999">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row>
    <row r="711" spans="1:32" ht="10.199999999999999">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row>
    <row r="712" spans="1:32" ht="10.199999999999999">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row>
    <row r="713" spans="1:32" ht="10.199999999999999">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row>
    <row r="714" spans="1:32" ht="10.199999999999999">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row>
    <row r="715" spans="1:32" ht="10.199999999999999">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row>
    <row r="716" spans="1:32" ht="10.199999999999999">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row>
    <row r="717" spans="1:32" ht="10.199999999999999">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row>
    <row r="718" spans="1:32" ht="10.199999999999999">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row>
    <row r="719" spans="1:32" ht="10.199999999999999">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row>
    <row r="720" spans="1:32" ht="10.199999999999999">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row>
    <row r="721" spans="1:32" ht="10.199999999999999">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row>
    <row r="722" spans="1:32" ht="10.199999999999999">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row>
    <row r="723" spans="1:32" ht="10.199999999999999">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row>
    <row r="724" spans="1:32" ht="10.199999999999999">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row>
    <row r="725" spans="1:32" ht="10.199999999999999">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row>
    <row r="726" spans="1:32" ht="10.199999999999999">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row>
    <row r="727" spans="1:32" ht="10.199999999999999">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row>
    <row r="728" spans="1:32" ht="10.199999999999999">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row>
    <row r="729" spans="1:32" ht="10.199999999999999">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row>
    <row r="730" spans="1:32" ht="10.199999999999999">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row>
    <row r="731" spans="1:32" ht="10.199999999999999">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row>
    <row r="732" spans="1:32" ht="10.199999999999999">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row>
    <row r="733" spans="1:32" ht="10.199999999999999">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row>
    <row r="734" spans="1:32" ht="10.199999999999999">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row>
    <row r="735" spans="1:32" ht="10.199999999999999">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row>
    <row r="736" spans="1:32" ht="10.199999999999999">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row>
    <row r="737" spans="1:32" ht="10.199999999999999">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row>
    <row r="738" spans="1:32" ht="10.199999999999999">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row>
    <row r="739" spans="1:32" ht="10.199999999999999">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row>
    <row r="740" spans="1:32" ht="10.199999999999999">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row>
    <row r="741" spans="1:32" ht="10.199999999999999">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row>
    <row r="742" spans="1:32" ht="10.199999999999999">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row>
    <row r="743" spans="1:32" ht="10.199999999999999">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row>
    <row r="744" spans="1:32" ht="10.199999999999999">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row>
    <row r="745" spans="1:32" ht="10.199999999999999">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row>
    <row r="746" spans="1:32" ht="10.199999999999999">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row>
    <row r="747" spans="1:32" ht="10.199999999999999">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row>
    <row r="748" spans="1:32" ht="10.199999999999999">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row>
    <row r="749" spans="1:32" ht="10.199999999999999">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row>
    <row r="750" spans="1:32" ht="10.199999999999999">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row>
    <row r="751" spans="1:32" ht="10.199999999999999">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row>
    <row r="752" spans="1:32" ht="10.199999999999999">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row>
    <row r="753" spans="1:32" ht="10.199999999999999">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row>
    <row r="754" spans="1:32" ht="10.199999999999999">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row>
    <row r="755" spans="1:32" ht="10.199999999999999">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row>
    <row r="756" spans="1:32" ht="10.199999999999999">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row>
    <row r="757" spans="1:32" ht="10.199999999999999">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row>
    <row r="758" spans="1:32" ht="10.199999999999999">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row>
    <row r="759" spans="1:32" ht="10.199999999999999">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row>
    <row r="760" spans="1:32" ht="10.199999999999999">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row>
    <row r="761" spans="1:32" ht="10.199999999999999">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row>
    <row r="762" spans="1:32" ht="10.199999999999999">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row>
    <row r="763" spans="1:32" ht="10.199999999999999">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row>
    <row r="764" spans="1:32" ht="10.199999999999999">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row>
    <row r="765" spans="1:32" ht="10.199999999999999">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row>
    <row r="766" spans="1:32" ht="10.199999999999999">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row>
    <row r="767" spans="1:32" ht="10.199999999999999">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row>
    <row r="768" spans="1:32" ht="10.199999999999999">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row>
    <row r="769" spans="1:32" ht="10.199999999999999">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row>
    <row r="770" spans="1:32" ht="10.199999999999999">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row>
    <row r="771" spans="1:32" ht="10.199999999999999">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row>
    <row r="772" spans="1:32" ht="10.199999999999999">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row>
    <row r="773" spans="1:32" ht="10.199999999999999">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row>
    <row r="774" spans="1:32" ht="10.199999999999999">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row>
    <row r="775" spans="1:32" ht="10.199999999999999">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row>
    <row r="776" spans="1:32" ht="10.199999999999999">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row>
    <row r="777" spans="1:32" ht="10.199999999999999">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row>
    <row r="778" spans="1:32" ht="10.199999999999999">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row>
    <row r="779" spans="1:32" ht="10.199999999999999">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row>
    <row r="780" spans="1:32" ht="10.199999999999999">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row>
    <row r="781" spans="1:32" ht="10.199999999999999">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row>
    <row r="782" spans="1:32" ht="10.199999999999999">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row>
    <row r="783" spans="1:32" ht="10.199999999999999">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row>
    <row r="784" spans="1:32" ht="10.199999999999999">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row>
    <row r="785" spans="1:32" ht="10.199999999999999">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row>
    <row r="786" spans="1:32" ht="10.199999999999999">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row>
    <row r="787" spans="1:32" ht="10.199999999999999">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row>
    <row r="788" spans="1:32" ht="10.199999999999999">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row>
    <row r="789" spans="1:32" ht="10.199999999999999">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row>
    <row r="790" spans="1:32" ht="10.199999999999999">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row>
    <row r="791" spans="1:32" ht="10.199999999999999">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row>
    <row r="792" spans="1:32" ht="10.199999999999999">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row>
    <row r="793" spans="1:32" ht="10.199999999999999">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row>
    <row r="794" spans="1:32" ht="10.199999999999999">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row>
    <row r="795" spans="1:32" ht="10.199999999999999">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row>
    <row r="796" spans="1:32" ht="10.199999999999999">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row>
    <row r="797" spans="1:32" ht="10.199999999999999">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row>
    <row r="798" spans="1:32" ht="10.199999999999999">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row>
    <row r="799" spans="1:32" ht="10.199999999999999">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row>
    <row r="800" spans="1:32" ht="10.199999999999999">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row>
    <row r="801" spans="1:32" ht="10.199999999999999">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row>
    <row r="802" spans="1:32" ht="10.199999999999999">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row>
    <row r="803" spans="1:32" ht="10.199999999999999">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row>
    <row r="804" spans="1:32" ht="10.199999999999999">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row>
    <row r="805" spans="1:32" ht="10.199999999999999">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row>
    <row r="806" spans="1:32" ht="10.199999999999999">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row>
    <row r="807" spans="1:32" ht="10.199999999999999">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row>
    <row r="808" spans="1:32" ht="10.199999999999999">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row>
    <row r="809" spans="1:32" ht="10.199999999999999">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row>
    <row r="810" spans="1:32" ht="10.199999999999999">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row>
    <row r="811" spans="1:32" ht="10.199999999999999">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row>
    <row r="812" spans="1:32" ht="10.199999999999999">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row>
    <row r="813" spans="1:32" ht="10.199999999999999">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row>
    <row r="814" spans="1:32" ht="10.199999999999999">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row>
    <row r="815" spans="1:32" ht="10.199999999999999">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row>
    <row r="816" spans="1:32" ht="10.199999999999999">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row>
    <row r="817" spans="1:32" ht="10.199999999999999">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row>
    <row r="818" spans="1:32" ht="10.199999999999999">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row>
    <row r="819" spans="1:32" ht="10.199999999999999">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row>
    <row r="820" spans="1:32" ht="10.199999999999999">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row>
    <row r="821" spans="1:32" ht="10.199999999999999">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row>
    <row r="822" spans="1:32" ht="10.199999999999999">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row>
    <row r="823" spans="1:32" ht="10.199999999999999">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row>
    <row r="824" spans="1:32" ht="10.199999999999999">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row>
    <row r="825" spans="1:32" ht="10.199999999999999">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row>
    <row r="826" spans="1:32" ht="10.199999999999999">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row>
    <row r="827" spans="1:32" ht="10.199999999999999">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row>
    <row r="828" spans="1:32" ht="10.199999999999999">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row>
    <row r="829" spans="1:32" ht="10.199999999999999">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row>
    <row r="830" spans="1:32" ht="10.199999999999999">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row>
    <row r="831" spans="1:32" ht="10.199999999999999">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row>
    <row r="832" spans="1:32" ht="10.199999999999999">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row>
    <row r="833" spans="1:32" ht="10.199999999999999">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row>
    <row r="834" spans="1:32" ht="10.199999999999999">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row>
    <row r="835" spans="1:32" ht="10.199999999999999">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row>
    <row r="836" spans="1:32" ht="10.199999999999999">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row>
    <row r="837" spans="1:32" ht="10.199999999999999">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row>
    <row r="838" spans="1:32" ht="10.199999999999999">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row>
    <row r="839" spans="1:32" ht="10.199999999999999">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row>
    <row r="840" spans="1:32" ht="10.199999999999999">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row>
    <row r="841" spans="1:32" ht="10.199999999999999">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row>
    <row r="842" spans="1:32" ht="10.199999999999999">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row>
    <row r="843" spans="1:32" ht="10.199999999999999">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row>
    <row r="844" spans="1:32" ht="10.199999999999999">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row>
    <row r="845" spans="1:32" ht="10.199999999999999">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row>
    <row r="846" spans="1:32" ht="10.199999999999999">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row>
    <row r="847" spans="1:32" ht="10.199999999999999">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row>
    <row r="848" spans="1:32" ht="10.199999999999999">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row>
    <row r="849" spans="1:32" ht="10.199999999999999">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row>
    <row r="850" spans="1:32" ht="10.199999999999999">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row>
    <row r="851" spans="1:32" ht="10.199999999999999">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row>
    <row r="852" spans="1:32" ht="10.199999999999999">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row>
    <row r="853" spans="1:32" ht="10.199999999999999">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row>
    <row r="854" spans="1:32" ht="10.199999999999999">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row>
    <row r="855" spans="1:32" ht="10.199999999999999">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row>
    <row r="856" spans="1:32" ht="10.199999999999999">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row>
    <row r="857" spans="1:32" ht="10.199999999999999">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row>
    <row r="858" spans="1:32" ht="10.199999999999999">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row>
    <row r="859" spans="1:32" ht="10.199999999999999">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row>
    <row r="860" spans="1:32" ht="10.199999999999999">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row>
    <row r="861" spans="1:32" ht="10.199999999999999">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row>
    <row r="862" spans="1:32" ht="10.199999999999999">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row>
    <row r="863" spans="1:32" ht="10.199999999999999">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row>
    <row r="864" spans="1:32" ht="10.199999999999999">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row>
    <row r="865" spans="1:32" ht="10.199999999999999">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row>
    <row r="866" spans="1:32" ht="10.199999999999999">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row>
    <row r="867" spans="1:32" ht="10.199999999999999">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row>
    <row r="868" spans="1:32" ht="10.199999999999999">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row>
    <row r="869" spans="1:32" ht="10.199999999999999">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row>
    <row r="870" spans="1:32" ht="10.199999999999999">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row>
    <row r="871" spans="1:32" ht="10.199999999999999">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row>
    <row r="872" spans="1:32" ht="10.199999999999999">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row>
    <row r="873" spans="1:32" ht="10.199999999999999">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row>
    <row r="874" spans="1:32" ht="10.199999999999999">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row>
    <row r="875" spans="1:32" ht="10.199999999999999">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row>
    <row r="876" spans="1:32" ht="10.199999999999999">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row>
    <row r="877" spans="1:32" ht="10.199999999999999">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row>
    <row r="878" spans="1:32" ht="10.199999999999999">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row>
    <row r="879" spans="1:32" ht="10.199999999999999">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row>
    <row r="880" spans="1:32" ht="10.199999999999999">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row>
    <row r="881" spans="1:32" ht="10.199999999999999">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row>
    <row r="882" spans="1:32" ht="10.199999999999999">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row>
    <row r="883" spans="1:32" ht="10.199999999999999">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row>
    <row r="884" spans="1:32" ht="10.199999999999999">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row>
    <row r="885" spans="1:32" ht="10.199999999999999">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row>
    <row r="886" spans="1:32" ht="10.199999999999999">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row>
    <row r="887" spans="1:32" ht="10.199999999999999">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row>
    <row r="888" spans="1:32" ht="10.199999999999999">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row>
    <row r="889" spans="1:32" ht="10.199999999999999">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row>
    <row r="890" spans="1:32" ht="10.199999999999999">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row>
    <row r="891" spans="1:32" ht="10.199999999999999">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row>
    <row r="892" spans="1:32" ht="10.199999999999999">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row>
    <row r="893" spans="1:32" ht="10.199999999999999">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row>
    <row r="894" spans="1:32" ht="10.199999999999999">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row>
    <row r="895" spans="1:32" ht="10.199999999999999">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row>
    <row r="896" spans="1:32" ht="10.199999999999999">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row>
    <row r="897" spans="1:32" ht="10.199999999999999">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row>
    <row r="898" spans="1:32" ht="10.199999999999999">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row>
    <row r="899" spans="1:32" ht="10.199999999999999">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row>
    <row r="900" spans="1:32" ht="10.199999999999999">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row>
    <row r="901" spans="1:32" ht="10.199999999999999">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row>
    <row r="902" spans="1:32" ht="10.199999999999999">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row>
    <row r="903" spans="1:32" ht="10.199999999999999">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row>
    <row r="904" spans="1:32" ht="10.199999999999999">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row>
    <row r="905" spans="1:32" ht="10.199999999999999">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row>
    <row r="906" spans="1:32" ht="10.199999999999999">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row>
    <row r="907" spans="1:32" ht="10.199999999999999">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row>
    <row r="908" spans="1:32" ht="10.199999999999999">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row>
    <row r="909" spans="1:32" ht="10.199999999999999">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row>
    <row r="910" spans="1:32" ht="10.199999999999999">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row>
    <row r="911" spans="1:32" ht="10.199999999999999">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row>
    <row r="912" spans="1:32" ht="10.199999999999999">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row>
    <row r="913" spans="1:32" ht="10.199999999999999">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row>
    <row r="914" spans="1:32" ht="10.199999999999999">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row>
    <row r="915" spans="1:32" ht="10.199999999999999">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row>
    <row r="916" spans="1:32" ht="10.199999999999999">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row>
    <row r="917" spans="1:32" ht="10.199999999999999">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row>
    <row r="918" spans="1:32" ht="10.199999999999999">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row>
    <row r="919" spans="1:32" ht="10.199999999999999">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row>
    <row r="920" spans="1:32" ht="10.199999999999999">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row>
    <row r="921" spans="1:32" ht="10.199999999999999">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row>
    <row r="922" spans="1:32" ht="10.199999999999999">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row>
    <row r="923" spans="1:32" ht="10.199999999999999">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row>
    <row r="924" spans="1:32" ht="10.199999999999999">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row>
    <row r="925" spans="1:32" ht="10.199999999999999">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row>
    <row r="926" spans="1:32" ht="10.199999999999999">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row>
    <row r="927" spans="1:32" ht="10.199999999999999">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row>
    <row r="928" spans="1:32" ht="10.199999999999999">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row>
    <row r="929" spans="1:32" ht="10.199999999999999">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row>
    <row r="930" spans="1:32" ht="10.199999999999999">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row>
    <row r="931" spans="1:32" ht="10.199999999999999">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row>
    <row r="932" spans="1:32" ht="10.199999999999999">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row>
    <row r="933" spans="1:32" ht="10.199999999999999">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row>
    <row r="934" spans="1:32" ht="10.199999999999999">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row>
    <row r="935" spans="1:32" ht="10.199999999999999">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row>
    <row r="936" spans="1:32" ht="10.199999999999999">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row>
    <row r="937" spans="1:32" ht="10.199999999999999">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row>
    <row r="938" spans="1:32" ht="10.199999999999999">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row>
    <row r="939" spans="1:32" ht="10.199999999999999">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row>
    <row r="940" spans="1:32" ht="10.199999999999999">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row>
    <row r="941" spans="1:32" ht="10.199999999999999">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row>
    <row r="942" spans="1:32" ht="10.199999999999999">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row>
    <row r="943" spans="1:32" ht="10.199999999999999">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row>
    <row r="944" spans="1:32" ht="10.199999999999999">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row>
    <row r="945" spans="1:32" ht="10.199999999999999">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row>
    <row r="946" spans="1:32" ht="10.199999999999999">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row>
    <row r="947" spans="1:32" ht="10.199999999999999">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row>
    <row r="948" spans="1:32" ht="10.199999999999999">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row>
    <row r="949" spans="1:32" ht="10.199999999999999">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row>
    <row r="950" spans="1:32" ht="10.199999999999999">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row>
    <row r="951" spans="1:32" ht="10.199999999999999">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row>
    <row r="952" spans="1:32" ht="10.199999999999999">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row>
    <row r="953" spans="1:32" ht="10.199999999999999">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row>
    <row r="954" spans="1:32" ht="10.199999999999999">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row>
    <row r="955" spans="1:32" ht="10.199999999999999">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row>
    <row r="956" spans="1:32" ht="10.199999999999999">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row>
    <row r="957" spans="1:32" ht="10.199999999999999">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row>
    <row r="958" spans="1:32" ht="10.199999999999999">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row>
    <row r="959" spans="1:32" ht="10.199999999999999">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row>
    <row r="960" spans="1:32" ht="10.199999999999999">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row>
    <row r="961" spans="1:32" ht="10.199999999999999">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row>
    <row r="962" spans="1:32" ht="10.199999999999999">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row>
    <row r="963" spans="1:32" ht="10.199999999999999">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row>
    <row r="964" spans="1:32" ht="10.199999999999999">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row>
    <row r="965" spans="1:32" ht="10.199999999999999">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row>
    <row r="966" spans="1:32" ht="10.199999999999999">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row>
    <row r="967" spans="1:32" ht="10.199999999999999">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row>
    <row r="968" spans="1:32" ht="10.199999999999999">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row>
    <row r="969" spans="1:32" ht="10.199999999999999">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row>
    <row r="970" spans="1:32" ht="10.199999999999999">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row>
    <row r="971" spans="1:32" ht="10.199999999999999">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row>
    <row r="972" spans="1:32" ht="10.199999999999999">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row>
    <row r="973" spans="1:32" ht="10.199999999999999">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row>
    <row r="974" spans="1:32" ht="10.199999999999999">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row>
    <row r="975" spans="1:32" ht="10.199999999999999">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row>
    <row r="976" spans="1:32" ht="10.199999999999999">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row>
    <row r="977" spans="1:32" ht="10.199999999999999">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row>
    <row r="978" spans="1:32" ht="10.199999999999999">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row>
    <row r="979" spans="1:32" ht="10.199999999999999">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row>
    <row r="980" spans="1:32" ht="10.199999999999999">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row>
    <row r="981" spans="1:32" ht="10.199999999999999">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row>
    <row r="982" spans="1:32" ht="10.199999999999999">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row>
    <row r="983" spans="1:32" ht="10.199999999999999">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row>
    <row r="984" spans="1:32" ht="10.199999999999999">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row>
    <row r="985" spans="1:32" ht="10.199999999999999">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row>
    <row r="986" spans="1:32" ht="10.199999999999999">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row>
    <row r="987" spans="1:32" ht="10.199999999999999">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row>
    <row r="988" spans="1:32" ht="10.199999999999999">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row>
    <row r="989" spans="1:32" ht="10.199999999999999">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row>
    <row r="990" spans="1:32" ht="10.199999999999999">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row>
    <row r="991" spans="1:32" ht="10.199999999999999">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row>
    <row r="992" spans="1:32" ht="10.199999999999999">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row>
    <row r="993" spans="1:32" ht="10.199999999999999">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row>
    <row r="994" spans="1:32" ht="10.199999999999999">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row>
    <row r="995" spans="1:32" ht="10.199999999999999">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row>
    <row r="996" spans="1:32" ht="10.199999999999999">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row>
    <row r="997" spans="1:32" ht="10.199999999999999">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row>
    <row r="998" spans="1:32" ht="10.199999999999999">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row>
    <row r="999" spans="1:32" ht="10.199999999999999">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row>
    <row r="1000" spans="1:32" ht="10.199999999999999">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row>
    <row r="1001" spans="1:32" ht="10.199999999999999">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c r="AA1001" s="6"/>
      <c r="AB1001" s="6"/>
      <c r="AC1001" s="6"/>
      <c r="AD1001" s="6"/>
      <c r="AE1001" s="6"/>
      <c r="AF1001" s="6"/>
    </row>
    <row r="1002" spans="1:32" ht="10.199999999999999">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c r="AA1002" s="6"/>
      <c r="AB1002" s="6"/>
      <c r="AC1002" s="6"/>
      <c r="AD1002" s="6"/>
      <c r="AE1002" s="6"/>
      <c r="AF1002" s="6"/>
    </row>
    <row r="1003" spans="1:32" ht="10.199999999999999">
      <c r="A1003" s="6"/>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c r="AA1003" s="6"/>
      <c r="AB1003" s="6"/>
      <c r="AC1003" s="6"/>
      <c r="AD1003" s="6"/>
      <c r="AE1003" s="6"/>
      <c r="AF1003" s="6"/>
    </row>
    <row r="1004" spans="1:32" ht="10.199999999999999">
      <c r="A1004" s="6"/>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c r="AA1004" s="6"/>
      <c r="AB1004" s="6"/>
      <c r="AC1004" s="6"/>
      <c r="AD1004" s="6"/>
      <c r="AE1004" s="6"/>
      <c r="AF1004" s="6"/>
    </row>
    <row r="1005" spans="1:32" ht="10.199999999999999">
      <c r="A1005" s="6"/>
      <c r="B1005" s="6"/>
      <c r="C1005" s="6"/>
      <c r="D1005" s="6"/>
      <c r="E1005" s="6"/>
      <c r="F1005" s="6"/>
      <c r="G1005" s="6"/>
      <c r="H1005" s="6"/>
      <c r="I1005" s="6"/>
      <c r="J1005" s="6"/>
      <c r="K1005" s="6"/>
      <c r="L1005" s="6"/>
      <c r="M1005" s="6"/>
      <c r="N1005" s="6"/>
      <c r="O1005" s="6"/>
      <c r="P1005" s="6"/>
      <c r="Q1005" s="6"/>
      <c r="R1005" s="6"/>
      <c r="S1005" s="6"/>
      <c r="T1005" s="6"/>
      <c r="U1005" s="6"/>
      <c r="V1005" s="6"/>
      <c r="W1005" s="6"/>
      <c r="X1005" s="6"/>
      <c r="Y1005" s="6"/>
      <c r="Z1005" s="6"/>
      <c r="AA1005" s="6"/>
      <c r="AB1005" s="6"/>
      <c r="AC1005" s="6"/>
      <c r="AD1005" s="6"/>
      <c r="AE1005" s="6"/>
      <c r="AF1005" s="6"/>
    </row>
    <row r="1006" spans="1:32" ht="10.199999999999999">
      <c r="A1006" s="6"/>
      <c r="B1006" s="6"/>
      <c r="C1006" s="6"/>
      <c r="D1006" s="6"/>
      <c r="E1006" s="6"/>
      <c r="F1006" s="6"/>
      <c r="G1006" s="6"/>
      <c r="H1006" s="6"/>
      <c r="I1006" s="6"/>
      <c r="J1006" s="6"/>
      <c r="K1006" s="6"/>
      <c r="L1006" s="6"/>
      <c r="M1006" s="6"/>
      <c r="N1006" s="6"/>
      <c r="O1006" s="6"/>
      <c r="P1006" s="6"/>
      <c r="Q1006" s="6"/>
      <c r="R1006" s="6"/>
      <c r="S1006" s="6"/>
      <c r="T1006" s="6"/>
      <c r="U1006" s="6"/>
      <c r="V1006" s="6"/>
      <c r="W1006" s="6"/>
      <c r="X1006" s="6"/>
      <c r="Y1006" s="6"/>
      <c r="Z1006" s="6"/>
      <c r="AA1006" s="6"/>
      <c r="AB1006" s="6"/>
      <c r="AC1006" s="6"/>
      <c r="AD1006" s="6"/>
      <c r="AE1006" s="6"/>
      <c r="AF1006" s="6"/>
    </row>
    <row r="1007" spans="1:32" ht="10.199999999999999">
      <c r="A1007" s="6"/>
      <c r="B1007" s="6"/>
      <c r="C1007" s="6"/>
      <c r="D1007" s="6"/>
      <c r="E1007" s="6"/>
      <c r="F1007" s="6"/>
      <c r="G1007" s="6"/>
      <c r="H1007" s="6"/>
      <c r="I1007" s="6"/>
      <c r="J1007" s="6"/>
      <c r="K1007" s="6"/>
      <c r="L1007" s="6"/>
      <c r="M1007" s="6"/>
      <c r="N1007" s="6"/>
      <c r="O1007" s="6"/>
      <c r="P1007" s="6"/>
      <c r="Q1007" s="6"/>
      <c r="R1007" s="6"/>
      <c r="S1007" s="6"/>
      <c r="T1007" s="6"/>
      <c r="U1007" s="6"/>
      <c r="V1007" s="6"/>
      <c r="W1007" s="6"/>
      <c r="X1007" s="6"/>
      <c r="Y1007" s="6"/>
      <c r="Z1007" s="6"/>
      <c r="AA1007" s="6"/>
      <c r="AB1007" s="6"/>
      <c r="AC1007" s="6"/>
      <c r="AD1007" s="6"/>
      <c r="AE1007" s="6"/>
      <c r="AF1007" s="6"/>
    </row>
    <row r="1008" spans="1:32" ht="10.199999999999999">
      <c r="A1008" s="6"/>
      <c r="B1008" s="6"/>
      <c r="C1008" s="6"/>
      <c r="D1008" s="6"/>
      <c r="E1008" s="6"/>
      <c r="F1008" s="6"/>
      <c r="G1008" s="6"/>
      <c r="H1008" s="6"/>
      <c r="I1008" s="6"/>
      <c r="J1008" s="6"/>
      <c r="K1008" s="6"/>
      <c r="L1008" s="6"/>
      <c r="M1008" s="6"/>
      <c r="N1008" s="6"/>
      <c r="O1008" s="6"/>
      <c r="P1008" s="6"/>
      <c r="Q1008" s="6"/>
      <c r="R1008" s="6"/>
      <c r="S1008" s="6"/>
      <c r="T1008" s="6"/>
      <c r="U1008" s="6"/>
      <c r="V1008" s="6"/>
      <c r="W1008" s="6"/>
      <c r="X1008" s="6"/>
      <c r="Y1008" s="6"/>
      <c r="Z1008" s="6"/>
      <c r="AA1008" s="6"/>
      <c r="AB1008" s="6"/>
      <c r="AC1008" s="6"/>
      <c r="AD1008" s="6"/>
      <c r="AE1008" s="6"/>
      <c r="AF1008" s="6"/>
    </row>
    <row r="1009" spans="1:32" ht="10.199999999999999">
      <c r="A1009" s="6"/>
      <c r="B1009" s="6"/>
      <c r="C1009" s="6"/>
      <c r="D1009" s="6"/>
      <c r="E1009" s="6"/>
      <c r="F1009" s="6"/>
      <c r="G1009" s="6"/>
      <c r="H1009" s="6"/>
      <c r="I1009" s="6"/>
      <c r="J1009" s="6"/>
      <c r="K1009" s="6"/>
      <c r="L1009" s="6"/>
      <c r="M1009" s="6"/>
      <c r="N1009" s="6"/>
      <c r="O1009" s="6"/>
      <c r="P1009" s="6"/>
      <c r="Q1009" s="6"/>
      <c r="R1009" s="6"/>
      <c r="S1009" s="6"/>
      <c r="T1009" s="6"/>
      <c r="U1009" s="6"/>
      <c r="V1009" s="6"/>
      <c r="W1009" s="6"/>
      <c r="X1009" s="6"/>
      <c r="Y1009" s="6"/>
      <c r="Z1009" s="6"/>
      <c r="AA1009" s="6"/>
      <c r="AB1009" s="6"/>
      <c r="AC1009" s="6"/>
      <c r="AD1009" s="6"/>
      <c r="AE1009" s="6"/>
      <c r="AF1009" s="6"/>
    </row>
    <row r="1010" spans="1:32" ht="10.199999999999999">
      <c r="A1010" s="6"/>
      <c r="B1010" s="6"/>
      <c r="C1010" s="6"/>
      <c r="D1010" s="6"/>
      <c r="E1010" s="6"/>
      <c r="F1010" s="6"/>
      <c r="G1010" s="6"/>
      <c r="H1010" s="6"/>
      <c r="I1010" s="6"/>
      <c r="J1010" s="6"/>
      <c r="K1010" s="6"/>
      <c r="L1010" s="6"/>
      <c r="M1010" s="6"/>
      <c r="N1010" s="6"/>
      <c r="O1010" s="6"/>
      <c r="P1010" s="6"/>
      <c r="Q1010" s="6"/>
      <c r="R1010" s="6"/>
      <c r="S1010" s="6"/>
      <c r="T1010" s="6"/>
      <c r="U1010" s="6"/>
      <c r="V1010" s="6"/>
      <c r="W1010" s="6"/>
      <c r="X1010" s="6"/>
      <c r="Y1010" s="6"/>
      <c r="Z1010" s="6"/>
      <c r="AA1010" s="6"/>
      <c r="AB1010" s="6"/>
      <c r="AC1010" s="6"/>
      <c r="AD1010" s="6"/>
      <c r="AE1010" s="6"/>
      <c r="AF1010" s="6"/>
    </row>
    <row r="1011" spans="1:32" ht="10.199999999999999">
      <c r="A1011" s="6"/>
      <c r="B1011" s="6"/>
      <c r="C1011" s="6"/>
      <c r="D1011" s="6"/>
      <c r="E1011" s="6"/>
      <c r="F1011" s="6"/>
      <c r="G1011" s="6"/>
      <c r="H1011" s="6"/>
      <c r="I1011" s="6"/>
      <c r="J1011" s="6"/>
      <c r="K1011" s="6"/>
      <c r="L1011" s="6"/>
      <c r="M1011" s="6"/>
      <c r="N1011" s="6"/>
      <c r="O1011" s="6"/>
      <c r="P1011" s="6"/>
      <c r="Q1011" s="6"/>
      <c r="R1011" s="6"/>
      <c r="S1011" s="6"/>
      <c r="T1011" s="6"/>
      <c r="U1011" s="6"/>
      <c r="V1011" s="6"/>
      <c r="W1011" s="6"/>
      <c r="X1011" s="6"/>
      <c r="Y1011" s="6"/>
      <c r="Z1011" s="6"/>
      <c r="AA1011" s="6"/>
      <c r="AB1011" s="6"/>
      <c r="AC1011" s="6"/>
      <c r="AD1011" s="6"/>
      <c r="AE1011" s="6"/>
      <c r="AF1011" s="6"/>
    </row>
    <row r="1012" spans="1:32" ht="10.199999999999999">
      <c r="A1012" s="6"/>
      <c r="B1012" s="6"/>
      <c r="C1012" s="6"/>
      <c r="D1012" s="6"/>
      <c r="E1012" s="6"/>
      <c r="F1012" s="6"/>
      <c r="G1012" s="6"/>
      <c r="H1012" s="6"/>
      <c r="I1012" s="6"/>
      <c r="J1012" s="6"/>
      <c r="K1012" s="6"/>
      <c r="L1012" s="6"/>
      <c r="M1012" s="6"/>
      <c r="N1012" s="6"/>
      <c r="O1012" s="6"/>
      <c r="P1012" s="6"/>
      <c r="Q1012" s="6"/>
      <c r="R1012" s="6"/>
      <c r="S1012" s="6"/>
      <c r="T1012" s="6"/>
      <c r="U1012" s="6"/>
      <c r="V1012" s="6"/>
      <c r="W1012" s="6"/>
      <c r="X1012" s="6"/>
      <c r="Y1012" s="6"/>
      <c r="Z1012" s="6"/>
      <c r="AA1012" s="6"/>
      <c r="AB1012" s="6"/>
      <c r="AC1012" s="6"/>
      <c r="AD1012" s="6"/>
      <c r="AE1012" s="6"/>
      <c r="AF1012" s="6"/>
    </row>
    <row r="1013" spans="1:32" ht="10.199999999999999">
      <c r="A1013" s="6"/>
      <c r="B1013" s="6"/>
      <c r="C1013" s="6"/>
      <c r="D1013" s="6"/>
      <c r="E1013" s="6"/>
      <c r="F1013" s="6"/>
      <c r="G1013" s="6"/>
      <c r="H1013" s="6"/>
      <c r="I1013" s="6"/>
      <c r="J1013" s="6"/>
      <c r="K1013" s="6"/>
      <c r="L1013" s="6"/>
      <c r="M1013" s="6"/>
      <c r="N1013" s="6"/>
      <c r="O1013" s="6"/>
      <c r="P1013" s="6"/>
      <c r="Q1013" s="6"/>
      <c r="R1013" s="6"/>
      <c r="S1013" s="6"/>
      <c r="T1013" s="6"/>
      <c r="U1013" s="6"/>
      <c r="V1013" s="6"/>
      <c r="W1013" s="6"/>
      <c r="X1013" s="6"/>
      <c r="Y1013" s="6"/>
      <c r="Z1013" s="6"/>
      <c r="AA1013" s="6"/>
      <c r="AB1013" s="6"/>
      <c r="AC1013" s="6"/>
      <c r="AD1013" s="6"/>
      <c r="AE1013" s="6"/>
      <c r="AF1013" s="6"/>
    </row>
    <row r="1014" spans="1:32" ht="10.199999999999999">
      <c r="A1014" s="6"/>
      <c r="B1014" s="6"/>
      <c r="C1014" s="6"/>
      <c r="D1014" s="6"/>
      <c r="E1014" s="6"/>
      <c r="F1014" s="6"/>
      <c r="G1014" s="6"/>
      <c r="H1014" s="6"/>
      <c r="I1014" s="6"/>
      <c r="J1014" s="6"/>
      <c r="K1014" s="6"/>
      <c r="L1014" s="6"/>
      <c r="M1014" s="6"/>
      <c r="N1014" s="6"/>
      <c r="O1014" s="6"/>
      <c r="P1014" s="6"/>
      <c r="Q1014" s="6"/>
      <c r="R1014" s="6"/>
      <c r="S1014" s="6"/>
      <c r="T1014" s="6"/>
      <c r="U1014" s="6"/>
      <c r="V1014" s="6"/>
      <c r="W1014" s="6"/>
      <c r="X1014" s="6"/>
      <c r="Y1014" s="6"/>
      <c r="Z1014" s="6"/>
      <c r="AA1014" s="6"/>
      <c r="AB1014" s="6"/>
      <c r="AC1014" s="6"/>
      <c r="AD1014" s="6"/>
      <c r="AE1014" s="6"/>
      <c r="AF1014" s="6"/>
    </row>
    <row r="1015" spans="1:32" ht="10.199999999999999">
      <c r="A1015" s="6"/>
      <c r="B1015" s="6"/>
      <c r="C1015" s="6"/>
      <c r="D1015" s="6"/>
      <c r="E1015" s="6"/>
      <c r="F1015" s="6"/>
      <c r="G1015" s="6"/>
      <c r="H1015" s="6"/>
      <c r="I1015" s="6"/>
      <c r="J1015" s="6"/>
      <c r="K1015" s="6"/>
      <c r="L1015" s="6"/>
      <c r="M1015" s="6"/>
      <c r="N1015" s="6"/>
      <c r="O1015" s="6"/>
      <c r="P1015" s="6"/>
      <c r="Q1015" s="6"/>
      <c r="R1015" s="6"/>
      <c r="S1015" s="6"/>
      <c r="T1015" s="6"/>
      <c r="U1015" s="6"/>
      <c r="V1015" s="6"/>
      <c r="W1015" s="6"/>
      <c r="X1015" s="6"/>
      <c r="Y1015" s="6"/>
      <c r="Z1015" s="6"/>
      <c r="AA1015" s="6"/>
      <c r="AB1015" s="6"/>
      <c r="AC1015" s="6"/>
      <c r="AD1015" s="6"/>
      <c r="AE1015" s="6"/>
      <c r="AF1015" s="6"/>
    </row>
    <row r="1016" spans="1:32" ht="10.199999999999999">
      <c r="A1016" s="6"/>
      <c r="B1016" s="6"/>
      <c r="C1016" s="6"/>
      <c r="D1016" s="6"/>
      <c r="E1016" s="6"/>
      <c r="F1016" s="6"/>
      <c r="G1016" s="6"/>
      <c r="H1016" s="6"/>
      <c r="I1016" s="6"/>
      <c r="J1016" s="6"/>
      <c r="K1016" s="6"/>
      <c r="L1016" s="6"/>
      <c r="M1016" s="6"/>
      <c r="N1016" s="6"/>
      <c r="O1016" s="6"/>
      <c r="P1016" s="6"/>
      <c r="Q1016" s="6"/>
      <c r="R1016" s="6"/>
      <c r="S1016" s="6"/>
      <c r="T1016" s="6"/>
      <c r="U1016" s="6"/>
      <c r="V1016" s="6"/>
      <c r="W1016" s="6"/>
      <c r="X1016" s="6"/>
      <c r="Y1016" s="6"/>
      <c r="Z1016" s="6"/>
      <c r="AA1016" s="6"/>
      <c r="AB1016" s="6"/>
      <c r="AC1016" s="6"/>
      <c r="AD1016" s="6"/>
      <c r="AE1016" s="6"/>
      <c r="AF1016" s="6"/>
    </row>
    <row r="1017" spans="1:32" ht="10.199999999999999">
      <c r="A1017" s="6"/>
      <c r="B1017" s="6"/>
      <c r="C1017" s="6"/>
      <c r="D1017" s="6"/>
      <c r="E1017" s="6"/>
      <c r="F1017" s="6"/>
      <c r="G1017" s="6"/>
      <c r="H1017" s="6"/>
      <c r="I1017" s="6"/>
      <c r="J1017" s="6"/>
      <c r="K1017" s="6"/>
      <c r="L1017" s="6"/>
      <c r="M1017" s="6"/>
      <c r="N1017" s="6"/>
      <c r="O1017" s="6"/>
      <c r="P1017" s="6"/>
      <c r="Q1017" s="6"/>
      <c r="R1017" s="6"/>
      <c r="S1017" s="6"/>
      <c r="T1017" s="6"/>
      <c r="U1017" s="6"/>
      <c r="V1017" s="6"/>
      <c r="W1017" s="6"/>
      <c r="X1017" s="6"/>
      <c r="Y1017" s="6"/>
      <c r="Z1017" s="6"/>
      <c r="AA1017" s="6"/>
      <c r="AB1017" s="6"/>
      <c r="AC1017" s="6"/>
      <c r="AD1017" s="6"/>
      <c r="AE1017" s="6"/>
      <c r="AF1017" s="6"/>
    </row>
    <row r="1018" spans="1:32" ht="10.199999999999999">
      <c r="A1018" s="6"/>
      <c r="B1018" s="6"/>
      <c r="C1018" s="6"/>
      <c r="D1018" s="6"/>
      <c r="E1018" s="6"/>
      <c r="F1018" s="6"/>
      <c r="G1018" s="6"/>
      <c r="H1018" s="6"/>
      <c r="I1018" s="6"/>
      <c r="J1018" s="6"/>
      <c r="K1018" s="6"/>
      <c r="L1018" s="6"/>
      <c r="M1018" s="6"/>
      <c r="N1018" s="6"/>
      <c r="O1018" s="6"/>
      <c r="P1018" s="6"/>
      <c r="Q1018" s="6"/>
      <c r="R1018" s="6"/>
      <c r="S1018" s="6"/>
      <c r="T1018" s="6"/>
      <c r="U1018" s="6"/>
      <c r="V1018" s="6"/>
      <c r="W1018" s="6"/>
      <c r="X1018" s="6"/>
      <c r="Y1018" s="6"/>
      <c r="Z1018" s="6"/>
      <c r="AA1018" s="6"/>
      <c r="AB1018" s="6"/>
      <c r="AC1018" s="6"/>
      <c r="AD1018" s="6"/>
      <c r="AE1018" s="6"/>
      <c r="AF1018" s="6"/>
    </row>
    <row r="1019" spans="1:32" ht="10.199999999999999">
      <c r="A1019" s="6"/>
      <c r="B1019" s="6"/>
      <c r="C1019" s="6"/>
      <c r="D1019" s="6"/>
      <c r="E1019" s="6"/>
      <c r="F1019" s="6"/>
      <c r="G1019" s="6"/>
      <c r="H1019" s="6"/>
      <c r="I1019" s="6"/>
      <c r="J1019" s="6"/>
      <c r="K1019" s="6"/>
      <c r="L1019" s="6"/>
      <c r="M1019" s="6"/>
      <c r="N1019" s="6"/>
      <c r="O1019" s="6"/>
      <c r="P1019" s="6"/>
      <c r="Q1019" s="6"/>
      <c r="R1019" s="6"/>
      <c r="S1019" s="6"/>
      <c r="T1019" s="6"/>
      <c r="U1019" s="6"/>
      <c r="V1019" s="6"/>
      <c r="W1019" s="6"/>
      <c r="X1019" s="6"/>
      <c r="Y1019" s="6"/>
      <c r="Z1019" s="6"/>
      <c r="AA1019" s="6"/>
      <c r="AB1019" s="6"/>
      <c r="AC1019" s="6"/>
      <c r="AD1019" s="6"/>
      <c r="AE1019" s="6"/>
      <c r="AF1019" s="6"/>
    </row>
    <row r="1020" spans="1:32" ht="10.199999999999999">
      <c r="A1020" s="6"/>
      <c r="B1020" s="6"/>
      <c r="C1020" s="6"/>
      <c r="D1020" s="6"/>
      <c r="E1020" s="6"/>
      <c r="F1020" s="6"/>
      <c r="G1020" s="6"/>
      <c r="H1020" s="6"/>
      <c r="I1020" s="6"/>
      <c r="J1020" s="6"/>
      <c r="K1020" s="6"/>
      <c r="L1020" s="6"/>
      <c r="M1020" s="6"/>
      <c r="N1020" s="6"/>
      <c r="O1020" s="6"/>
      <c r="P1020" s="6"/>
      <c r="Q1020" s="6"/>
      <c r="R1020" s="6"/>
      <c r="S1020" s="6"/>
      <c r="T1020" s="6"/>
      <c r="U1020" s="6"/>
      <c r="V1020" s="6"/>
      <c r="W1020" s="6"/>
      <c r="X1020" s="6"/>
      <c r="Y1020" s="6"/>
      <c r="Z1020" s="6"/>
      <c r="AA1020" s="6"/>
      <c r="AB1020" s="6"/>
      <c r="AC1020" s="6"/>
      <c r="AD1020" s="6"/>
      <c r="AE1020" s="6"/>
      <c r="AF1020" s="6"/>
    </row>
    <row r="1021" spans="1:32" ht="10.199999999999999">
      <c r="A1021" s="6"/>
      <c r="B1021" s="6"/>
      <c r="C1021" s="6"/>
      <c r="D1021" s="6"/>
      <c r="E1021" s="6"/>
      <c r="F1021" s="6"/>
      <c r="G1021" s="6"/>
      <c r="H1021" s="6"/>
      <c r="I1021" s="6"/>
      <c r="J1021" s="6"/>
      <c r="K1021" s="6"/>
      <c r="L1021" s="6"/>
      <c r="M1021" s="6"/>
      <c r="N1021" s="6"/>
      <c r="O1021" s="6"/>
      <c r="P1021" s="6"/>
      <c r="Q1021" s="6"/>
      <c r="R1021" s="6"/>
      <c r="S1021" s="6"/>
      <c r="T1021" s="6"/>
      <c r="U1021" s="6"/>
      <c r="V1021" s="6"/>
      <c r="W1021" s="6"/>
      <c r="X1021" s="6"/>
      <c r="Y1021" s="6"/>
      <c r="Z1021" s="6"/>
      <c r="AA1021" s="6"/>
      <c r="AB1021" s="6"/>
      <c r="AC1021" s="6"/>
      <c r="AD1021" s="6"/>
      <c r="AE1021" s="6"/>
      <c r="AF1021" s="6"/>
    </row>
    <row r="1022" spans="1:32" ht="10.199999999999999">
      <c r="A1022" s="6"/>
      <c r="B1022" s="6"/>
      <c r="C1022" s="6"/>
      <c r="D1022" s="6"/>
      <c r="E1022" s="6"/>
      <c r="F1022" s="6"/>
      <c r="G1022" s="6"/>
      <c r="H1022" s="6"/>
      <c r="I1022" s="6"/>
      <c r="J1022" s="6"/>
      <c r="K1022" s="6"/>
      <c r="L1022" s="6"/>
      <c r="M1022" s="6"/>
      <c r="N1022" s="6"/>
      <c r="O1022" s="6"/>
      <c r="P1022" s="6"/>
      <c r="Q1022" s="6"/>
      <c r="R1022" s="6"/>
      <c r="S1022" s="6"/>
      <c r="T1022" s="6"/>
      <c r="U1022" s="6"/>
      <c r="V1022" s="6"/>
      <c r="W1022" s="6"/>
      <c r="X1022" s="6"/>
      <c r="Y1022" s="6"/>
      <c r="Z1022" s="6"/>
      <c r="AA1022" s="6"/>
      <c r="AB1022" s="6"/>
      <c r="AC1022" s="6"/>
      <c r="AD1022" s="6"/>
      <c r="AE1022" s="6"/>
      <c r="AF1022" s="6"/>
    </row>
    <row r="1023" spans="1:32" ht="10.199999999999999">
      <c r="A1023" s="6"/>
      <c r="B1023" s="6"/>
      <c r="C1023" s="6"/>
      <c r="D1023" s="6"/>
      <c r="E1023" s="6"/>
      <c r="F1023" s="6"/>
      <c r="G1023" s="6"/>
      <c r="H1023" s="6"/>
      <c r="I1023" s="6"/>
      <c r="J1023" s="6"/>
      <c r="K1023" s="6"/>
      <c r="L1023" s="6"/>
      <c r="M1023" s="6"/>
      <c r="N1023" s="6"/>
      <c r="O1023" s="6"/>
      <c r="P1023" s="6"/>
      <c r="Q1023" s="6"/>
      <c r="R1023" s="6"/>
      <c r="S1023" s="6"/>
      <c r="T1023" s="6"/>
      <c r="U1023" s="6"/>
      <c r="V1023" s="6"/>
      <c r="W1023" s="6"/>
      <c r="X1023" s="6"/>
      <c r="Y1023" s="6"/>
      <c r="Z1023" s="6"/>
      <c r="AA1023" s="6"/>
      <c r="AB1023" s="6"/>
      <c r="AC1023" s="6"/>
      <c r="AD1023" s="6"/>
      <c r="AE1023" s="6"/>
      <c r="AF1023" s="6"/>
    </row>
    <row r="1024" spans="1:32" ht="10.199999999999999">
      <c r="A1024" s="6"/>
      <c r="B1024" s="6"/>
      <c r="C1024" s="6"/>
      <c r="D1024" s="6"/>
      <c r="E1024" s="6"/>
      <c r="F1024" s="6"/>
      <c r="G1024" s="6"/>
      <c r="H1024" s="6"/>
      <c r="I1024" s="6"/>
      <c r="J1024" s="6"/>
      <c r="K1024" s="6"/>
      <c r="L1024" s="6"/>
      <c r="M1024" s="6"/>
      <c r="N1024" s="6"/>
      <c r="O1024" s="6"/>
      <c r="P1024" s="6"/>
      <c r="Q1024" s="6"/>
      <c r="R1024" s="6"/>
      <c r="S1024" s="6"/>
      <c r="T1024" s="6"/>
      <c r="U1024" s="6"/>
      <c r="V1024" s="6"/>
      <c r="W1024" s="6"/>
      <c r="X1024" s="6"/>
      <c r="Y1024" s="6"/>
      <c r="Z1024" s="6"/>
      <c r="AA1024" s="6"/>
      <c r="AB1024" s="6"/>
      <c r="AC1024" s="6"/>
      <c r="AD1024" s="6"/>
      <c r="AE1024" s="6"/>
      <c r="AF1024" s="6"/>
    </row>
    <row r="1025" spans="1:32" ht="10.199999999999999">
      <c r="A1025" s="6"/>
      <c r="B1025" s="6"/>
      <c r="C1025" s="6"/>
      <c r="D1025" s="6"/>
      <c r="E1025" s="6"/>
      <c r="F1025" s="6"/>
      <c r="G1025" s="6"/>
      <c r="H1025" s="6"/>
      <c r="I1025" s="6"/>
      <c r="J1025" s="6"/>
      <c r="K1025" s="6"/>
      <c r="L1025" s="6"/>
      <c r="M1025" s="6"/>
      <c r="N1025" s="6"/>
      <c r="O1025" s="6"/>
      <c r="P1025" s="6"/>
      <c r="Q1025" s="6"/>
      <c r="R1025" s="6"/>
      <c r="S1025" s="6"/>
      <c r="T1025" s="6"/>
      <c r="U1025" s="6"/>
      <c r="V1025" s="6"/>
      <c r="W1025" s="6"/>
      <c r="X1025" s="6"/>
      <c r="Y1025" s="6"/>
      <c r="Z1025" s="6"/>
      <c r="AA1025" s="6"/>
      <c r="AB1025" s="6"/>
      <c r="AC1025" s="6"/>
      <c r="AD1025" s="6"/>
      <c r="AE1025" s="6"/>
      <c r="AF1025" s="6"/>
    </row>
    <row r="1026" spans="1:32" ht="10.199999999999999">
      <c r="A1026" s="6"/>
      <c r="B1026" s="6"/>
      <c r="C1026" s="6"/>
      <c r="D1026" s="6"/>
      <c r="E1026" s="6"/>
      <c r="F1026" s="6"/>
      <c r="G1026" s="6"/>
      <c r="H1026" s="6"/>
      <c r="I1026" s="6"/>
      <c r="J1026" s="6"/>
      <c r="K1026" s="6"/>
      <c r="L1026" s="6"/>
      <c r="M1026" s="6"/>
      <c r="N1026" s="6"/>
      <c r="O1026" s="6"/>
      <c r="P1026" s="6"/>
      <c r="Q1026" s="6"/>
      <c r="R1026" s="6"/>
      <c r="S1026" s="6"/>
      <c r="T1026" s="6"/>
      <c r="U1026" s="6"/>
      <c r="V1026" s="6"/>
      <c r="W1026" s="6"/>
      <c r="X1026" s="6"/>
      <c r="Y1026" s="6"/>
      <c r="Z1026" s="6"/>
      <c r="AA1026" s="6"/>
      <c r="AB1026" s="6"/>
      <c r="AC1026" s="6"/>
      <c r="AD1026" s="6"/>
      <c r="AE1026" s="6"/>
      <c r="AF1026" s="6"/>
    </row>
    <row r="1027" spans="1:32" ht="10.199999999999999">
      <c r="A1027" s="6"/>
      <c r="B1027" s="6"/>
      <c r="C1027" s="6"/>
      <c r="D1027" s="6"/>
      <c r="E1027" s="6"/>
      <c r="F1027" s="6"/>
      <c r="G1027" s="6"/>
      <c r="H1027" s="6"/>
      <c r="I1027" s="6"/>
      <c r="J1027" s="6"/>
      <c r="K1027" s="6"/>
      <c r="L1027" s="6"/>
      <c r="M1027" s="6"/>
      <c r="N1027" s="6"/>
      <c r="O1027" s="6"/>
      <c r="P1027" s="6"/>
      <c r="Q1027" s="6"/>
      <c r="R1027" s="6"/>
      <c r="S1027" s="6"/>
      <c r="T1027" s="6"/>
      <c r="U1027" s="6"/>
      <c r="V1027" s="6"/>
      <c r="W1027" s="6"/>
      <c r="X1027" s="6"/>
      <c r="Y1027" s="6"/>
      <c r="Z1027" s="6"/>
      <c r="AA1027" s="6"/>
      <c r="AB1027" s="6"/>
      <c r="AC1027" s="6"/>
      <c r="AD1027" s="6"/>
      <c r="AE1027" s="6"/>
      <c r="AF1027" s="6"/>
    </row>
    <row r="1028" spans="1:32" ht="10.199999999999999">
      <c r="A1028" s="6"/>
      <c r="B1028" s="6"/>
      <c r="C1028" s="6"/>
      <c r="D1028" s="6"/>
      <c r="E1028" s="6"/>
      <c r="F1028" s="6"/>
      <c r="G1028" s="6"/>
      <c r="H1028" s="6"/>
      <c r="I1028" s="6"/>
      <c r="J1028" s="6"/>
      <c r="K1028" s="6"/>
      <c r="L1028" s="6"/>
      <c r="M1028" s="6"/>
      <c r="N1028" s="6"/>
      <c r="O1028" s="6"/>
      <c r="P1028" s="6"/>
      <c r="Q1028" s="6"/>
      <c r="R1028" s="6"/>
      <c r="S1028" s="6"/>
      <c r="T1028" s="6"/>
      <c r="U1028" s="6"/>
      <c r="V1028" s="6"/>
      <c r="W1028" s="6"/>
      <c r="X1028" s="6"/>
      <c r="Y1028" s="6"/>
      <c r="Z1028" s="6"/>
      <c r="AA1028" s="6"/>
      <c r="AB1028" s="6"/>
      <c r="AC1028" s="6"/>
      <c r="AD1028" s="6"/>
      <c r="AE1028" s="6"/>
      <c r="AF1028" s="6"/>
    </row>
    <row r="1029" spans="1:32" ht="10.199999999999999">
      <c r="A1029" s="6"/>
      <c r="B1029" s="6"/>
      <c r="C1029" s="6"/>
      <c r="D1029" s="6"/>
      <c r="E1029" s="6"/>
      <c r="F1029" s="6"/>
      <c r="G1029" s="6"/>
      <c r="H1029" s="6"/>
      <c r="I1029" s="6"/>
      <c r="J1029" s="6"/>
      <c r="K1029" s="6"/>
      <c r="L1029" s="6"/>
      <c r="M1029" s="6"/>
      <c r="N1029" s="6"/>
      <c r="O1029" s="6"/>
      <c r="P1029" s="6"/>
      <c r="Q1029" s="6"/>
      <c r="R1029" s="6"/>
      <c r="S1029" s="6"/>
      <c r="T1029" s="6"/>
      <c r="U1029" s="6"/>
      <c r="V1029" s="6"/>
      <c r="W1029" s="6"/>
      <c r="X1029" s="6"/>
      <c r="Y1029" s="6"/>
      <c r="Z1029" s="6"/>
      <c r="AA1029" s="6"/>
      <c r="AB1029" s="6"/>
      <c r="AC1029" s="6"/>
      <c r="AD1029" s="6"/>
      <c r="AE1029" s="6"/>
      <c r="AF1029" s="6"/>
    </row>
    <row r="1030" spans="1:32" ht="10.199999999999999">
      <c r="A1030" s="6"/>
      <c r="B1030" s="6"/>
      <c r="C1030" s="6"/>
      <c r="D1030" s="6"/>
      <c r="E1030" s="6"/>
      <c r="F1030" s="6"/>
      <c r="G1030" s="6"/>
      <c r="H1030" s="6"/>
      <c r="I1030" s="6"/>
      <c r="J1030" s="6"/>
      <c r="K1030" s="6"/>
      <c r="L1030" s="6"/>
      <c r="M1030" s="6"/>
      <c r="N1030" s="6"/>
      <c r="O1030" s="6"/>
      <c r="P1030" s="6"/>
      <c r="Q1030" s="6"/>
      <c r="R1030" s="6"/>
      <c r="S1030" s="6"/>
      <c r="T1030" s="6"/>
      <c r="U1030" s="6"/>
      <c r="V1030" s="6"/>
      <c r="W1030" s="6"/>
      <c r="X1030" s="6"/>
      <c r="Y1030" s="6"/>
      <c r="Z1030" s="6"/>
      <c r="AA1030" s="6"/>
      <c r="AB1030" s="6"/>
      <c r="AC1030" s="6"/>
      <c r="AD1030" s="6"/>
      <c r="AE1030" s="6"/>
      <c r="AF1030" s="6"/>
    </row>
    <row r="1031" spans="1:32" ht="10.199999999999999">
      <c r="A1031" s="6"/>
      <c r="B1031" s="6"/>
      <c r="C1031" s="6"/>
      <c r="D1031" s="6"/>
      <c r="E1031" s="6"/>
      <c r="F1031" s="6"/>
      <c r="G1031" s="6"/>
      <c r="H1031" s="6"/>
      <c r="I1031" s="6"/>
      <c r="J1031" s="6"/>
      <c r="K1031" s="6"/>
      <c r="L1031" s="6"/>
      <c r="M1031" s="6"/>
      <c r="N1031" s="6"/>
      <c r="O1031" s="6"/>
      <c r="P1031" s="6"/>
      <c r="Q1031" s="6"/>
      <c r="R1031" s="6"/>
      <c r="S1031" s="6"/>
      <c r="T1031" s="6"/>
      <c r="U1031" s="6"/>
      <c r="V1031" s="6"/>
      <c r="W1031" s="6"/>
      <c r="X1031" s="6"/>
      <c r="Y1031" s="6"/>
      <c r="Z1031" s="6"/>
      <c r="AA1031" s="6"/>
      <c r="AB1031" s="6"/>
      <c r="AC1031" s="6"/>
      <c r="AD1031" s="6"/>
      <c r="AE1031" s="6"/>
      <c r="AF1031" s="6"/>
    </row>
    <row r="1032" spans="1:32" ht="10.199999999999999">
      <c r="A1032" s="6"/>
      <c r="B1032" s="6"/>
      <c r="C1032" s="6"/>
      <c r="D1032" s="6"/>
      <c r="E1032" s="6"/>
      <c r="F1032" s="6"/>
      <c r="G1032" s="6"/>
      <c r="H1032" s="6"/>
      <c r="I1032" s="6"/>
      <c r="J1032" s="6"/>
      <c r="K1032" s="6"/>
      <c r="L1032" s="6"/>
      <c r="M1032" s="6"/>
      <c r="N1032" s="6"/>
      <c r="O1032" s="6"/>
      <c r="P1032" s="6"/>
      <c r="Q1032" s="6"/>
      <c r="R1032" s="6"/>
      <c r="S1032" s="6"/>
      <c r="T1032" s="6"/>
      <c r="U1032" s="6"/>
      <c r="V1032" s="6"/>
      <c r="W1032" s="6"/>
      <c r="X1032" s="6"/>
      <c r="Y1032" s="6"/>
      <c r="Z1032" s="6"/>
      <c r="AA1032" s="6"/>
      <c r="AB1032" s="6"/>
      <c r="AC1032" s="6"/>
      <c r="AD1032" s="6"/>
      <c r="AE1032" s="6"/>
      <c r="AF1032" s="6"/>
    </row>
    <row r="1033" spans="1:32" ht="10.199999999999999">
      <c r="A1033" s="6"/>
      <c r="B1033" s="6"/>
      <c r="C1033" s="6"/>
      <c r="D1033" s="6"/>
      <c r="E1033" s="6"/>
      <c r="F1033" s="6"/>
      <c r="G1033" s="6"/>
      <c r="H1033" s="6"/>
      <c r="I1033" s="6"/>
      <c r="J1033" s="6"/>
      <c r="K1033" s="6"/>
      <c r="L1033" s="6"/>
      <c r="M1033" s="6"/>
      <c r="N1033" s="6"/>
      <c r="O1033" s="6"/>
      <c r="P1033" s="6"/>
      <c r="Q1033" s="6"/>
      <c r="R1033" s="6"/>
      <c r="S1033" s="6"/>
      <c r="T1033" s="6"/>
      <c r="U1033" s="6"/>
      <c r="V1033" s="6"/>
      <c r="W1033" s="6"/>
      <c r="X1033" s="6"/>
      <c r="Y1033" s="6"/>
      <c r="Z1033" s="6"/>
      <c r="AA1033" s="6"/>
      <c r="AB1033" s="6"/>
      <c r="AC1033" s="6"/>
      <c r="AD1033" s="6"/>
      <c r="AE1033" s="6"/>
      <c r="AF1033" s="6"/>
    </row>
    <row r="1034" spans="1:32" ht="10.199999999999999">
      <c r="A1034" s="6"/>
      <c r="B1034" s="6"/>
      <c r="C1034" s="6"/>
      <c r="D1034" s="6"/>
      <c r="E1034" s="6"/>
      <c r="F1034" s="6"/>
      <c r="G1034" s="6"/>
      <c r="H1034" s="6"/>
      <c r="I1034" s="6"/>
      <c r="J1034" s="6"/>
      <c r="K1034" s="6"/>
      <c r="L1034" s="6"/>
      <c r="M1034" s="6"/>
      <c r="N1034" s="6"/>
      <c r="O1034" s="6"/>
      <c r="P1034" s="6"/>
      <c r="Q1034" s="6"/>
      <c r="R1034" s="6"/>
      <c r="S1034" s="6"/>
      <c r="T1034" s="6"/>
      <c r="U1034" s="6"/>
      <c r="V1034" s="6"/>
      <c r="W1034" s="6"/>
      <c r="X1034" s="6"/>
      <c r="Y1034" s="6"/>
      <c r="Z1034" s="6"/>
      <c r="AA1034" s="6"/>
      <c r="AB1034" s="6"/>
      <c r="AC1034" s="6"/>
      <c r="AD1034" s="6"/>
      <c r="AE1034" s="6"/>
      <c r="AF1034" s="6"/>
    </row>
    <row r="1035" spans="1:32" ht="10.199999999999999">
      <c r="A1035" s="6"/>
      <c r="B1035" s="6"/>
      <c r="C1035" s="6"/>
      <c r="D1035" s="6"/>
      <c r="E1035" s="6"/>
      <c r="F1035" s="6"/>
      <c r="G1035" s="6"/>
      <c r="H1035" s="6"/>
      <c r="I1035" s="6"/>
      <c r="J1035" s="6"/>
      <c r="K1035" s="6"/>
      <c r="L1035" s="6"/>
      <c r="M1035" s="6"/>
      <c r="N1035" s="6"/>
      <c r="O1035" s="6"/>
      <c r="P1035" s="6"/>
      <c r="Q1035" s="6"/>
      <c r="R1035" s="6"/>
      <c r="S1035" s="6"/>
      <c r="T1035" s="6"/>
      <c r="U1035" s="6"/>
      <c r="V1035" s="6"/>
      <c r="W1035" s="6"/>
      <c r="X1035" s="6"/>
      <c r="Y1035" s="6"/>
      <c r="Z1035" s="6"/>
      <c r="AA1035" s="6"/>
      <c r="AB1035" s="6"/>
      <c r="AC1035" s="6"/>
      <c r="AD1035" s="6"/>
      <c r="AE1035" s="6"/>
      <c r="AF1035" s="6"/>
    </row>
    <row r="1036" spans="1:32" ht="10.199999999999999">
      <c r="A1036" s="6"/>
      <c r="B1036" s="6"/>
      <c r="C1036" s="6"/>
      <c r="D1036" s="6"/>
      <c r="E1036" s="6"/>
      <c r="F1036" s="6"/>
      <c r="G1036" s="6"/>
      <c r="H1036" s="6"/>
      <c r="I1036" s="6"/>
      <c r="J1036" s="6"/>
      <c r="K1036" s="6"/>
      <c r="L1036" s="6"/>
      <c r="M1036" s="6"/>
      <c r="N1036" s="6"/>
      <c r="O1036" s="6"/>
      <c r="P1036" s="6"/>
      <c r="Q1036" s="6"/>
      <c r="R1036" s="6"/>
      <c r="S1036" s="6"/>
      <c r="T1036" s="6"/>
      <c r="U1036" s="6"/>
      <c r="V1036" s="6"/>
      <c r="W1036" s="6"/>
      <c r="X1036" s="6"/>
      <c r="Y1036" s="6"/>
      <c r="Z1036" s="6"/>
      <c r="AA1036" s="6"/>
      <c r="AB1036" s="6"/>
      <c r="AC1036" s="6"/>
      <c r="AD1036" s="6"/>
      <c r="AE1036" s="6"/>
      <c r="AF1036" s="6"/>
    </row>
    <row r="1037" spans="1:32" ht="10.199999999999999">
      <c r="A1037" s="6"/>
      <c r="B1037" s="6"/>
      <c r="C1037" s="6"/>
      <c r="D1037" s="6"/>
      <c r="E1037" s="6"/>
      <c r="F1037" s="6"/>
      <c r="G1037" s="6"/>
      <c r="H1037" s="6"/>
      <c r="I1037" s="6"/>
      <c r="J1037" s="6"/>
      <c r="K1037" s="6"/>
      <c r="L1037" s="6"/>
      <c r="M1037" s="6"/>
      <c r="N1037" s="6"/>
      <c r="O1037" s="6"/>
      <c r="P1037" s="6"/>
      <c r="Q1037" s="6"/>
      <c r="R1037" s="6"/>
      <c r="S1037" s="6"/>
      <c r="T1037" s="6"/>
      <c r="U1037" s="6"/>
      <c r="V1037" s="6"/>
      <c r="W1037" s="6"/>
      <c r="X1037" s="6"/>
      <c r="Y1037" s="6"/>
      <c r="Z1037" s="6"/>
      <c r="AA1037" s="6"/>
      <c r="AB1037" s="6"/>
      <c r="AC1037" s="6"/>
      <c r="AD1037" s="6"/>
      <c r="AE1037" s="6"/>
      <c r="AF1037" s="6"/>
    </row>
    <row r="1038" spans="1:32" ht="10.199999999999999">
      <c r="A1038" s="6"/>
      <c r="B1038" s="6"/>
      <c r="C1038" s="6"/>
      <c r="D1038" s="6"/>
      <c r="E1038" s="6"/>
      <c r="F1038" s="6"/>
      <c r="G1038" s="6"/>
      <c r="H1038" s="6"/>
      <c r="I1038" s="6"/>
      <c r="J1038" s="6"/>
      <c r="K1038" s="6"/>
      <c r="L1038" s="6"/>
      <c r="M1038" s="6"/>
      <c r="N1038" s="6"/>
      <c r="O1038" s="6"/>
      <c r="P1038" s="6"/>
      <c r="Q1038" s="6"/>
      <c r="R1038" s="6"/>
      <c r="S1038" s="6"/>
      <c r="T1038" s="6"/>
      <c r="U1038" s="6"/>
      <c r="V1038" s="6"/>
      <c r="W1038" s="6"/>
      <c r="X1038" s="6"/>
      <c r="Y1038" s="6"/>
      <c r="Z1038" s="6"/>
      <c r="AA1038" s="6"/>
      <c r="AB1038" s="6"/>
      <c r="AC1038" s="6"/>
      <c r="AD1038" s="6"/>
      <c r="AE1038" s="6"/>
      <c r="AF1038" s="6"/>
    </row>
    <row r="1039" spans="1:32" ht="10.199999999999999">
      <c r="A1039" s="6"/>
      <c r="B1039" s="6"/>
      <c r="C1039" s="6"/>
      <c r="D1039" s="6"/>
      <c r="E1039" s="6"/>
      <c r="F1039" s="6"/>
      <c r="G1039" s="6"/>
      <c r="H1039" s="6"/>
      <c r="I1039" s="6"/>
      <c r="J1039" s="6"/>
      <c r="K1039" s="6"/>
      <c r="L1039" s="6"/>
      <c r="M1039" s="6"/>
      <c r="N1039" s="6"/>
      <c r="O1039" s="6"/>
      <c r="P1039" s="6"/>
      <c r="Q1039" s="6"/>
      <c r="R1039" s="6"/>
      <c r="S1039" s="6"/>
      <c r="T1039" s="6"/>
      <c r="U1039" s="6"/>
      <c r="V1039" s="6"/>
      <c r="W1039" s="6"/>
      <c r="X1039" s="6"/>
      <c r="Y1039" s="6"/>
      <c r="Z1039" s="6"/>
      <c r="AA1039" s="6"/>
      <c r="AB1039" s="6"/>
      <c r="AC1039" s="6"/>
      <c r="AD1039" s="6"/>
      <c r="AE1039" s="6"/>
      <c r="AF1039" s="6"/>
    </row>
    <row r="1040" spans="1:32" ht="10.199999999999999">
      <c r="A1040" s="6"/>
      <c r="B1040" s="6"/>
      <c r="C1040" s="6"/>
      <c r="D1040" s="6"/>
      <c r="E1040" s="6"/>
      <c r="F1040" s="6"/>
      <c r="G1040" s="6"/>
      <c r="H1040" s="6"/>
      <c r="I1040" s="6"/>
      <c r="J1040" s="6"/>
      <c r="K1040" s="6"/>
      <c r="L1040" s="6"/>
      <c r="M1040" s="6"/>
      <c r="N1040" s="6"/>
      <c r="O1040" s="6"/>
      <c r="P1040" s="6"/>
      <c r="Q1040" s="6"/>
      <c r="R1040" s="6"/>
      <c r="S1040" s="6"/>
      <c r="T1040" s="6"/>
      <c r="U1040" s="6"/>
      <c r="V1040" s="6"/>
      <c r="W1040" s="6"/>
      <c r="X1040" s="6"/>
      <c r="Y1040" s="6"/>
      <c r="Z1040" s="6"/>
      <c r="AA1040" s="6"/>
      <c r="AB1040" s="6"/>
      <c r="AC1040" s="6"/>
      <c r="AD1040" s="6"/>
      <c r="AE1040" s="6"/>
      <c r="AF1040" s="6"/>
    </row>
    <row r="1041" spans="1:32" ht="10.199999999999999">
      <c r="A1041" s="6"/>
      <c r="B1041" s="6"/>
      <c r="C1041" s="6"/>
      <c r="D1041" s="6"/>
      <c r="E1041" s="6"/>
      <c r="F1041" s="6"/>
      <c r="G1041" s="6"/>
      <c r="H1041" s="6"/>
      <c r="I1041" s="6"/>
      <c r="J1041" s="6"/>
      <c r="K1041" s="6"/>
      <c r="L1041" s="6"/>
      <c r="M1041" s="6"/>
      <c r="N1041" s="6"/>
      <c r="O1041" s="6"/>
      <c r="P1041" s="6"/>
      <c r="Q1041" s="6"/>
      <c r="R1041" s="6"/>
      <c r="S1041" s="6"/>
      <c r="T1041" s="6"/>
      <c r="U1041" s="6"/>
      <c r="V1041" s="6"/>
      <c r="W1041" s="6"/>
      <c r="X1041" s="6"/>
      <c r="Y1041" s="6"/>
      <c r="Z1041" s="6"/>
      <c r="AA1041" s="6"/>
      <c r="AB1041" s="6"/>
      <c r="AC1041" s="6"/>
      <c r="AD1041" s="6"/>
      <c r="AE1041" s="6"/>
      <c r="AF1041" s="6"/>
    </row>
    <row r="1042" spans="1:32" ht="10.199999999999999">
      <c r="A1042" s="6"/>
      <c r="B1042" s="6"/>
      <c r="C1042" s="6"/>
      <c r="D1042" s="6"/>
      <c r="E1042" s="6"/>
      <c r="F1042" s="6"/>
      <c r="G1042" s="6"/>
      <c r="H1042" s="6"/>
      <c r="I1042" s="6"/>
      <c r="J1042" s="6"/>
      <c r="K1042" s="6"/>
      <c r="L1042" s="6"/>
      <c r="M1042" s="6"/>
      <c r="N1042" s="6"/>
      <c r="O1042" s="6"/>
      <c r="P1042" s="6"/>
      <c r="Q1042" s="6"/>
      <c r="R1042" s="6"/>
      <c r="S1042" s="6"/>
      <c r="T1042" s="6"/>
      <c r="U1042" s="6"/>
      <c r="V1042" s="6"/>
      <c r="W1042" s="6"/>
      <c r="X1042" s="6"/>
      <c r="Y1042" s="6"/>
      <c r="Z1042" s="6"/>
      <c r="AA1042" s="6"/>
      <c r="AB1042" s="6"/>
      <c r="AC1042" s="6"/>
      <c r="AD1042" s="6"/>
      <c r="AE1042" s="6"/>
      <c r="AF1042" s="6"/>
    </row>
    <row r="1043" spans="1:32" ht="10.199999999999999">
      <c r="A1043" s="6"/>
      <c r="B1043" s="6"/>
      <c r="C1043" s="6"/>
      <c r="D1043" s="6"/>
      <c r="E1043" s="6"/>
      <c r="F1043" s="6"/>
      <c r="G1043" s="6"/>
      <c r="H1043" s="6"/>
      <c r="I1043" s="6"/>
      <c r="J1043" s="6"/>
      <c r="K1043" s="6"/>
      <c r="L1043" s="6"/>
      <c r="M1043" s="6"/>
      <c r="N1043" s="6"/>
      <c r="O1043" s="6"/>
      <c r="P1043" s="6"/>
      <c r="Q1043" s="6"/>
      <c r="R1043" s="6"/>
      <c r="S1043" s="6"/>
      <c r="T1043" s="6"/>
      <c r="U1043" s="6"/>
      <c r="V1043" s="6"/>
      <c r="W1043" s="6"/>
      <c r="X1043" s="6"/>
      <c r="Y1043" s="6"/>
      <c r="Z1043" s="6"/>
      <c r="AA1043" s="6"/>
      <c r="AB1043" s="6"/>
      <c r="AC1043" s="6"/>
      <c r="AD1043" s="6"/>
      <c r="AE1043" s="6"/>
      <c r="AF1043" s="6"/>
    </row>
    <row r="1044" spans="1:32" ht="10.199999999999999">
      <c r="A1044" s="6"/>
      <c r="B1044" s="6"/>
      <c r="C1044" s="6"/>
      <c r="D1044" s="6"/>
      <c r="E1044" s="6"/>
      <c r="F1044" s="6"/>
      <c r="G1044" s="6"/>
      <c r="H1044" s="6"/>
      <c r="I1044" s="6"/>
      <c r="J1044" s="6"/>
      <c r="K1044" s="6"/>
      <c r="L1044" s="6"/>
      <c r="M1044" s="6"/>
      <c r="N1044" s="6"/>
      <c r="O1044" s="6"/>
      <c r="P1044" s="6"/>
      <c r="Q1044" s="6"/>
      <c r="R1044" s="6"/>
      <c r="S1044" s="6"/>
      <c r="T1044" s="6"/>
      <c r="U1044" s="6"/>
      <c r="V1044" s="6"/>
      <c r="W1044" s="6"/>
      <c r="X1044" s="6"/>
      <c r="Y1044" s="6"/>
      <c r="Z1044" s="6"/>
      <c r="AA1044" s="6"/>
      <c r="AB1044" s="6"/>
      <c r="AC1044" s="6"/>
      <c r="AD1044" s="6"/>
      <c r="AE1044" s="6"/>
      <c r="AF1044" s="6"/>
    </row>
    <row r="1045" spans="1:32" ht="10.199999999999999">
      <c r="A1045" s="6"/>
      <c r="B1045" s="6"/>
      <c r="C1045" s="6"/>
      <c r="D1045" s="6"/>
      <c r="E1045" s="6"/>
      <c r="F1045" s="6"/>
      <c r="G1045" s="6"/>
      <c r="H1045" s="6"/>
      <c r="I1045" s="6"/>
      <c r="J1045" s="6"/>
      <c r="K1045" s="6"/>
      <c r="L1045" s="6"/>
      <c r="M1045" s="6"/>
      <c r="N1045" s="6"/>
      <c r="O1045" s="6"/>
      <c r="P1045" s="6"/>
      <c r="Q1045" s="6"/>
      <c r="R1045" s="6"/>
      <c r="S1045" s="6"/>
      <c r="T1045" s="6"/>
      <c r="U1045" s="6"/>
      <c r="V1045" s="6"/>
      <c r="W1045" s="6"/>
      <c r="X1045" s="6"/>
      <c r="Y1045" s="6"/>
      <c r="Z1045" s="6"/>
      <c r="AA1045" s="6"/>
      <c r="AB1045" s="6"/>
      <c r="AC1045" s="6"/>
      <c r="AD1045" s="6"/>
      <c r="AE1045" s="6"/>
      <c r="AF1045" s="6"/>
    </row>
    <row r="1046" spans="1:32" ht="10.199999999999999">
      <c r="A1046" s="6"/>
      <c r="B1046" s="6"/>
      <c r="C1046" s="6"/>
      <c r="D1046" s="6"/>
      <c r="E1046" s="6"/>
      <c r="F1046" s="6"/>
      <c r="G1046" s="6"/>
      <c r="H1046" s="6"/>
      <c r="I1046" s="6"/>
      <c r="J1046" s="6"/>
      <c r="K1046" s="6"/>
      <c r="L1046" s="6"/>
      <c r="M1046" s="6"/>
      <c r="N1046" s="6"/>
      <c r="O1046" s="6"/>
      <c r="P1046" s="6"/>
      <c r="Q1046" s="6"/>
      <c r="R1046" s="6"/>
      <c r="S1046" s="6"/>
      <c r="T1046" s="6"/>
      <c r="U1046" s="6"/>
      <c r="V1046" s="6"/>
      <c r="W1046" s="6"/>
      <c r="X1046" s="6"/>
      <c r="Y1046" s="6"/>
      <c r="Z1046" s="6"/>
      <c r="AA1046" s="6"/>
      <c r="AB1046" s="6"/>
      <c r="AC1046" s="6"/>
      <c r="AD1046" s="6"/>
      <c r="AE1046" s="6"/>
      <c r="AF1046" s="6"/>
    </row>
    <row r="1047" spans="1:32" ht="10.199999999999999">
      <c r="A1047" s="6"/>
      <c r="B1047" s="6"/>
      <c r="C1047" s="6"/>
      <c r="D1047" s="6"/>
      <c r="E1047" s="6"/>
      <c r="F1047" s="6"/>
      <c r="G1047" s="6"/>
      <c r="H1047" s="6"/>
      <c r="I1047" s="6"/>
      <c r="J1047" s="6"/>
      <c r="K1047" s="6"/>
      <c r="L1047" s="6"/>
      <c r="M1047" s="6"/>
      <c r="N1047" s="6"/>
      <c r="O1047" s="6"/>
      <c r="P1047" s="6"/>
      <c r="Q1047" s="6"/>
      <c r="R1047" s="6"/>
      <c r="S1047" s="6"/>
      <c r="T1047" s="6"/>
      <c r="U1047" s="6"/>
      <c r="V1047" s="6"/>
      <c r="W1047" s="6"/>
      <c r="X1047" s="6"/>
      <c r="Y1047" s="6"/>
      <c r="Z1047" s="6"/>
      <c r="AA1047" s="6"/>
      <c r="AB1047" s="6"/>
      <c r="AC1047" s="6"/>
      <c r="AD1047" s="6"/>
      <c r="AE1047" s="6"/>
      <c r="AF1047" s="6"/>
    </row>
    <row r="1048" spans="1:32" ht="10.199999999999999">
      <c r="A1048" s="6"/>
      <c r="B1048" s="6"/>
      <c r="C1048" s="6"/>
      <c r="D1048" s="6"/>
      <c r="E1048" s="6"/>
      <c r="F1048" s="6"/>
      <c r="G1048" s="6"/>
      <c r="H1048" s="6"/>
      <c r="I1048" s="6"/>
      <c r="J1048" s="6"/>
      <c r="K1048" s="6"/>
      <c r="L1048" s="6"/>
      <c r="M1048" s="6"/>
      <c r="N1048" s="6"/>
      <c r="O1048" s="6"/>
      <c r="P1048" s="6"/>
      <c r="Q1048" s="6"/>
      <c r="R1048" s="6"/>
      <c r="S1048" s="6"/>
      <c r="T1048" s="6"/>
      <c r="U1048" s="6"/>
      <c r="V1048" s="6"/>
      <c r="W1048" s="6"/>
      <c r="X1048" s="6"/>
      <c r="Y1048" s="6"/>
      <c r="Z1048" s="6"/>
      <c r="AA1048" s="6"/>
      <c r="AB1048" s="6"/>
      <c r="AC1048" s="6"/>
      <c r="AD1048" s="6"/>
      <c r="AE1048" s="6"/>
      <c r="AF1048" s="6"/>
    </row>
    <row r="1049" spans="1:32" ht="10.199999999999999">
      <c r="A1049" s="6"/>
      <c r="B1049" s="6"/>
      <c r="C1049" s="6"/>
      <c r="D1049" s="6"/>
      <c r="E1049" s="6"/>
      <c r="F1049" s="6"/>
      <c r="G1049" s="6"/>
      <c r="H1049" s="6"/>
      <c r="I1049" s="6"/>
      <c r="J1049" s="6"/>
      <c r="K1049" s="6"/>
      <c r="L1049" s="6"/>
      <c r="M1049" s="6"/>
      <c r="N1049" s="6"/>
      <c r="O1049" s="6"/>
      <c r="P1049" s="6"/>
      <c r="Q1049" s="6"/>
      <c r="R1049" s="6"/>
      <c r="S1049" s="6"/>
      <c r="T1049" s="6"/>
      <c r="U1049" s="6"/>
      <c r="V1049" s="6"/>
      <c r="W1049" s="6"/>
      <c r="X1049" s="6"/>
      <c r="Y1049" s="6"/>
      <c r="Z1049" s="6"/>
      <c r="AA1049" s="6"/>
      <c r="AB1049" s="6"/>
      <c r="AC1049" s="6"/>
      <c r="AD1049" s="6"/>
      <c r="AE1049" s="6"/>
      <c r="AF1049" s="6"/>
    </row>
    <row r="1050" spans="1:32" ht="10.199999999999999">
      <c r="A1050" s="6"/>
      <c r="B1050" s="6"/>
      <c r="C1050" s="6"/>
      <c r="D1050" s="6"/>
      <c r="E1050" s="6"/>
      <c r="F1050" s="6"/>
      <c r="G1050" s="6"/>
      <c r="H1050" s="6"/>
      <c r="I1050" s="6"/>
      <c r="J1050" s="6"/>
      <c r="K1050" s="6"/>
      <c r="L1050" s="6"/>
      <c r="M1050" s="6"/>
      <c r="N1050" s="6"/>
      <c r="O1050" s="6"/>
      <c r="P1050" s="6"/>
      <c r="Q1050" s="6"/>
      <c r="R1050" s="6"/>
      <c r="S1050" s="6"/>
      <c r="T1050" s="6"/>
      <c r="U1050" s="6"/>
      <c r="V1050" s="6"/>
      <c r="W1050" s="6"/>
      <c r="X1050" s="6"/>
      <c r="Y1050" s="6"/>
      <c r="Z1050" s="6"/>
      <c r="AA1050" s="6"/>
      <c r="AB1050" s="6"/>
      <c r="AC1050" s="6"/>
      <c r="AD1050" s="6"/>
      <c r="AE1050" s="6"/>
      <c r="AF1050" s="6"/>
    </row>
    <row r="1051" spans="1:32" ht="10.199999999999999">
      <c r="A1051" s="6"/>
      <c r="B1051" s="6"/>
      <c r="C1051" s="6"/>
      <c r="D1051" s="6"/>
      <c r="E1051" s="6"/>
      <c r="F1051" s="6"/>
      <c r="G1051" s="6"/>
      <c r="H1051" s="6"/>
      <c r="I1051" s="6"/>
      <c r="J1051" s="6"/>
      <c r="K1051" s="6"/>
      <c r="L1051" s="6"/>
      <c r="M1051" s="6"/>
      <c r="N1051" s="6"/>
      <c r="O1051" s="6"/>
      <c r="P1051" s="6"/>
      <c r="Q1051" s="6"/>
      <c r="R1051" s="6"/>
      <c r="S1051" s="6"/>
      <c r="T1051" s="6"/>
      <c r="U1051" s="6"/>
      <c r="V1051" s="6"/>
      <c r="W1051" s="6"/>
      <c r="X1051" s="6"/>
      <c r="Y1051" s="6"/>
      <c r="Z1051" s="6"/>
      <c r="AA1051" s="6"/>
      <c r="AB1051" s="6"/>
      <c r="AC1051" s="6"/>
      <c r="AD1051" s="6"/>
      <c r="AE1051" s="6"/>
      <c r="AF1051" s="6"/>
    </row>
    <row r="1052" spans="1:32" ht="10.199999999999999">
      <c r="A1052" s="6"/>
      <c r="B1052" s="6"/>
      <c r="C1052" s="6"/>
      <c r="D1052" s="6"/>
      <c r="E1052" s="6"/>
      <c r="F1052" s="6"/>
      <c r="G1052" s="6"/>
      <c r="H1052" s="6"/>
      <c r="I1052" s="6"/>
      <c r="J1052" s="6"/>
      <c r="K1052" s="6"/>
      <c r="L1052" s="6"/>
      <c r="M1052" s="6"/>
      <c r="N1052" s="6"/>
      <c r="O1052" s="6"/>
      <c r="P1052" s="6"/>
      <c r="Q1052" s="6"/>
      <c r="R1052" s="6"/>
      <c r="S1052" s="6"/>
      <c r="T1052" s="6"/>
      <c r="U1052" s="6"/>
      <c r="V1052" s="6"/>
      <c r="W1052" s="6"/>
      <c r="X1052" s="6"/>
      <c r="Y1052" s="6"/>
      <c r="Z1052" s="6"/>
      <c r="AA1052" s="6"/>
      <c r="AB1052" s="6"/>
      <c r="AC1052" s="6"/>
      <c r="AD1052" s="6"/>
      <c r="AE1052" s="6"/>
      <c r="AF1052" s="6"/>
    </row>
    <row r="1053" spans="1:32" ht="10.199999999999999">
      <c r="A1053" s="6"/>
      <c r="B1053" s="6"/>
      <c r="C1053" s="6"/>
      <c r="D1053" s="6"/>
      <c r="E1053" s="6"/>
      <c r="F1053" s="6"/>
      <c r="G1053" s="6"/>
      <c r="H1053" s="6"/>
      <c r="I1053" s="6"/>
      <c r="J1053" s="6"/>
      <c r="K1053" s="6"/>
      <c r="L1053" s="6"/>
      <c r="M1053" s="6"/>
      <c r="N1053" s="6"/>
      <c r="O1053" s="6"/>
      <c r="P1053" s="6"/>
      <c r="Q1053" s="6"/>
      <c r="R1053" s="6"/>
      <c r="S1053" s="6"/>
      <c r="T1053" s="6"/>
      <c r="U1053" s="6"/>
      <c r="V1053" s="6"/>
      <c r="W1053" s="6"/>
      <c r="X1053" s="6"/>
      <c r="Y1053" s="6"/>
      <c r="Z1053" s="6"/>
      <c r="AA1053" s="6"/>
      <c r="AB1053" s="6"/>
      <c r="AC1053" s="6"/>
      <c r="AD1053" s="6"/>
      <c r="AE1053" s="6"/>
      <c r="AF1053" s="6"/>
    </row>
    <row r="1054" spans="1:32" ht="10.199999999999999">
      <c r="A1054" s="6"/>
      <c r="B1054" s="6"/>
      <c r="C1054" s="6"/>
      <c r="D1054" s="6"/>
      <c r="E1054" s="6"/>
      <c r="F1054" s="6"/>
      <c r="G1054" s="6"/>
      <c r="H1054" s="6"/>
      <c r="I1054" s="6"/>
      <c r="J1054" s="6"/>
      <c r="K1054" s="6"/>
      <c r="L1054" s="6"/>
      <c r="M1054" s="6"/>
      <c r="N1054" s="6"/>
      <c r="O1054" s="6"/>
      <c r="P1054" s="6"/>
      <c r="Q1054" s="6"/>
      <c r="R1054" s="6"/>
      <c r="S1054" s="6"/>
      <c r="T1054" s="6"/>
      <c r="U1054" s="6"/>
      <c r="V1054" s="6"/>
      <c r="W1054" s="6"/>
      <c r="X1054" s="6"/>
      <c r="Y1054" s="6"/>
      <c r="Z1054" s="6"/>
      <c r="AA1054" s="6"/>
      <c r="AB1054" s="6"/>
      <c r="AC1054" s="6"/>
      <c r="AD1054" s="6"/>
      <c r="AE1054" s="6"/>
      <c r="AF1054" s="6"/>
    </row>
    <row r="1055" spans="1:32" ht="10.199999999999999">
      <c r="A1055" s="6"/>
      <c r="B1055" s="6"/>
      <c r="C1055" s="6"/>
      <c r="D1055" s="6"/>
      <c r="E1055" s="6"/>
      <c r="F1055" s="6"/>
      <c r="G1055" s="6"/>
      <c r="H1055" s="6"/>
      <c r="I1055" s="6"/>
      <c r="J1055" s="6"/>
      <c r="K1055" s="6"/>
      <c r="L1055" s="6"/>
      <c r="M1055" s="6"/>
      <c r="N1055" s="6"/>
      <c r="O1055" s="6"/>
      <c r="P1055" s="6"/>
      <c r="Q1055" s="6"/>
      <c r="R1055" s="6"/>
      <c r="S1055" s="6"/>
      <c r="T1055" s="6"/>
      <c r="U1055" s="6"/>
      <c r="V1055" s="6"/>
      <c r="W1055" s="6"/>
      <c r="X1055" s="6"/>
      <c r="Y1055" s="6"/>
      <c r="Z1055" s="6"/>
      <c r="AA1055" s="6"/>
      <c r="AB1055" s="6"/>
      <c r="AC1055" s="6"/>
      <c r="AD1055" s="6"/>
      <c r="AE1055" s="6"/>
      <c r="AF1055" s="6"/>
    </row>
    <row r="1056" spans="1:32" ht="10.199999999999999">
      <c r="A1056" s="6"/>
      <c r="B1056" s="6"/>
      <c r="C1056" s="6"/>
      <c r="D1056" s="6"/>
      <c r="E1056" s="6"/>
      <c r="F1056" s="6"/>
      <c r="G1056" s="6"/>
      <c r="H1056" s="6"/>
      <c r="I1056" s="6"/>
      <c r="J1056" s="6"/>
      <c r="K1056" s="6"/>
      <c r="L1056" s="6"/>
      <c r="M1056" s="6"/>
      <c r="N1056" s="6"/>
      <c r="O1056" s="6"/>
      <c r="P1056" s="6"/>
      <c r="Q1056" s="6"/>
      <c r="R1056" s="6"/>
      <c r="S1056" s="6"/>
      <c r="T1056" s="6"/>
      <c r="U1056" s="6"/>
      <c r="V1056" s="6"/>
      <c r="W1056" s="6"/>
      <c r="X1056" s="6"/>
      <c r="Y1056" s="6"/>
      <c r="Z1056" s="6"/>
      <c r="AA1056" s="6"/>
      <c r="AB1056" s="6"/>
      <c r="AC1056" s="6"/>
      <c r="AD1056" s="6"/>
      <c r="AE1056" s="6"/>
      <c r="AF1056" s="6"/>
    </row>
    <row r="1057" spans="1:32" ht="10.199999999999999">
      <c r="A1057" s="6"/>
      <c r="B1057" s="6"/>
      <c r="C1057" s="6"/>
      <c r="D1057" s="6"/>
      <c r="E1057" s="6"/>
      <c r="F1057" s="6"/>
      <c r="G1057" s="6"/>
      <c r="H1057" s="6"/>
      <c r="I1057" s="6"/>
      <c r="J1057" s="6"/>
      <c r="K1057" s="6"/>
      <c r="L1057" s="6"/>
      <c r="M1057" s="6"/>
      <c r="N1057" s="6"/>
      <c r="O1057" s="6"/>
      <c r="P1057" s="6"/>
      <c r="Q1057" s="6"/>
      <c r="R1057" s="6"/>
      <c r="S1057" s="6"/>
      <c r="T1057" s="6"/>
      <c r="U1057" s="6"/>
      <c r="V1057" s="6"/>
      <c r="W1057" s="6"/>
      <c r="X1057" s="6"/>
      <c r="Y1057" s="6"/>
      <c r="Z1057" s="6"/>
      <c r="AA1057" s="6"/>
      <c r="AB1057" s="6"/>
      <c r="AC1057" s="6"/>
      <c r="AD1057" s="6"/>
      <c r="AE1057" s="6"/>
      <c r="AF1057" s="6"/>
    </row>
    <row r="1058" spans="1:32" ht="10.199999999999999">
      <c r="A1058" s="6"/>
      <c r="B1058" s="6"/>
      <c r="C1058" s="6"/>
      <c r="D1058" s="6"/>
      <c r="E1058" s="6"/>
      <c r="F1058" s="6"/>
      <c r="G1058" s="6"/>
      <c r="H1058" s="6"/>
      <c r="I1058" s="6"/>
      <c r="J1058" s="6"/>
      <c r="K1058" s="6"/>
      <c r="L1058" s="6"/>
      <c r="M1058" s="6"/>
      <c r="N1058" s="6"/>
      <c r="O1058" s="6"/>
      <c r="P1058" s="6"/>
      <c r="Q1058" s="6"/>
      <c r="R1058" s="6"/>
      <c r="S1058" s="6"/>
      <c r="T1058" s="6"/>
      <c r="U1058" s="6"/>
      <c r="V1058" s="6"/>
      <c r="W1058" s="6"/>
      <c r="X1058" s="6"/>
      <c r="Y1058" s="6"/>
      <c r="Z1058" s="6"/>
      <c r="AA1058" s="6"/>
      <c r="AB1058" s="6"/>
      <c r="AC1058" s="6"/>
      <c r="AD1058" s="6"/>
      <c r="AE1058" s="6"/>
      <c r="AF1058" s="6"/>
    </row>
    <row r="1059" spans="1:32" ht="10.199999999999999">
      <c r="A1059" s="6"/>
      <c r="B1059" s="6"/>
      <c r="C1059" s="6"/>
      <c r="D1059" s="6"/>
      <c r="E1059" s="6"/>
      <c r="F1059" s="6"/>
      <c r="G1059" s="6"/>
      <c r="H1059" s="6"/>
      <c r="I1059" s="6"/>
      <c r="J1059" s="6"/>
      <c r="K1059" s="6"/>
      <c r="L1059" s="6"/>
      <c r="M1059" s="6"/>
      <c r="N1059" s="6"/>
      <c r="O1059" s="6"/>
      <c r="P1059" s="6"/>
      <c r="Q1059" s="6"/>
      <c r="R1059" s="6"/>
      <c r="S1059" s="6"/>
      <c r="T1059" s="6"/>
      <c r="U1059" s="6"/>
      <c r="V1059" s="6"/>
      <c r="W1059" s="6"/>
      <c r="X1059" s="6"/>
      <c r="Y1059" s="6"/>
      <c r="Z1059" s="6"/>
      <c r="AA1059" s="6"/>
      <c r="AB1059" s="6"/>
      <c r="AC1059" s="6"/>
      <c r="AD1059" s="6"/>
      <c r="AE1059" s="6"/>
      <c r="AF1059" s="6"/>
    </row>
    <row r="1060" spans="1:32" ht="10.199999999999999">
      <c r="A1060" s="6"/>
      <c r="B1060" s="6"/>
      <c r="C1060" s="6"/>
      <c r="D1060" s="6"/>
      <c r="E1060" s="6"/>
      <c r="F1060" s="6"/>
      <c r="G1060" s="6"/>
      <c r="H1060" s="6"/>
      <c r="I1060" s="6"/>
      <c r="J1060" s="6"/>
      <c r="K1060" s="6"/>
      <c r="L1060" s="6"/>
      <c r="M1060" s="6"/>
      <c r="N1060" s="6"/>
      <c r="O1060" s="6"/>
      <c r="P1060" s="6"/>
      <c r="Q1060" s="6"/>
      <c r="R1060" s="6"/>
      <c r="S1060" s="6"/>
      <c r="T1060" s="6"/>
      <c r="U1060" s="6"/>
      <c r="V1060" s="6"/>
      <c r="W1060" s="6"/>
      <c r="X1060" s="6"/>
      <c r="Y1060" s="6"/>
      <c r="Z1060" s="6"/>
      <c r="AA1060" s="6"/>
      <c r="AB1060" s="6"/>
      <c r="AC1060" s="6"/>
      <c r="AD1060" s="6"/>
      <c r="AE1060" s="6"/>
      <c r="AF1060" s="6"/>
    </row>
    <row r="1061" spans="1:32" ht="10.199999999999999">
      <c r="A1061" s="6"/>
      <c r="B1061" s="6"/>
      <c r="C1061" s="6"/>
      <c r="D1061" s="6"/>
      <c r="E1061" s="6"/>
      <c r="F1061" s="6"/>
      <c r="G1061" s="6"/>
      <c r="H1061" s="6"/>
      <c r="I1061" s="6"/>
      <c r="J1061" s="6"/>
      <c r="K1061" s="6"/>
      <c r="L1061" s="6"/>
      <c r="M1061" s="6"/>
      <c r="N1061" s="6"/>
      <c r="O1061" s="6"/>
      <c r="P1061" s="6"/>
      <c r="Q1061" s="6"/>
      <c r="R1061" s="6"/>
      <c r="S1061" s="6"/>
      <c r="T1061" s="6"/>
      <c r="U1061" s="6"/>
      <c r="V1061" s="6"/>
      <c r="W1061" s="6"/>
      <c r="X1061" s="6"/>
      <c r="Y1061" s="6"/>
      <c r="Z1061" s="6"/>
      <c r="AA1061" s="6"/>
      <c r="AB1061" s="6"/>
      <c r="AC1061" s="6"/>
      <c r="AD1061" s="6"/>
      <c r="AE1061" s="6"/>
      <c r="AF1061" s="6"/>
    </row>
    <row r="1062" spans="1:32" ht="10.199999999999999">
      <c r="A1062" s="6"/>
      <c r="B1062" s="6"/>
      <c r="C1062" s="6"/>
      <c r="D1062" s="6"/>
      <c r="E1062" s="6"/>
      <c r="F1062" s="6"/>
      <c r="G1062" s="6"/>
      <c r="H1062" s="6"/>
      <c r="I1062" s="6"/>
      <c r="J1062" s="6"/>
      <c r="K1062" s="6"/>
      <c r="L1062" s="6"/>
      <c r="M1062" s="6"/>
      <c r="N1062" s="6"/>
      <c r="O1062" s="6"/>
      <c r="P1062" s="6"/>
      <c r="Q1062" s="6"/>
      <c r="R1062" s="6"/>
      <c r="S1062" s="6"/>
      <c r="T1062" s="6"/>
      <c r="U1062" s="6"/>
      <c r="V1062" s="6"/>
      <c r="W1062" s="6"/>
      <c r="X1062" s="6"/>
      <c r="Y1062" s="6"/>
      <c r="Z1062" s="6"/>
      <c r="AA1062" s="6"/>
      <c r="AB1062" s="6"/>
      <c r="AC1062" s="6"/>
      <c r="AD1062" s="6"/>
      <c r="AE1062" s="6"/>
      <c r="AF1062" s="6"/>
    </row>
    <row r="1063" spans="1:32" ht="10.199999999999999">
      <c r="A1063" s="6"/>
      <c r="B1063" s="6"/>
      <c r="C1063" s="6"/>
      <c r="D1063" s="6"/>
      <c r="E1063" s="6"/>
      <c r="F1063" s="6"/>
      <c r="G1063" s="6"/>
      <c r="H1063" s="6"/>
      <c r="I1063" s="6"/>
      <c r="J1063" s="6"/>
      <c r="K1063" s="6"/>
      <c r="L1063" s="6"/>
      <c r="M1063" s="6"/>
      <c r="N1063" s="6"/>
      <c r="O1063" s="6"/>
      <c r="P1063" s="6"/>
      <c r="Q1063" s="6"/>
      <c r="R1063" s="6"/>
      <c r="S1063" s="6"/>
      <c r="T1063" s="6"/>
      <c r="U1063" s="6"/>
      <c r="V1063" s="6"/>
      <c r="W1063" s="6"/>
      <c r="X1063" s="6"/>
      <c r="Y1063" s="6"/>
      <c r="Z1063" s="6"/>
      <c r="AA1063" s="6"/>
      <c r="AB1063" s="6"/>
      <c r="AC1063" s="6"/>
      <c r="AD1063" s="6"/>
      <c r="AE1063" s="6"/>
      <c r="AF1063" s="6"/>
    </row>
    <row r="1064" spans="1:32" ht="10.199999999999999">
      <c r="A1064" s="6"/>
      <c r="B1064" s="6"/>
      <c r="C1064" s="6"/>
      <c r="D1064" s="6"/>
      <c r="E1064" s="6"/>
      <c r="F1064" s="6"/>
      <c r="G1064" s="6"/>
      <c r="H1064" s="6"/>
      <c r="I1064" s="6"/>
      <c r="J1064" s="6"/>
      <c r="K1064" s="6"/>
      <c r="L1064" s="6"/>
      <c r="M1064" s="6"/>
      <c r="N1064" s="6"/>
      <c r="O1064" s="6"/>
      <c r="P1064" s="6"/>
      <c r="Q1064" s="6"/>
      <c r="R1064" s="6"/>
      <c r="S1064" s="6"/>
      <c r="T1064" s="6"/>
      <c r="U1064" s="6"/>
      <c r="V1064" s="6"/>
      <c r="W1064" s="6"/>
      <c r="X1064" s="6"/>
      <c r="Y1064" s="6"/>
      <c r="Z1064" s="6"/>
      <c r="AA1064" s="6"/>
      <c r="AB1064" s="6"/>
      <c r="AC1064" s="6"/>
      <c r="AD1064" s="6"/>
      <c r="AE1064" s="6"/>
      <c r="AF1064" s="6"/>
    </row>
    <row r="1065" spans="1:32" ht="10.199999999999999">
      <c r="A1065" s="6"/>
      <c r="B1065" s="6"/>
      <c r="C1065" s="6"/>
      <c r="D1065" s="6"/>
      <c r="E1065" s="6"/>
      <c r="F1065" s="6"/>
      <c r="G1065" s="6"/>
      <c r="H1065" s="6"/>
      <c r="I1065" s="6"/>
      <c r="J1065" s="6"/>
      <c r="K1065" s="6"/>
      <c r="L1065" s="6"/>
      <c r="M1065" s="6"/>
      <c r="N1065" s="6"/>
      <c r="O1065" s="6"/>
      <c r="P1065" s="6"/>
      <c r="Q1065" s="6"/>
      <c r="R1065" s="6"/>
      <c r="S1065" s="6"/>
      <c r="T1065" s="6"/>
      <c r="U1065" s="6"/>
      <c r="V1065" s="6"/>
      <c r="W1065" s="6"/>
      <c r="X1065" s="6"/>
      <c r="Y1065" s="6"/>
      <c r="Z1065" s="6"/>
      <c r="AA1065" s="6"/>
      <c r="AB1065" s="6"/>
      <c r="AC1065" s="6"/>
      <c r="AD1065" s="6"/>
      <c r="AE1065" s="6"/>
      <c r="AF1065" s="6"/>
    </row>
    <row r="1066" spans="1:32" ht="10.199999999999999">
      <c r="A1066" s="6"/>
      <c r="B1066" s="6"/>
      <c r="C1066" s="6"/>
      <c r="D1066" s="6"/>
      <c r="E1066" s="6"/>
      <c r="F1066" s="6"/>
      <c r="G1066" s="6"/>
      <c r="H1066" s="6"/>
      <c r="I1066" s="6"/>
      <c r="J1066" s="6"/>
      <c r="K1066" s="6"/>
      <c r="L1066" s="6"/>
      <c r="M1066" s="6"/>
      <c r="N1066" s="6"/>
      <c r="O1066" s="6"/>
      <c r="P1066" s="6"/>
      <c r="Q1066" s="6"/>
      <c r="R1066" s="6"/>
      <c r="S1066" s="6"/>
      <c r="T1066" s="6"/>
      <c r="U1066" s="6"/>
      <c r="V1066" s="6"/>
      <c r="W1066" s="6"/>
      <c r="X1066" s="6"/>
      <c r="Y1066" s="6"/>
      <c r="Z1066" s="6"/>
      <c r="AA1066" s="6"/>
      <c r="AB1066" s="6"/>
      <c r="AC1066" s="6"/>
      <c r="AD1066" s="6"/>
      <c r="AE1066" s="6"/>
      <c r="AF1066" s="6"/>
    </row>
    <row r="1067" spans="1:32" ht="10.199999999999999">
      <c r="A1067" s="6"/>
      <c r="B1067" s="6"/>
      <c r="C1067" s="6"/>
      <c r="D1067" s="6"/>
      <c r="E1067" s="6"/>
      <c r="F1067" s="6"/>
      <c r="G1067" s="6"/>
      <c r="H1067" s="6"/>
      <c r="I1067" s="6"/>
      <c r="J1067" s="6"/>
      <c r="K1067" s="6"/>
      <c r="L1067" s="6"/>
      <c r="M1067" s="6"/>
      <c r="N1067" s="6"/>
      <c r="O1067" s="6"/>
      <c r="P1067" s="6"/>
      <c r="Q1067" s="6"/>
      <c r="R1067" s="6"/>
      <c r="S1067" s="6"/>
      <c r="T1067" s="6"/>
      <c r="U1067" s="6"/>
      <c r="V1067" s="6"/>
      <c r="W1067" s="6"/>
      <c r="X1067" s="6"/>
      <c r="Y1067" s="6"/>
      <c r="Z1067" s="6"/>
      <c r="AA1067" s="6"/>
      <c r="AB1067" s="6"/>
      <c r="AC1067" s="6"/>
      <c r="AD1067" s="6"/>
      <c r="AE1067" s="6"/>
      <c r="AF1067" s="6"/>
    </row>
    <row r="1068" spans="1:32" ht="10.199999999999999">
      <c r="A1068" s="6"/>
      <c r="B1068" s="6"/>
      <c r="C1068" s="6"/>
      <c r="D1068" s="6"/>
      <c r="E1068" s="6"/>
      <c r="F1068" s="6"/>
      <c r="G1068" s="6"/>
      <c r="H1068" s="6"/>
      <c r="I1068" s="6"/>
      <c r="J1068" s="6"/>
      <c r="K1068" s="6"/>
      <c r="L1068" s="6"/>
      <c r="M1068" s="6"/>
      <c r="N1068" s="6"/>
      <c r="O1068" s="6"/>
      <c r="P1068" s="6"/>
      <c r="Q1068" s="6"/>
      <c r="R1068" s="6"/>
      <c r="S1068" s="6"/>
      <c r="T1068" s="6"/>
      <c r="U1068" s="6"/>
      <c r="V1068" s="6"/>
      <c r="W1068" s="6"/>
      <c r="X1068" s="6"/>
      <c r="Y1068" s="6"/>
      <c r="Z1068" s="6"/>
      <c r="AA1068" s="6"/>
      <c r="AB1068" s="6"/>
      <c r="AC1068" s="6"/>
      <c r="AD1068" s="6"/>
      <c r="AE1068" s="6"/>
      <c r="AF1068" s="6"/>
    </row>
    <row r="1069" spans="1:32" ht="10.199999999999999">
      <c r="A1069" s="6"/>
      <c r="B1069" s="6"/>
      <c r="C1069" s="6"/>
      <c r="D1069" s="6"/>
      <c r="E1069" s="6"/>
      <c r="F1069" s="6"/>
      <c r="G1069" s="6"/>
      <c r="H1069" s="6"/>
      <c r="I1069" s="6"/>
      <c r="J1069" s="6"/>
      <c r="K1069" s="6"/>
      <c r="L1069" s="6"/>
      <c r="M1069" s="6"/>
      <c r="N1069" s="6"/>
      <c r="O1069" s="6"/>
      <c r="P1069" s="6"/>
      <c r="Q1069" s="6"/>
      <c r="R1069" s="6"/>
      <c r="S1069" s="6"/>
      <c r="T1069" s="6"/>
      <c r="U1069" s="6"/>
      <c r="V1069" s="6"/>
      <c r="W1069" s="6"/>
      <c r="X1069" s="6"/>
      <c r="Y1069" s="6"/>
      <c r="Z1069" s="6"/>
      <c r="AA1069" s="6"/>
      <c r="AB1069" s="6"/>
      <c r="AC1069" s="6"/>
      <c r="AD1069" s="6"/>
      <c r="AE1069" s="6"/>
      <c r="AF1069" s="6"/>
    </row>
    <row r="1070" spans="1:32" ht="10.199999999999999">
      <c r="A1070" s="6"/>
      <c r="B1070" s="6"/>
      <c r="C1070" s="6"/>
      <c r="D1070" s="6"/>
      <c r="E1070" s="6"/>
      <c r="F1070" s="6"/>
      <c r="G1070" s="6"/>
      <c r="H1070" s="6"/>
      <c r="I1070" s="6"/>
      <c r="J1070" s="6"/>
      <c r="K1070" s="6"/>
      <c r="L1070" s="6"/>
      <c r="M1070" s="6"/>
      <c r="N1070" s="6"/>
      <c r="O1070" s="6"/>
      <c r="P1070" s="6"/>
      <c r="Q1070" s="6"/>
      <c r="R1070" s="6"/>
      <c r="S1070" s="6"/>
      <c r="T1070" s="6"/>
      <c r="U1070" s="6"/>
      <c r="V1070" s="6"/>
      <c r="W1070" s="6"/>
      <c r="X1070" s="6"/>
      <c r="Y1070" s="6"/>
      <c r="Z1070" s="6"/>
      <c r="AA1070" s="6"/>
      <c r="AB1070" s="6"/>
      <c r="AC1070" s="6"/>
      <c r="AD1070" s="6"/>
      <c r="AE1070" s="6"/>
      <c r="AF1070" s="6"/>
    </row>
    <row r="1071" spans="1:32" ht="10.199999999999999">
      <c r="A1071" s="6"/>
      <c r="B1071" s="6"/>
      <c r="C1071" s="6"/>
      <c r="D1071" s="6"/>
      <c r="E1071" s="6"/>
      <c r="F1071" s="6"/>
      <c r="G1071" s="6"/>
      <c r="H1071" s="6"/>
      <c r="I1071" s="6"/>
      <c r="J1071" s="6"/>
      <c r="K1071" s="6"/>
      <c r="L1071" s="6"/>
      <c r="M1071" s="6"/>
      <c r="N1071" s="6"/>
      <c r="O1071" s="6"/>
      <c r="P1071" s="6"/>
      <c r="Q1071" s="6"/>
      <c r="R1071" s="6"/>
      <c r="S1071" s="6"/>
      <c r="T1071" s="6"/>
      <c r="U1071" s="6"/>
      <c r="V1071" s="6"/>
      <c r="W1071" s="6"/>
      <c r="X1071" s="6"/>
      <c r="Y1071" s="6"/>
      <c r="Z1071" s="6"/>
      <c r="AA1071" s="6"/>
      <c r="AB1071" s="6"/>
      <c r="AC1071" s="6"/>
      <c r="AD1071" s="6"/>
      <c r="AE1071" s="6"/>
      <c r="AF1071" s="6"/>
    </row>
    <row r="1072" spans="1:32" ht="10.199999999999999">
      <c r="A1072" s="6"/>
      <c r="B1072" s="6"/>
      <c r="C1072" s="6"/>
      <c r="D1072" s="6"/>
      <c r="E1072" s="6"/>
      <c r="F1072" s="6"/>
      <c r="G1072" s="6"/>
      <c r="H1072" s="6"/>
      <c r="I1072" s="6"/>
      <c r="J1072" s="6"/>
      <c r="K1072" s="6"/>
      <c r="L1072" s="6"/>
      <c r="M1072" s="6"/>
      <c r="N1072" s="6"/>
      <c r="O1072" s="6"/>
      <c r="P1072" s="6"/>
      <c r="Q1072" s="6"/>
      <c r="R1072" s="6"/>
      <c r="S1072" s="6"/>
      <c r="T1072" s="6"/>
      <c r="U1072" s="6"/>
      <c r="V1072" s="6"/>
      <c r="W1072" s="6"/>
      <c r="X1072" s="6"/>
      <c r="Y1072" s="6"/>
      <c r="Z1072" s="6"/>
      <c r="AA1072" s="6"/>
      <c r="AB1072" s="6"/>
      <c r="AC1072" s="6"/>
      <c r="AD1072" s="6"/>
      <c r="AE1072" s="6"/>
      <c r="AF1072" s="6"/>
    </row>
    <row r="1073" spans="1:32" ht="10.199999999999999">
      <c r="A1073" s="6"/>
      <c r="B1073" s="6"/>
      <c r="C1073" s="6"/>
      <c r="D1073" s="6"/>
      <c r="E1073" s="6"/>
      <c r="F1073" s="6"/>
      <c r="G1073" s="6"/>
      <c r="H1073" s="6"/>
      <c r="I1073" s="6"/>
      <c r="J1073" s="6"/>
      <c r="K1073" s="6"/>
      <c r="L1073" s="6"/>
      <c r="M1073" s="6"/>
      <c r="N1073" s="6"/>
      <c r="O1073" s="6"/>
      <c r="P1073" s="6"/>
      <c r="Q1073" s="6"/>
      <c r="R1073" s="6"/>
      <c r="S1073" s="6"/>
      <c r="T1073" s="6"/>
      <c r="U1073" s="6"/>
      <c r="V1073" s="6"/>
      <c r="W1073" s="6"/>
      <c r="X1073" s="6"/>
      <c r="Y1073" s="6"/>
      <c r="Z1073" s="6"/>
      <c r="AA1073" s="6"/>
      <c r="AB1073" s="6"/>
      <c r="AC1073" s="6"/>
      <c r="AD1073" s="6"/>
      <c r="AE1073" s="6"/>
      <c r="AF1073" s="6"/>
    </row>
    <row r="1074" spans="1:32" ht="10.199999999999999">
      <c r="A1074" s="6"/>
      <c r="B1074" s="6"/>
      <c r="C1074" s="6"/>
      <c r="D1074" s="6"/>
      <c r="E1074" s="6"/>
      <c r="F1074" s="6"/>
      <c r="G1074" s="6"/>
      <c r="H1074" s="6"/>
      <c r="I1074" s="6"/>
      <c r="J1074" s="6"/>
      <c r="K1074" s="6"/>
      <c r="L1074" s="6"/>
      <c r="M1074" s="6"/>
      <c r="N1074" s="6"/>
      <c r="O1074" s="6"/>
      <c r="P1074" s="6"/>
      <c r="Q1074" s="6"/>
      <c r="R1074" s="6"/>
      <c r="S1074" s="6"/>
      <c r="T1074" s="6"/>
      <c r="U1074" s="6"/>
      <c r="V1074" s="6"/>
      <c r="W1074" s="6"/>
      <c r="X1074" s="6"/>
      <c r="Y1074" s="6"/>
      <c r="Z1074" s="6"/>
      <c r="AA1074" s="6"/>
      <c r="AB1074" s="6"/>
      <c r="AC1074" s="6"/>
      <c r="AD1074" s="6"/>
      <c r="AE1074" s="6"/>
      <c r="AF1074" s="6"/>
    </row>
    <row r="1075" spans="1:32" ht="10.199999999999999">
      <c r="A1075" s="6"/>
      <c r="B1075" s="6"/>
      <c r="C1075" s="6"/>
      <c r="D1075" s="6"/>
      <c r="E1075" s="6"/>
      <c r="F1075" s="6"/>
      <c r="G1075" s="6"/>
      <c r="H1075" s="6"/>
      <c r="I1075" s="6"/>
      <c r="J1075" s="6"/>
      <c r="K1075" s="6"/>
      <c r="L1075" s="6"/>
      <c r="M1075" s="6"/>
      <c r="N1075" s="6"/>
      <c r="O1075" s="6"/>
      <c r="P1075" s="6"/>
      <c r="Q1075" s="6"/>
      <c r="R1075" s="6"/>
      <c r="S1075" s="6"/>
      <c r="T1075" s="6"/>
      <c r="U1075" s="6"/>
      <c r="V1075" s="6"/>
      <c r="W1075" s="6"/>
      <c r="X1075" s="6"/>
      <c r="Y1075" s="6"/>
      <c r="Z1075" s="6"/>
      <c r="AA1075" s="6"/>
      <c r="AB1075" s="6"/>
      <c r="AC1075" s="6"/>
      <c r="AD1075" s="6"/>
      <c r="AE1075" s="6"/>
      <c r="AF1075" s="6"/>
    </row>
    <row r="1076" spans="1:32" ht="10.199999999999999">
      <c r="A1076" s="6"/>
      <c r="B1076" s="6"/>
      <c r="C1076" s="6"/>
      <c r="D1076" s="6"/>
      <c r="E1076" s="6"/>
      <c r="F1076" s="6"/>
      <c r="G1076" s="6"/>
      <c r="H1076" s="6"/>
      <c r="I1076" s="6"/>
      <c r="J1076" s="6"/>
      <c r="K1076" s="6"/>
      <c r="L1076" s="6"/>
      <c r="M1076" s="6"/>
      <c r="N1076" s="6"/>
      <c r="O1076" s="6"/>
      <c r="P1076" s="6"/>
      <c r="Q1076" s="6"/>
      <c r="R1076" s="6"/>
      <c r="S1076" s="6"/>
      <c r="T1076" s="6"/>
      <c r="U1076" s="6"/>
      <c r="V1076" s="6"/>
      <c r="W1076" s="6"/>
      <c r="X1076" s="6"/>
      <c r="Y1076" s="6"/>
      <c r="Z1076" s="6"/>
      <c r="AA1076" s="6"/>
      <c r="AB1076" s="6"/>
      <c r="AC1076" s="6"/>
      <c r="AD1076" s="6"/>
      <c r="AE1076" s="6"/>
      <c r="AF1076" s="6"/>
    </row>
    <row r="1077" spans="1:32" ht="10.199999999999999">
      <c r="A1077" s="6"/>
      <c r="B1077" s="6"/>
      <c r="C1077" s="6"/>
      <c r="D1077" s="6"/>
      <c r="E1077" s="6"/>
      <c r="F1077" s="6"/>
      <c r="G1077" s="6"/>
      <c r="H1077" s="6"/>
      <c r="I1077" s="6"/>
      <c r="J1077" s="6"/>
      <c r="K1077" s="6"/>
      <c r="L1077" s="6"/>
      <c r="M1077" s="6"/>
      <c r="N1077" s="6"/>
      <c r="O1077" s="6"/>
      <c r="P1077" s="6"/>
      <c r="Q1077" s="6"/>
      <c r="R1077" s="6"/>
      <c r="S1077" s="6"/>
      <c r="T1077" s="6"/>
      <c r="U1077" s="6"/>
      <c r="V1077" s="6"/>
      <c r="W1077" s="6"/>
      <c r="X1077" s="6"/>
      <c r="Y1077" s="6"/>
      <c r="Z1077" s="6"/>
      <c r="AA1077" s="6"/>
      <c r="AB1077" s="6"/>
      <c r="AC1077" s="6"/>
      <c r="AD1077" s="6"/>
      <c r="AE1077" s="6"/>
      <c r="AF1077" s="6"/>
    </row>
    <row r="1078" spans="1:32" ht="10.199999999999999">
      <c r="A1078" s="6"/>
      <c r="B1078" s="6"/>
      <c r="C1078" s="6"/>
      <c r="D1078" s="6"/>
      <c r="E1078" s="6"/>
      <c r="F1078" s="6"/>
      <c r="G1078" s="6"/>
      <c r="H1078" s="6"/>
      <c r="I1078" s="6"/>
      <c r="J1078" s="6"/>
      <c r="K1078" s="6"/>
      <c r="L1078" s="6"/>
      <c r="M1078" s="6"/>
      <c r="N1078" s="6"/>
      <c r="O1078" s="6"/>
      <c r="P1078" s="6"/>
      <c r="Q1078" s="6"/>
      <c r="R1078" s="6"/>
      <c r="S1078" s="6"/>
      <c r="T1078" s="6"/>
      <c r="U1078" s="6"/>
      <c r="V1078" s="6"/>
      <c r="W1078" s="6"/>
      <c r="X1078" s="6"/>
      <c r="Y1078" s="6"/>
      <c r="Z1078" s="6"/>
      <c r="AA1078" s="6"/>
      <c r="AB1078" s="6"/>
      <c r="AC1078" s="6"/>
      <c r="AD1078" s="6"/>
      <c r="AE1078" s="6"/>
      <c r="AF1078" s="6"/>
    </row>
    <row r="1079" spans="1:32" ht="10.199999999999999">
      <c r="A1079" s="6"/>
      <c r="B1079" s="6"/>
      <c r="C1079" s="6"/>
      <c r="D1079" s="6"/>
      <c r="E1079" s="6"/>
      <c r="F1079" s="6"/>
      <c r="G1079" s="6"/>
      <c r="H1079" s="6"/>
      <c r="I1079" s="6"/>
      <c r="J1079" s="6"/>
      <c r="K1079" s="6"/>
      <c r="L1079" s="6"/>
      <c r="M1079" s="6"/>
      <c r="N1079" s="6"/>
      <c r="O1079" s="6"/>
      <c r="P1079" s="6"/>
      <c r="Q1079" s="6"/>
      <c r="R1079" s="6"/>
      <c r="S1079" s="6"/>
      <c r="T1079" s="6"/>
      <c r="U1079" s="6"/>
      <c r="V1079" s="6"/>
      <c r="W1079" s="6"/>
      <c r="X1079" s="6"/>
      <c r="Y1079" s="6"/>
      <c r="Z1079" s="6"/>
      <c r="AA1079" s="6"/>
      <c r="AB1079" s="6"/>
      <c r="AC1079" s="6"/>
      <c r="AD1079" s="6"/>
      <c r="AE1079" s="6"/>
      <c r="AF1079" s="6"/>
    </row>
    <row r="1080" spans="1:32" ht="10.199999999999999">
      <c r="A1080" s="6"/>
      <c r="B1080" s="6"/>
      <c r="C1080" s="6"/>
      <c r="D1080" s="6"/>
      <c r="E1080" s="6"/>
      <c r="F1080" s="6"/>
      <c r="G1080" s="6"/>
      <c r="H1080" s="6"/>
      <c r="I1080" s="6"/>
      <c r="J1080" s="6"/>
      <c r="K1080" s="6"/>
      <c r="L1080" s="6"/>
      <c r="M1080" s="6"/>
      <c r="N1080" s="6"/>
      <c r="O1080" s="6"/>
      <c r="P1080" s="6"/>
      <c r="Q1080" s="6"/>
      <c r="R1080" s="6"/>
      <c r="S1080" s="6"/>
      <c r="T1080" s="6"/>
      <c r="U1080" s="6"/>
      <c r="V1080" s="6"/>
      <c r="W1080" s="6"/>
      <c r="X1080" s="6"/>
      <c r="Y1080" s="6"/>
      <c r="Z1080" s="6"/>
      <c r="AA1080" s="6"/>
      <c r="AB1080" s="6"/>
      <c r="AC1080" s="6"/>
      <c r="AD1080" s="6"/>
      <c r="AE1080" s="6"/>
      <c r="AF1080" s="6"/>
    </row>
    <row r="1081" spans="1:32" ht="10.199999999999999">
      <c r="A1081" s="6"/>
      <c r="B1081" s="6"/>
      <c r="C1081" s="6"/>
      <c r="D1081" s="6"/>
      <c r="E1081" s="6"/>
      <c r="F1081" s="6"/>
      <c r="G1081" s="6"/>
      <c r="H1081" s="6"/>
      <c r="I1081" s="6"/>
      <c r="J1081" s="6"/>
      <c r="K1081" s="6"/>
      <c r="L1081" s="6"/>
      <c r="M1081" s="6"/>
      <c r="N1081" s="6"/>
      <c r="O1081" s="6"/>
      <c r="P1081" s="6"/>
      <c r="Q1081" s="6"/>
      <c r="R1081" s="6"/>
      <c r="S1081" s="6"/>
      <c r="T1081" s="6"/>
      <c r="U1081" s="6"/>
      <c r="V1081" s="6"/>
      <c r="W1081" s="6"/>
      <c r="X1081" s="6"/>
      <c r="Y1081" s="6"/>
      <c r="Z1081" s="6"/>
      <c r="AA1081" s="6"/>
      <c r="AB1081" s="6"/>
      <c r="AC1081" s="6"/>
      <c r="AD1081" s="6"/>
      <c r="AE1081" s="6"/>
      <c r="AF1081" s="6"/>
    </row>
    <row r="1082" spans="1:32" ht="10.199999999999999">
      <c r="A1082" s="6"/>
      <c r="B1082" s="6"/>
      <c r="C1082" s="6"/>
      <c r="D1082" s="6"/>
      <c r="E1082" s="6"/>
      <c r="F1082" s="6"/>
      <c r="G1082" s="6"/>
      <c r="H1082" s="6"/>
      <c r="I1082" s="6"/>
      <c r="J1082" s="6"/>
      <c r="K1082" s="6"/>
      <c r="L1082" s="6"/>
      <c r="M1082" s="6"/>
      <c r="N1082" s="6"/>
      <c r="O1082" s="6"/>
      <c r="P1082" s="6"/>
      <c r="Q1082" s="6"/>
      <c r="R1082" s="6"/>
      <c r="S1082" s="6"/>
      <c r="T1082" s="6"/>
      <c r="U1082" s="6"/>
      <c r="V1082" s="6"/>
      <c r="W1082" s="6"/>
      <c r="X1082" s="6"/>
      <c r="Y1082" s="6"/>
      <c r="Z1082" s="6"/>
      <c r="AA1082" s="6"/>
      <c r="AB1082" s="6"/>
      <c r="AC1082" s="6"/>
      <c r="AD1082" s="6"/>
      <c r="AE1082" s="6"/>
      <c r="AF1082" s="6"/>
    </row>
    <row r="1083" spans="1:32" ht="10.199999999999999">
      <c r="A1083" s="6"/>
      <c r="B1083" s="6"/>
      <c r="C1083" s="6"/>
      <c r="D1083" s="6"/>
      <c r="E1083" s="6"/>
      <c r="F1083" s="6"/>
      <c r="G1083" s="6"/>
      <c r="H1083" s="6"/>
      <c r="I1083" s="6"/>
      <c r="J1083" s="6"/>
      <c r="K1083" s="6"/>
      <c r="L1083" s="6"/>
      <c r="M1083" s="6"/>
      <c r="N1083" s="6"/>
      <c r="O1083" s="6"/>
      <c r="P1083" s="6"/>
      <c r="Q1083" s="6"/>
      <c r="R1083" s="6"/>
      <c r="S1083" s="6"/>
      <c r="T1083" s="6"/>
      <c r="U1083" s="6"/>
      <c r="V1083" s="6"/>
      <c r="W1083" s="6"/>
      <c r="X1083" s="6"/>
      <c r="Y1083" s="6"/>
      <c r="Z1083" s="6"/>
      <c r="AA1083" s="6"/>
      <c r="AB1083" s="6"/>
      <c r="AC1083" s="6"/>
      <c r="AD1083" s="6"/>
      <c r="AE1083" s="6"/>
      <c r="AF1083" s="6"/>
    </row>
    <row r="1084" spans="1:32" ht="10.199999999999999">
      <c r="A1084" s="6"/>
      <c r="B1084" s="6"/>
      <c r="C1084" s="6"/>
      <c r="D1084" s="6"/>
      <c r="E1084" s="6"/>
      <c r="F1084" s="6"/>
      <c r="G1084" s="6"/>
      <c r="H1084" s="6"/>
      <c r="I1084" s="6"/>
      <c r="J1084" s="6"/>
      <c r="K1084" s="6"/>
      <c r="L1084" s="6"/>
      <c r="M1084" s="6"/>
      <c r="N1084" s="6"/>
      <c r="O1084" s="6"/>
      <c r="P1084" s="6"/>
      <c r="Q1084" s="6"/>
      <c r="R1084" s="6"/>
      <c r="S1084" s="6"/>
      <c r="T1084" s="6"/>
      <c r="U1084" s="6"/>
      <c r="V1084" s="6"/>
      <c r="W1084" s="6"/>
      <c r="X1084" s="6"/>
      <c r="Y1084" s="6"/>
      <c r="Z1084" s="6"/>
      <c r="AA1084" s="6"/>
      <c r="AB1084" s="6"/>
      <c r="AC1084" s="6"/>
      <c r="AD1084" s="6"/>
      <c r="AE1084" s="6"/>
      <c r="AF1084" s="6"/>
    </row>
    <row r="1085" spans="1:32" ht="10.199999999999999">
      <c r="A1085" s="6"/>
      <c r="B1085" s="6"/>
      <c r="C1085" s="6"/>
      <c r="D1085" s="6"/>
      <c r="E1085" s="6"/>
      <c r="F1085" s="6"/>
      <c r="G1085" s="6"/>
      <c r="H1085" s="6"/>
      <c r="I1085" s="6"/>
      <c r="J1085" s="6"/>
      <c r="K1085" s="6"/>
      <c r="L1085" s="6"/>
      <c r="M1085" s="6"/>
      <c r="N1085" s="6"/>
      <c r="O1085" s="6"/>
      <c r="P1085" s="6"/>
      <c r="Q1085" s="6"/>
      <c r="R1085" s="6"/>
      <c r="S1085" s="6"/>
      <c r="T1085" s="6"/>
      <c r="U1085" s="6"/>
      <c r="V1085" s="6"/>
      <c r="W1085" s="6"/>
      <c r="X1085" s="6"/>
      <c r="Y1085" s="6"/>
      <c r="Z1085" s="6"/>
      <c r="AA1085" s="6"/>
      <c r="AB1085" s="6"/>
      <c r="AC1085" s="6"/>
      <c r="AD1085" s="6"/>
      <c r="AE1085" s="6"/>
      <c r="AF1085" s="6"/>
    </row>
    <row r="1086" spans="1:32" ht="10.199999999999999">
      <c r="A1086" s="6"/>
      <c r="B1086" s="6"/>
      <c r="C1086" s="6"/>
      <c r="D1086" s="6"/>
      <c r="E1086" s="6"/>
      <c r="F1086" s="6"/>
      <c r="G1086" s="6"/>
      <c r="H1086" s="6"/>
      <c r="I1086" s="6"/>
      <c r="J1086" s="6"/>
      <c r="K1086" s="6"/>
      <c r="L1086" s="6"/>
      <c r="M1086" s="6"/>
      <c r="N1086" s="6"/>
      <c r="O1086" s="6"/>
      <c r="P1086" s="6"/>
      <c r="Q1086" s="6"/>
      <c r="R1086" s="6"/>
      <c r="S1086" s="6"/>
      <c r="T1086" s="6"/>
      <c r="U1086" s="6"/>
      <c r="V1086" s="6"/>
      <c r="W1086" s="6"/>
      <c r="X1086" s="6"/>
      <c r="Y1086" s="6"/>
      <c r="Z1086" s="6"/>
      <c r="AA1086" s="6"/>
      <c r="AB1086" s="6"/>
      <c r="AC1086" s="6"/>
      <c r="AD1086" s="6"/>
      <c r="AE1086" s="6"/>
      <c r="AF1086" s="6"/>
    </row>
    <row r="1087" spans="1:32" ht="10.199999999999999">
      <c r="A1087" s="6"/>
      <c r="B1087" s="6"/>
      <c r="C1087" s="6"/>
      <c r="D1087" s="6"/>
      <c r="E1087" s="6"/>
      <c r="F1087" s="6"/>
      <c r="G1087" s="6"/>
      <c r="H1087" s="6"/>
      <c r="I1087" s="6"/>
      <c r="J1087" s="6"/>
      <c r="K1087" s="6"/>
      <c r="L1087" s="6"/>
      <c r="M1087" s="6"/>
      <c r="N1087" s="6"/>
      <c r="O1087" s="6"/>
      <c r="P1087" s="6"/>
      <c r="Q1087" s="6"/>
      <c r="R1087" s="6"/>
      <c r="S1087" s="6"/>
      <c r="T1087" s="6"/>
      <c r="U1087" s="6"/>
      <c r="V1087" s="6"/>
      <c r="W1087" s="6"/>
      <c r="X1087" s="6"/>
      <c r="Y1087" s="6"/>
      <c r="Z1087" s="6"/>
      <c r="AA1087" s="6"/>
      <c r="AB1087" s="6"/>
      <c r="AC1087" s="6"/>
      <c r="AD1087" s="6"/>
      <c r="AE1087" s="6"/>
      <c r="AF1087" s="6"/>
    </row>
    <row r="1088" spans="1:32" ht="10.199999999999999">
      <c r="A1088" s="6"/>
      <c r="B1088" s="6"/>
      <c r="C1088" s="6"/>
      <c r="D1088" s="6"/>
      <c r="E1088" s="6"/>
      <c r="F1088" s="6"/>
      <c r="G1088" s="6"/>
      <c r="H1088" s="6"/>
      <c r="I1088" s="6"/>
      <c r="J1088" s="6"/>
      <c r="K1088" s="6"/>
      <c r="L1088" s="6"/>
      <c r="M1088" s="6"/>
      <c r="N1088" s="6"/>
      <c r="O1088" s="6"/>
      <c r="P1088" s="6"/>
      <c r="Q1088" s="6"/>
      <c r="R1088" s="6"/>
      <c r="S1088" s="6"/>
      <c r="T1088" s="6"/>
      <c r="U1088" s="6"/>
      <c r="V1088" s="6"/>
      <c r="W1088" s="6"/>
      <c r="X1088" s="6"/>
      <c r="Y1088" s="6"/>
      <c r="Z1088" s="6"/>
      <c r="AA1088" s="6"/>
      <c r="AB1088" s="6"/>
      <c r="AC1088" s="6"/>
      <c r="AD1088" s="6"/>
      <c r="AE1088" s="6"/>
      <c r="AF1088" s="6"/>
    </row>
    <row r="1089" spans="1:32" ht="10.199999999999999">
      <c r="A1089" s="6"/>
      <c r="B1089" s="6"/>
      <c r="C1089" s="6"/>
      <c r="D1089" s="6"/>
      <c r="E1089" s="6"/>
      <c r="F1089" s="6"/>
      <c r="G1089" s="6"/>
      <c r="H1089" s="6"/>
      <c r="I1089" s="6"/>
      <c r="J1089" s="6"/>
      <c r="K1089" s="6"/>
      <c r="L1089" s="6"/>
      <c r="M1089" s="6"/>
      <c r="N1089" s="6"/>
      <c r="O1089" s="6"/>
      <c r="P1089" s="6"/>
      <c r="Q1089" s="6"/>
      <c r="R1089" s="6"/>
      <c r="S1089" s="6"/>
      <c r="T1089" s="6"/>
      <c r="U1089" s="6"/>
      <c r="V1089" s="6"/>
      <c r="W1089" s="6"/>
      <c r="X1089" s="6"/>
      <c r="Y1089" s="6"/>
      <c r="Z1089" s="6"/>
      <c r="AA1089" s="6"/>
      <c r="AB1089" s="6"/>
      <c r="AC1089" s="6"/>
      <c r="AD1089" s="6"/>
      <c r="AE1089" s="6"/>
      <c r="AF1089" s="6"/>
    </row>
    <row r="1090" spans="1:32" ht="10.199999999999999">
      <c r="A1090" s="6"/>
      <c r="B1090" s="6"/>
      <c r="C1090" s="6"/>
      <c r="D1090" s="6"/>
      <c r="E1090" s="6"/>
      <c r="F1090" s="6"/>
      <c r="G1090" s="6"/>
      <c r="H1090" s="6"/>
      <c r="I1090" s="6"/>
      <c r="J1090" s="6"/>
      <c r="K1090" s="6"/>
      <c r="L1090" s="6"/>
      <c r="M1090" s="6"/>
      <c r="N1090" s="6"/>
      <c r="O1090" s="6"/>
      <c r="P1090" s="6"/>
      <c r="Q1090" s="6"/>
      <c r="R1090" s="6"/>
      <c r="S1090" s="6"/>
      <c r="T1090" s="6"/>
      <c r="U1090" s="6"/>
      <c r="V1090" s="6"/>
      <c r="W1090" s="6"/>
      <c r="X1090" s="6"/>
      <c r="Y1090" s="6"/>
      <c r="Z1090" s="6"/>
      <c r="AA1090" s="6"/>
      <c r="AB1090" s="6"/>
      <c r="AC1090" s="6"/>
      <c r="AD1090" s="6"/>
      <c r="AE1090" s="6"/>
      <c r="AF1090" s="6"/>
    </row>
    <row r="1091" spans="1:32" ht="10.199999999999999">
      <c r="A1091" s="6"/>
      <c r="B1091" s="6"/>
      <c r="C1091" s="6"/>
      <c r="D1091" s="6"/>
      <c r="E1091" s="6"/>
      <c r="F1091" s="6"/>
      <c r="G1091" s="6"/>
      <c r="H1091" s="6"/>
      <c r="I1091" s="6"/>
      <c r="J1091" s="6"/>
      <c r="K1091" s="6"/>
      <c r="L1091" s="6"/>
      <c r="M1091" s="6"/>
      <c r="N1091" s="6"/>
      <c r="O1091" s="6"/>
      <c r="P1091" s="6"/>
      <c r="Q1091" s="6"/>
      <c r="R1091" s="6"/>
      <c r="S1091" s="6"/>
      <c r="T1091" s="6"/>
      <c r="U1091" s="6"/>
      <c r="V1091" s="6"/>
      <c r="W1091" s="6"/>
      <c r="X1091" s="6"/>
      <c r="Y1091" s="6"/>
      <c r="Z1091" s="6"/>
      <c r="AA1091" s="6"/>
      <c r="AB1091" s="6"/>
      <c r="AC1091" s="6"/>
      <c r="AD1091" s="6"/>
      <c r="AE1091" s="6"/>
      <c r="AF1091" s="6"/>
    </row>
    <row r="1092" spans="1:32" ht="10.199999999999999">
      <c r="A1092" s="6"/>
      <c r="B1092" s="6"/>
      <c r="C1092" s="6"/>
      <c r="D1092" s="6"/>
      <c r="E1092" s="6"/>
      <c r="F1092" s="6"/>
      <c r="G1092" s="6"/>
      <c r="H1092" s="6"/>
      <c r="I1092" s="6"/>
      <c r="J1092" s="6"/>
      <c r="K1092" s="6"/>
      <c r="L1092" s="6"/>
      <c r="M1092" s="6"/>
      <c r="N1092" s="6"/>
      <c r="O1092" s="6"/>
      <c r="P1092" s="6"/>
      <c r="Q1092" s="6"/>
      <c r="R1092" s="6"/>
      <c r="S1092" s="6"/>
      <c r="T1092" s="6"/>
      <c r="U1092" s="6"/>
      <c r="V1092" s="6"/>
      <c r="W1092" s="6"/>
      <c r="X1092" s="6"/>
      <c r="Y1092" s="6"/>
      <c r="Z1092" s="6"/>
      <c r="AA1092" s="6"/>
      <c r="AB1092" s="6"/>
      <c r="AC1092" s="6"/>
      <c r="AD1092" s="6"/>
      <c r="AE1092" s="6"/>
      <c r="AF1092" s="6"/>
    </row>
    <row r="1093" spans="1:32" ht="10.199999999999999">
      <c r="A1093" s="6"/>
      <c r="B1093" s="6"/>
      <c r="C1093" s="6"/>
      <c r="D1093" s="6"/>
      <c r="E1093" s="6"/>
      <c r="F1093" s="6"/>
      <c r="G1093" s="6"/>
      <c r="H1093" s="6"/>
      <c r="I1093" s="6"/>
      <c r="J1093" s="6"/>
      <c r="K1093" s="6"/>
      <c r="L1093" s="6"/>
      <c r="M1093" s="6"/>
      <c r="N1093" s="6"/>
      <c r="O1093" s="6"/>
      <c r="P1093" s="6"/>
      <c r="Q1093" s="6"/>
      <c r="R1093" s="6"/>
      <c r="S1093" s="6"/>
      <c r="T1093" s="6"/>
      <c r="U1093" s="6"/>
      <c r="V1093" s="6"/>
      <c r="W1093" s="6"/>
      <c r="X1093" s="6"/>
      <c r="Y1093" s="6"/>
      <c r="Z1093" s="6"/>
      <c r="AA1093" s="6"/>
      <c r="AB1093" s="6"/>
      <c r="AC1093" s="6"/>
      <c r="AD1093" s="6"/>
      <c r="AE1093" s="6"/>
      <c r="AF1093" s="6"/>
    </row>
    <row r="1094" spans="1:32" ht="10.199999999999999">
      <c r="A1094" s="6"/>
      <c r="B1094" s="6"/>
      <c r="C1094" s="6"/>
      <c r="D1094" s="6"/>
      <c r="E1094" s="6"/>
      <c r="F1094" s="6"/>
      <c r="G1094" s="6"/>
      <c r="H1094" s="6"/>
      <c r="I1094" s="6"/>
      <c r="J1094" s="6"/>
      <c r="K1094" s="6"/>
      <c r="L1094" s="6"/>
      <c r="M1094" s="6"/>
      <c r="N1094" s="6"/>
      <c r="O1094" s="6"/>
      <c r="P1094" s="6"/>
      <c r="Q1094" s="6"/>
      <c r="R1094" s="6"/>
      <c r="S1094" s="6"/>
      <c r="T1094" s="6"/>
      <c r="U1094" s="6"/>
      <c r="V1094" s="6"/>
      <c r="W1094" s="6"/>
      <c r="X1094" s="6"/>
      <c r="Y1094" s="6"/>
      <c r="Z1094" s="6"/>
      <c r="AA1094" s="6"/>
      <c r="AB1094" s="6"/>
      <c r="AC1094" s="6"/>
      <c r="AD1094" s="6"/>
      <c r="AE1094" s="6"/>
      <c r="AF1094" s="6"/>
    </row>
    <row r="1095" spans="1:32" ht="10.199999999999999">
      <c r="A1095" s="6"/>
      <c r="B1095" s="6"/>
      <c r="C1095" s="6"/>
      <c r="D1095" s="6"/>
      <c r="E1095" s="6"/>
      <c r="F1095" s="6"/>
      <c r="G1095" s="6"/>
      <c r="H1095" s="6"/>
      <c r="I1095" s="6"/>
      <c r="J1095" s="6"/>
      <c r="K1095" s="6"/>
      <c r="L1095" s="6"/>
      <c r="M1095" s="6"/>
      <c r="N1095" s="6"/>
      <c r="O1095" s="6"/>
      <c r="P1095" s="6"/>
      <c r="Q1095" s="6"/>
      <c r="R1095" s="6"/>
      <c r="S1095" s="6"/>
      <c r="T1095" s="6"/>
      <c r="U1095" s="6"/>
      <c r="V1095" s="6"/>
      <c r="W1095" s="6"/>
      <c r="X1095" s="6"/>
      <c r="Y1095" s="6"/>
      <c r="Z1095" s="6"/>
      <c r="AA1095" s="6"/>
      <c r="AB1095" s="6"/>
      <c r="AC1095" s="6"/>
      <c r="AD1095" s="6"/>
      <c r="AE1095" s="6"/>
      <c r="AF1095" s="6"/>
    </row>
    <row r="1096" spans="1:32" ht="10.199999999999999">
      <c r="A1096" s="6"/>
      <c r="B1096" s="6"/>
      <c r="C1096" s="6"/>
      <c r="D1096" s="6"/>
      <c r="E1096" s="6"/>
      <c r="F1096" s="6"/>
      <c r="G1096" s="6"/>
      <c r="H1096" s="6"/>
      <c r="I1096" s="6"/>
      <c r="J1096" s="6"/>
      <c r="K1096" s="6"/>
      <c r="L1096" s="6"/>
      <c r="M1096" s="6"/>
      <c r="N1096" s="6"/>
      <c r="O1096" s="6"/>
      <c r="P1096" s="6"/>
      <c r="Q1096" s="6"/>
      <c r="R1096" s="6"/>
      <c r="S1096" s="6"/>
      <c r="T1096" s="6"/>
      <c r="U1096" s="6"/>
      <c r="V1096" s="6"/>
      <c r="W1096" s="6"/>
      <c r="X1096" s="6"/>
      <c r="Y1096" s="6"/>
      <c r="Z1096" s="6"/>
      <c r="AA1096" s="6"/>
      <c r="AB1096" s="6"/>
      <c r="AC1096" s="6"/>
      <c r="AD1096" s="6"/>
      <c r="AE1096" s="6"/>
      <c r="AF1096" s="6"/>
    </row>
    <row r="1097" spans="1:32" ht="10.199999999999999">
      <c r="A1097" s="6"/>
      <c r="B1097" s="6"/>
      <c r="C1097" s="6"/>
      <c r="D1097" s="6"/>
      <c r="E1097" s="6"/>
      <c r="F1097" s="6"/>
      <c r="G1097" s="6"/>
      <c r="H1097" s="6"/>
      <c r="I1097" s="6"/>
      <c r="J1097" s="6"/>
      <c r="K1097" s="6"/>
      <c r="L1097" s="6"/>
      <c r="M1097" s="6"/>
      <c r="N1097" s="6"/>
      <c r="O1097" s="6"/>
      <c r="P1097" s="6"/>
      <c r="Q1097" s="6"/>
      <c r="R1097" s="6"/>
      <c r="S1097" s="6"/>
      <c r="T1097" s="6"/>
      <c r="U1097" s="6"/>
      <c r="V1097" s="6"/>
      <c r="W1097" s="6"/>
      <c r="X1097" s="6"/>
      <c r="Y1097" s="6"/>
      <c r="Z1097" s="6"/>
      <c r="AA1097" s="6"/>
      <c r="AB1097" s="6"/>
      <c r="AC1097" s="6"/>
      <c r="AD1097" s="6"/>
      <c r="AE1097" s="6"/>
      <c r="AF1097" s="6"/>
    </row>
    <row r="1098" spans="1:32" ht="10.199999999999999">
      <c r="A1098" s="6"/>
      <c r="B1098" s="6"/>
      <c r="C1098" s="6"/>
      <c r="D1098" s="6"/>
      <c r="E1098" s="6"/>
      <c r="F1098" s="6"/>
      <c r="G1098" s="6"/>
      <c r="H1098" s="6"/>
      <c r="I1098" s="6"/>
      <c r="J1098" s="6"/>
      <c r="K1098" s="6"/>
      <c r="L1098" s="6"/>
      <c r="M1098" s="6"/>
      <c r="N1098" s="6"/>
      <c r="O1098" s="6"/>
      <c r="P1098" s="6"/>
      <c r="Q1098" s="6"/>
      <c r="R1098" s="6"/>
      <c r="S1098" s="6"/>
      <c r="T1098" s="6"/>
      <c r="U1098" s="6"/>
      <c r="V1098" s="6"/>
      <c r="W1098" s="6"/>
      <c r="X1098" s="6"/>
      <c r="Y1098" s="6"/>
      <c r="Z1098" s="6"/>
      <c r="AA1098" s="6"/>
      <c r="AB1098" s="6"/>
      <c r="AC1098" s="6"/>
      <c r="AD1098" s="6"/>
      <c r="AE1098" s="6"/>
      <c r="AF1098" s="6"/>
    </row>
    <row r="1099" spans="1:32" ht="10.199999999999999">
      <c r="A1099" s="6"/>
      <c r="B1099" s="6"/>
      <c r="C1099" s="6"/>
      <c r="D1099" s="6"/>
      <c r="E1099" s="6"/>
      <c r="F1099" s="6"/>
      <c r="G1099" s="6"/>
      <c r="H1099" s="6"/>
      <c r="I1099" s="6"/>
      <c r="J1099" s="6"/>
      <c r="K1099" s="6"/>
      <c r="L1099" s="6"/>
      <c r="M1099" s="6"/>
      <c r="N1099" s="6"/>
      <c r="O1099" s="6"/>
      <c r="P1099" s="6"/>
      <c r="Q1099" s="6"/>
      <c r="R1099" s="6"/>
      <c r="S1099" s="6"/>
      <c r="T1099" s="6"/>
      <c r="U1099" s="6"/>
      <c r="V1099" s="6"/>
      <c r="W1099" s="6"/>
      <c r="X1099" s="6"/>
      <c r="Y1099" s="6"/>
      <c r="Z1099" s="6"/>
      <c r="AA1099" s="6"/>
      <c r="AB1099" s="6"/>
      <c r="AC1099" s="6"/>
      <c r="AD1099" s="6"/>
      <c r="AE1099" s="6"/>
      <c r="AF1099" s="6"/>
    </row>
    <row r="1100" spans="1:32" ht="10.199999999999999">
      <c r="A1100" s="6"/>
      <c r="B1100" s="6"/>
      <c r="C1100" s="6"/>
      <c r="D1100" s="6"/>
      <c r="E1100" s="6"/>
      <c r="F1100" s="6"/>
      <c r="G1100" s="6"/>
      <c r="H1100" s="6"/>
      <c r="I1100" s="6"/>
      <c r="J1100" s="6"/>
      <c r="K1100" s="6"/>
      <c r="L1100" s="6"/>
      <c r="M1100" s="6"/>
      <c r="N1100" s="6"/>
      <c r="O1100" s="6"/>
      <c r="P1100" s="6"/>
      <c r="Q1100" s="6"/>
      <c r="R1100" s="6"/>
      <c r="S1100" s="6"/>
      <c r="T1100" s="6"/>
      <c r="U1100" s="6"/>
      <c r="V1100" s="6"/>
      <c r="W1100" s="6"/>
      <c r="X1100" s="6"/>
      <c r="Y1100" s="6"/>
      <c r="Z1100" s="6"/>
      <c r="AA1100" s="6"/>
      <c r="AB1100" s="6"/>
      <c r="AC1100" s="6"/>
      <c r="AD1100" s="6"/>
      <c r="AE1100" s="6"/>
      <c r="AF1100" s="6"/>
    </row>
    <row r="1101" spans="1:32" ht="10.199999999999999">
      <c r="A1101" s="6"/>
      <c r="B1101" s="6"/>
      <c r="C1101" s="6"/>
      <c r="D1101" s="6"/>
      <c r="E1101" s="6"/>
      <c r="F1101" s="6"/>
      <c r="G1101" s="6"/>
      <c r="H1101" s="6"/>
      <c r="I1101" s="6"/>
      <c r="J1101" s="6"/>
      <c r="K1101" s="6"/>
      <c r="L1101" s="6"/>
      <c r="M1101" s="6"/>
      <c r="N1101" s="6"/>
      <c r="O1101" s="6"/>
      <c r="P1101" s="6"/>
      <c r="Q1101" s="6"/>
      <c r="R1101" s="6"/>
      <c r="S1101" s="6"/>
      <c r="T1101" s="6"/>
      <c r="U1101" s="6"/>
      <c r="V1101" s="6"/>
      <c r="W1101" s="6"/>
      <c r="X1101" s="6"/>
      <c r="Y1101" s="6"/>
      <c r="Z1101" s="6"/>
      <c r="AA1101" s="6"/>
      <c r="AB1101" s="6"/>
      <c r="AC1101" s="6"/>
      <c r="AD1101" s="6"/>
      <c r="AE1101" s="6"/>
      <c r="AF1101" s="6"/>
    </row>
    <row r="1102" spans="1:32" ht="10.199999999999999">
      <c r="A1102" s="6"/>
      <c r="B1102" s="6"/>
      <c r="C1102" s="6"/>
      <c r="D1102" s="6"/>
      <c r="E1102" s="6"/>
      <c r="F1102" s="6"/>
      <c r="G1102" s="6"/>
      <c r="H1102" s="6"/>
      <c r="I1102" s="6"/>
      <c r="J1102" s="6"/>
      <c r="K1102" s="6"/>
      <c r="L1102" s="6"/>
      <c r="M1102" s="6"/>
      <c r="N1102" s="6"/>
      <c r="O1102" s="6"/>
      <c r="P1102" s="6"/>
      <c r="Q1102" s="6"/>
      <c r="R1102" s="6"/>
      <c r="S1102" s="6"/>
      <c r="T1102" s="6"/>
      <c r="U1102" s="6"/>
      <c r="V1102" s="6"/>
      <c r="W1102" s="6"/>
      <c r="X1102" s="6"/>
      <c r="Y1102" s="6"/>
      <c r="Z1102" s="6"/>
      <c r="AA1102" s="6"/>
      <c r="AB1102" s="6"/>
      <c r="AC1102" s="6"/>
      <c r="AD1102" s="6"/>
      <c r="AE1102" s="6"/>
      <c r="AF1102" s="6"/>
    </row>
    <row r="1103" spans="1:32" ht="10.199999999999999">
      <c r="A1103" s="6"/>
      <c r="B1103" s="6"/>
      <c r="C1103" s="6"/>
      <c r="D1103" s="6"/>
      <c r="E1103" s="6"/>
      <c r="F1103" s="6"/>
      <c r="G1103" s="6"/>
      <c r="H1103" s="6"/>
      <c r="I1103" s="6"/>
      <c r="J1103" s="6"/>
      <c r="K1103" s="6"/>
      <c r="L1103" s="6"/>
      <c r="M1103" s="6"/>
      <c r="N1103" s="6"/>
      <c r="O1103" s="6"/>
      <c r="P1103" s="6"/>
      <c r="Q1103" s="6"/>
      <c r="R1103" s="6"/>
      <c r="S1103" s="6"/>
      <c r="T1103" s="6"/>
      <c r="U1103" s="6"/>
      <c r="V1103" s="6"/>
      <c r="W1103" s="6"/>
      <c r="X1103" s="6"/>
      <c r="Y1103" s="6"/>
      <c r="Z1103" s="6"/>
      <c r="AA1103" s="6"/>
      <c r="AB1103" s="6"/>
      <c r="AC1103" s="6"/>
      <c r="AD1103" s="6"/>
      <c r="AE1103" s="6"/>
      <c r="AF1103" s="6"/>
    </row>
    <row r="1104" spans="1:32" ht="10.199999999999999">
      <c r="A1104" s="6"/>
      <c r="B1104" s="6"/>
      <c r="C1104" s="6"/>
      <c r="D1104" s="6"/>
      <c r="E1104" s="6"/>
      <c r="F1104" s="6"/>
      <c r="G1104" s="6"/>
      <c r="H1104" s="6"/>
      <c r="I1104" s="6"/>
      <c r="J1104" s="6"/>
      <c r="K1104" s="6"/>
      <c r="L1104" s="6"/>
      <c r="M1104" s="6"/>
      <c r="N1104" s="6"/>
      <c r="O1104" s="6"/>
      <c r="P1104" s="6"/>
      <c r="Q1104" s="6"/>
      <c r="R1104" s="6"/>
      <c r="S1104" s="6"/>
      <c r="T1104" s="6"/>
      <c r="U1104" s="6"/>
      <c r="V1104" s="6"/>
      <c r="W1104" s="6"/>
      <c r="X1104" s="6"/>
      <c r="Y1104" s="6"/>
      <c r="Z1104" s="6"/>
      <c r="AA1104" s="6"/>
      <c r="AB1104" s="6"/>
      <c r="AC1104" s="6"/>
      <c r="AD1104" s="6"/>
      <c r="AE1104" s="6"/>
      <c r="AF1104" s="6"/>
    </row>
    <row r="1105" spans="1:32" ht="10.199999999999999">
      <c r="A1105" s="6"/>
      <c r="B1105" s="6"/>
      <c r="C1105" s="6"/>
      <c r="D1105" s="6"/>
      <c r="E1105" s="6"/>
      <c r="F1105" s="6"/>
      <c r="G1105" s="6"/>
      <c r="H1105" s="6"/>
      <c r="I1105" s="6"/>
      <c r="J1105" s="6"/>
      <c r="K1105" s="6"/>
      <c r="L1105" s="6"/>
      <c r="M1105" s="6"/>
      <c r="N1105" s="6"/>
      <c r="O1105" s="6"/>
      <c r="P1105" s="6"/>
      <c r="Q1105" s="6"/>
      <c r="R1105" s="6"/>
      <c r="S1105" s="6"/>
      <c r="T1105" s="6"/>
      <c r="U1105" s="6"/>
      <c r="V1105" s="6"/>
      <c r="W1105" s="6"/>
      <c r="X1105" s="6"/>
      <c r="Y1105" s="6"/>
      <c r="Z1105" s="6"/>
      <c r="AA1105" s="6"/>
      <c r="AB1105" s="6"/>
      <c r="AC1105" s="6"/>
      <c r="AD1105" s="6"/>
      <c r="AE1105" s="6"/>
      <c r="AF1105" s="6"/>
    </row>
    <row r="1106" spans="1:32" ht="10.199999999999999">
      <c r="A1106" s="6"/>
      <c r="B1106" s="6"/>
      <c r="C1106" s="6"/>
      <c r="D1106" s="6"/>
      <c r="E1106" s="6"/>
      <c r="F1106" s="6"/>
      <c r="G1106" s="6"/>
      <c r="H1106" s="6"/>
      <c r="I1106" s="6"/>
      <c r="J1106" s="6"/>
      <c r="K1106" s="6"/>
      <c r="L1106" s="6"/>
      <c r="M1106" s="6"/>
      <c r="N1106" s="6"/>
      <c r="O1106" s="6"/>
      <c r="P1106" s="6"/>
      <c r="Q1106" s="6"/>
      <c r="R1106" s="6"/>
      <c r="S1106" s="6"/>
      <c r="T1106" s="6"/>
      <c r="U1106" s="6"/>
      <c r="V1106" s="6"/>
      <c r="W1106" s="6"/>
      <c r="X1106" s="6"/>
      <c r="Y1106" s="6"/>
      <c r="Z1106" s="6"/>
      <c r="AA1106" s="6"/>
      <c r="AB1106" s="6"/>
      <c r="AC1106" s="6"/>
      <c r="AD1106" s="6"/>
      <c r="AE1106" s="6"/>
      <c r="AF1106" s="6"/>
    </row>
    <row r="1107" spans="1:32" ht="10.199999999999999">
      <c r="A1107" s="6"/>
      <c r="B1107" s="6"/>
      <c r="C1107" s="6"/>
      <c r="D1107" s="6"/>
      <c r="E1107" s="6"/>
      <c r="F1107" s="6"/>
      <c r="G1107" s="6"/>
      <c r="H1107" s="6"/>
      <c r="I1107" s="6"/>
      <c r="J1107" s="6"/>
      <c r="K1107" s="6"/>
      <c r="L1107" s="6"/>
      <c r="M1107" s="6"/>
      <c r="N1107" s="6"/>
      <c r="O1107" s="6"/>
      <c r="P1107" s="6"/>
      <c r="Q1107" s="6"/>
      <c r="R1107" s="6"/>
      <c r="S1107" s="6"/>
      <c r="T1107" s="6"/>
      <c r="U1107" s="6"/>
      <c r="V1107" s="6"/>
      <c r="W1107" s="6"/>
      <c r="X1107" s="6"/>
      <c r="Y1107" s="6"/>
      <c r="Z1107" s="6"/>
      <c r="AA1107" s="6"/>
      <c r="AB1107" s="6"/>
      <c r="AC1107" s="6"/>
      <c r="AD1107" s="6"/>
      <c r="AE1107" s="6"/>
      <c r="AF1107" s="6"/>
    </row>
    <row r="1108" spans="1:32" ht="10.199999999999999">
      <c r="A1108" s="6"/>
      <c r="B1108" s="6"/>
      <c r="C1108" s="6"/>
      <c r="D1108" s="6"/>
      <c r="E1108" s="6"/>
      <c r="F1108" s="6"/>
      <c r="G1108" s="6"/>
      <c r="H1108" s="6"/>
      <c r="I1108" s="6"/>
      <c r="J1108" s="6"/>
      <c r="K1108" s="6"/>
      <c r="L1108" s="6"/>
      <c r="M1108" s="6"/>
      <c r="N1108" s="6"/>
      <c r="O1108" s="6"/>
      <c r="P1108" s="6"/>
      <c r="Q1108" s="6"/>
      <c r="R1108" s="6"/>
      <c r="S1108" s="6"/>
      <c r="T1108" s="6"/>
      <c r="U1108" s="6"/>
      <c r="V1108" s="6"/>
      <c r="W1108" s="6"/>
      <c r="X1108" s="6"/>
      <c r="Y1108" s="6"/>
      <c r="Z1108" s="6"/>
      <c r="AA1108" s="6"/>
      <c r="AB1108" s="6"/>
      <c r="AC1108" s="6"/>
      <c r="AD1108" s="6"/>
      <c r="AE1108" s="6"/>
      <c r="AF1108" s="6"/>
    </row>
    <row r="1109" spans="1:32" ht="10.199999999999999">
      <c r="A1109" s="6"/>
      <c r="B1109" s="6"/>
      <c r="C1109" s="6"/>
      <c r="D1109" s="6"/>
      <c r="E1109" s="6"/>
      <c r="F1109" s="6"/>
      <c r="G1109" s="6"/>
      <c r="H1109" s="6"/>
      <c r="I1109" s="6"/>
      <c r="J1109" s="6"/>
      <c r="K1109" s="6"/>
      <c r="L1109" s="6"/>
      <c r="M1109" s="6"/>
      <c r="N1109" s="6"/>
      <c r="O1109" s="6"/>
      <c r="P1109" s="6"/>
      <c r="Q1109" s="6"/>
      <c r="R1109" s="6"/>
      <c r="S1109" s="6"/>
      <c r="T1109" s="6"/>
      <c r="U1109" s="6"/>
      <c r="V1109" s="6"/>
      <c r="W1109" s="6"/>
      <c r="X1109" s="6"/>
      <c r="Y1109" s="6"/>
      <c r="Z1109" s="6"/>
      <c r="AA1109" s="6"/>
      <c r="AB1109" s="6"/>
      <c r="AC1109" s="6"/>
      <c r="AD1109" s="6"/>
      <c r="AE1109" s="6"/>
      <c r="AF1109" s="6"/>
    </row>
    <row r="1110" spans="1:32" ht="10.199999999999999">
      <c r="A1110" s="6"/>
      <c r="B1110" s="6"/>
      <c r="C1110" s="6"/>
      <c r="D1110" s="6"/>
      <c r="E1110" s="6"/>
      <c r="F1110" s="6"/>
      <c r="G1110" s="6"/>
      <c r="H1110" s="6"/>
      <c r="I1110" s="6"/>
      <c r="J1110" s="6"/>
      <c r="K1110" s="6"/>
      <c r="L1110" s="6"/>
      <c r="M1110" s="6"/>
      <c r="N1110" s="6"/>
      <c r="O1110" s="6"/>
      <c r="P1110" s="6"/>
      <c r="Q1110" s="6"/>
      <c r="R1110" s="6"/>
      <c r="S1110" s="6"/>
      <c r="T1110" s="6"/>
      <c r="U1110" s="6"/>
      <c r="V1110" s="6"/>
      <c r="W1110" s="6"/>
      <c r="X1110" s="6"/>
      <c r="Y1110" s="6"/>
      <c r="Z1110" s="6"/>
      <c r="AA1110" s="6"/>
      <c r="AB1110" s="6"/>
      <c r="AC1110" s="6"/>
      <c r="AD1110" s="6"/>
      <c r="AE1110" s="6"/>
      <c r="AF1110" s="6"/>
    </row>
    <row r="1111" spans="1:32" ht="10.199999999999999">
      <c r="A1111" s="6"/>
      <c r="B1111" s="6"/>
      <c r="C1111" s="6"/>
      <c r="D1111" s="6"/>
      <c r="E1111" s="6"/>
      <c r="F1111" s="6"/>
      <c r="G1111" s="6"/>
      <c r="H1111" s="6"/>
      <c r="I1111" s="6"/>
      <c r="J1111" s="6"/>
      <c r="K1111" s="6"/>
      <c r="L1111" s="6"/>
      <c r="M1111" s="6"/>
      <c r="N1111" s="6"/>
      <c r="O1111" s="6"/>
      <c r="P1111" s="6"/>
      <c r="Q1111" s="6"/>
      <c r="R1111" s="6"/>
      <c r="S1111" s="6"/>
      <c r="T1111" s="6"/>
      <c r="U1111" s="6"/>
      <c r="V1111" s="6"/>
      <c r="W1111" s="6"/>
      <c r="X1111" s="6"/>
      <c r="Y1111" s="6"/>
      <c r="Z1111" s="6"/>
      <c r="AA1111" s="6"/>
      <c r="AB1111" s="6"/>
      <c r="AC1111" s="6"/>
      <c r="AD1111" s="6"/>
      <c r="AE1111" s="6"/>
      <c r="AF1111" s="6"/>
    </row>
    <row r="1112" spans="1:32" ht="10.199999999999999">
      <c r="A1112" s="6"/>
      <c r="B1112" s="6"/>
      <c r="C1112" s="6"/>
      <c r="D1112" s="6"/>
      <c r="E1112" s="6"/>
      <c r="F1112" s="6"/>
      <c r="G1112" s="6"/>
      <c r="H1112" s="6"/>
      <c r="I1112" s="6"/>
      <c r="J1112" s="6"/>
      <c r="K1112" s="6"/>
      <c r="L1112" s="6"/>
      <c r="M1112" s="6"/>
      <c r="N1112" s="6"/>
      <c r="O1112" s="6"/>
      <c r="P1112" s="6"/>
      <c r="Q1112" s="6"/>
      <c r="R1112" s="6"/>
      <c r="S1112" s="6"/>
      <c r="T1112" s="6"/>
      <c r="U1112" s="6"/>
      <c r="V1112" s="6"/>
      <c r="W1112" s="6"/>
      <c r="X1112" s="6"/>
      <c r="Y1112" s="6"/>
      <c r="Z1112" s="6"/>
      <c r="AA1112" s="6"/>
      <c r="AB1112" s="6"/>
      <c r="AC1112" s="6"/>
      <c r="AD1112" s="6"/>
      <c r="AE1112" s="6"/>
      <c r="AF1112" s="6"/>
    </row>
    <row r="1113" spans="1:32" ht="10.199999999999999">
      <c r="A1113" s="6"/>
      <c r="B1113" s="6"/>
      <c r="C1113" s="6"/>
      <c r="D1113" s="6"/>
      <c r="E1113" s="6"/>
      <c r="F1113" s="6"/>
      <c r="G1113" s="6"/>
      <c r="H1113" s="6"/>
      <c r="I1113" s="6"/>
      <c r="J1113" s="6"/>
      <c r="K1113" s="6"/>
      <c r="L1113" s="6"/>
      <c r="M1113" s="6"/>
      <c r="N1113" s="6"/>
      <c r="O1113" s="6"/>
      <c r="P1113" s="6"/>
      <c r="Q1113" s="6"/>
      <c r="R1113" s="6"/>
      <c r="S1113" s="6"/>
      <c r="T1113" s="6"/>
      <c r="U1113" s="6"/>
      <c r="V1113" s="6"/>
      <c r="W1113" s="6"/>
      <c r="X1113" s="6"/>
      <c r="Y1113" s="6"/>
      <c r="Z1113" s="6"/>
      <c r="AA1113" s="6"/>
      <c r="AB1113" s="6"/>
      <c r="AC1113" s="6"/>
      <c r="AD1113" s="6"/>
      <c r="AE1113" s="6"/>
      <c r="AF1113" s="6"/>
    </row>
    <row r="1114" spans="1:32" ht="10.199999999999999">
      <c r="A1114" s="6"/>
      <c r="B1114" s="6"/>
      <c r="C1114" s="6"/>
      <c r="D1114" s="6"/>
      <c r="E1114" s="6"/>
      <c r="F1114" s="6"/>
      <c r="G1114" s="6"/>
      <c r="H1114" s="6"/>
      <c r="I1114" s="6"/>
      <c r="J1114" s="6"/>
      <c r="K1114" s="6"/>
      <c r="L1114" s="6"/>
      <c r="M1114" s="6"/>
      <c r="N1114" s="6"/>
      <c r="O1114" s="6"/>
      <c r="P1114" s="6"/>
      <c r="Q1114" s="6"/>
      <c r="R1114" s="6"/>
      <c r="S1114" s="6"/>
      <c r="T1114" s="6"/>
      <c r="U1114" s="6"/>
      <c r="V1114" s="6"/>
      <c r="W1114" s="6"/>
      <c r="X1114" s="6"/>
      <c r="Y1114" s="6"/>
      <c r="Z1114" s="6"/>
      <c r="AA1114" s="6"/>
      <c r="AB1114" s="6"/>
      <c r="AC1114" s="6"/>
      <c r="AD1114" s="6"/>
      <c r="AE1114" s="6"/>
      <c r="AF1114" s="6"/>
    </row>
    <row r="1115" spans="1:32" ht="10.199999999999999">
      <c r="A1115" s="6"/>
      <c r="B1115" s="6"/>
      <c r="C1115" s="6"/>
      <c r="D1115" s="6"/>
      <c r="E1115" s="6"/>
      <c r="F1115" s="6"/>
      <c r="G1115" s="6"/>
      <c r="H1115" s="6"/>
      <c r="I1115" s="6"/>
      <c r="J1115" s="6"/>
      <c r="K1115" s="6"/>
      <c r="L1115" s="6"/>
      <c r="M1115" s="6"/>
      <c r="N1115" s="6"/>
      <c r="O1115" s="6"/>
      <c r="P1115" s="6"/>
      <c r="Q1115" s="6"/>
      <c r="R1115" s="6"/>
      <c r="S1115" s="6"/>
      <c r="T1115" s="6"/>
      <c r="U1115" s="6"/>
      <c r="V1115" s="6"/>
      <c r="W1115" s="6"/>
      <c r="X1115" s="6"/>
      <c r="Y1115" s="6"/>
      <c r="Z1115" s="6"/>
      <c r="AA1115" s="6"/>
      <c r="AB1115" s="6"/>
      <c r="AC1115" s="6"/>
      <c r="AD1115" s="6"/>
      <c r="AE1115" s="6"/>
      <c r="AF1115" s="6"/>
    </row>
    <row r="1116" spans="1:32" ht="10.199999999999999">
      <c r="A1116" s="6"/>
      <c r="B1116" s="6"/>
      <c r="C1116" s="6"/>
      <c r="D1116" s="6"/>
      <c r="E1116" s="6"/>
      <c r="F1116" s="6"/>
      <c r="G1116" s="6"/>
      <c r="H1116" s="6"/>
      <c r="I1116" s="6"/>
      <c r="J1116" s="6"/>
      <c r="K1116" s="6"/>
      <c r="L1116" s="6"/>
      <c r="M1116" s="6"/>
      <c r="N1116" s="6"/>
      <c r="O1116" s="6"/>
      <c r="P1116" s="6"/>
      <c r="Q1116" s="6"/>
      <c r="R1116" s="6"/>
      <c r="S1116" s="6"/>
      <c r="T1116" s="6"/>
      <c r="U1116" s="6"/>
      <c r="V1116" s="6"/>
      <c r="W1116" s="6"/>
      <c r="X1116" s="6"/>
      <c r="Y1116" s="6"/>
      <c r="Z1116" s="6"/>
      <c r="AA1116" s="6"/>
      <c r="AB1116" s="6"/>
      <c r="AC1116" s="6"/>
      <c r="AD1116" s="6"/>
      <c r="AE1116" s="6"/>
      <c r="AF1116" s="6"/>
    </row>
    <row r="1117" spans="1:32" ht="10.199999999999999">
      <c r="A1117" s="6"/>
      <c r="B1117" s="6"/>
      <c r="C1117" s="6"/>
      <c r="D1117" s="6"/>
      <c r="E1117" s="6"/>
      <c r="F1117" s="6"/>
      <c r="G1117" s="6"/>
      <c r="H1117" s="6"/>
      <c r="I1117" s="6"/>
      <c r="J1117" s="6"/>
      <c r="K1117" s="6"/>
      <c r="L1117" s="6"/>
      <c r="M1117" s="6"/>
      <c r="N1117" s="6"/>
      <c r="O1117" s="6"/>
      <c r="P1117" s="6"/>
      <c r="Q1117" s="6"/>
      <c r="R1117" s="6"/>
      <c r="S1117" s="6"/>
      <c r="T1117" s="6"/>
      <c r="U1117" s="6"/>
      <c r="V1117" s="6"/>
      <c r="W1117" s="6"/>
      <c r="X1117" s="6"/>
      <c r="Y1117" s="6"/>
      <c r="Z1117" s="6"/>
      <c r="AA1117" s="6"/>
      <c r="AB1117" s="6"/>
      <c r="AC1117" s="6"/>
      <c r="AD1117" s="6"/>
      <c r="AE1117" s="6"/>
      <c r="AF1117" s="6"/>
    </row>
    <row r="1118" spans="1:32" ht="10.199999999999999">
      <c r="A1118" s="6"/>
      <c r="B1118" s="6"/>
      <c r="C1118" s="6"/>
      <c r="D1118" s="6"/>
      <c r="E1118" s="6"/>
      <c r="F1118" s="6"/>
      <c r="G1118" s="6"/>
      <c r="H1118" s="6"/>
      <c r="I1118" s="6"/>
      <c r="J1118" s="6"/>
      <c r="K1118" s="6"/>
      <c r="L1118" s="6"/>
      <c r="M1118" s="6"/>
      <c r="N1118" s="6"/>
      <c r="O1118" s="6"/>
      <c r="P1118" s="6"/>
      <c r="Q1118" s="6"/>
      <c r="R1118" s="6"/>
      <c r="S1118" s="6"/>
      <c r="T1118" s="6"/>
      <c r="U1118" s="6"/>
      <c r="V1118" s="6"/>
      <c r="W1118" s="6"/>
      <c r="X1118" s="6"/>
      <c r="Y1118" s="6"/>
      <c r="Z1118" s="6"/>
      <c r="AA1118" s="6"/>
      <c r="AB1118" s="6"/>
      <c r="AC1118" s="6"/>
      <c r="AD1118" s="6"/>
      <c r="AE1118" s="6"/>
      <c r="AF1118" s="6"/>
    </row>
    <row r="1119" spans="1:32" ht="10.199999999999999">
      <c r="A1119" s="6"/>
      <c r="B1119" s="6"/>
      <c r="C1119" s="6"/>
      <c r="D1119" s="6"/>
      <c r="E1119" s="6"/>
      <c r="F1119" s="6"/>
      <c r="G1119" s="6"/>
      <c r="H1119" s="6"/>
      <c r="I1119" s="6"/>
      <c r="J1119" s="6"/>
      <c r="K1119" s="6"/>
      <c r="L1119" s="6"/>
      <c r="M1119" s="6"/>
      <c r="N1119" s="6"/>
      <c r="O1119" s="6"/>
      <c r="P1119" s="6"/>
      <c r="Q1119" s="6"/>
      <c r="R1119" s="6"/>
      <c r="S1119" s="6"/>
      <c r="T1119" s="6"/>
      <c r="U1119" s="6"/>
      <c r="V1119" s="6"/>
      <c r="W1119" s="6"/>
      <c r="X1119" s="6"/>
      <c r="Y1119" s="6"/>
      <c r="Z1119" s="6"/>
      <c r="AA1119" s="6"/>
      <c r="AB1119" s="6"/>
      <c r="AC1119" s="6"/>
      <c r="AD1119" s="6"/>
      <c r="AE1119" s="6"/>
      <c r="AF1119" s="6"/>
    </row>
    <row r="1120" spans="1:32" ht="10.199999999999999">
      <c r="A1120" s="6"/>
      <c r="B1120" s="6"/>
      <c r="C1120" s="6"/>
      <c r="D1120" s="6"/>
      <c r="E1120" s="6"/>
      <c r="F1120" s="6"/>
      <c r="G1120" s="6"/>
      <c r="H1120" s="6"/>
      <c r="I1120" s="6"/>
      <c r="J1120" s="6"/>
      <c r="K1120" s="6"/>
      <c r="L1120" s="6"/>
      <c r="M1120" s="6"/>
      <c r="N1120" s="6"/>
      <c r="O1120" s="6"/>
      <c r="P1120" s="6"/>
      <c r="Q1120" s="6"/>
      <c r="R1120" s="6"/>
      <c r="S1120" s="6"/>
      <c r="T1120" s="6"/>
      <c r="U1120" s="6"/>
      <c r="V1120" s="6"/>
      <c r="W1120" s="6"/>
      <c r="X1120" s="6"/>
      <c r="Y1120" s="6"/>
      <c r="Z1120" s="6"/>
      <c r="AA1120" s="6"/>
      <c r="AB1120" s="6"/>
      <c r="AC1120" s="6"/>
      <c r="AD1120" s="6"/>
      <c r="AE1120" s="6"/>
      <c r="AF1120" s="6"/>
    </row>
    <row r="1121" spans="1:32" ht="10.199999999999999">
      <c r="A1121" s="6"/>
      <c r="B1121" s="6"/>
      <c r="C1121" s="6"/>
      <c r="D1121" s="6"/>
      <c r="E1121" s="6"/>
      <c r="F1121" s="6"/>
      <c r="G1121" s="6"/>
      <c r="H1121" s="6"/>
      <c r="I1121" s="6"/>
      <c r="J1121" s="6"/>
      <c r="K1121" s="6"/>
      <c r="L1121" s="6"/>
      <c r="M1121" s="6"/>
      <c r="N1121" s="6"/>
      <c r="O1121" s="6"/>
      <c r="P1121" s="6"/>
      <c r="Q1121" s="6"/>
      <c r="R1121" s="6"/>
      <c r="S1121" s="6"/>
      <c r="T1121" s="6"/>
      <c r="U1121" s="6"/>
      <c r="V1121" s="6"/>
      <c r="W1121" s="6"/>
      <c r="X1121" s="6"/>
      <c r="Y1121" s="6"/>
      <c r="Z1121" s="6"/>
      <c r="AA1121" s="6"/>
      <c r="AB1121" s="6"/>
      <c r="AC1121" s="6"/>
      <c r="AD1121" s="6"/>
      <c r="AE1121" s="6"/>
      <c r="AF1121" s="6"/>
    </row>
    <row r="1122" spans="1:32" ht="10.199999999999999">
      <c r="A1122" s="6"/>
      <c r="B1122" s="6"/>
      <c r="C1122" s="6"/>
      <c r="D1122" s="6"/>
      <c r="E1122" s="6"/>
      <c r="F1122" s="6"/>
      <c r="G1122" s="6"/>
      <c r="H1122" s="6"/>
      <c r="I1122" s="6"/>
      <c r="J1122" s="6"/>
      <c r="K1122" s="6"/>
      <c r="L1122" s="6"/>
      <c r="M1122" s="6"/>
      <c r="N1122" s="6"/>
      <c r="O1122" s="6"/>
      <c r="P1122" s="6"/>
      <c r="Q1122" s="6"/>
      <c r="R1122" s="6"/>
      <c r="S1122" s="6"/>
      <c r="T1122" s="6"/>
      <c r="U1122" s="6"/>
      <c r="V1122" s="6"/>
      <c r="W1122" s="6"/>
      <c r="X1122" s="6"/>
      <c r="Y1122" s="6"/>
      <c r="Z1122" s="6"/>
      <c r="AA1122" s="6"/>
      <c r="AB1122" s="6"/>
      <c r="AC1122" s="6"/>
      <c r="AD1122" s="6"/>
      <c r="AE1122" s="6"/>
      <c r="AF1122" s="6"/>
    </row>
    <row r="1123" spans="1:32" ht="10.199999999999999">
      <c r="A1123" s="6"/>
      <c r="B1123" s="6"/>
      <c r="C1123" s="6"/>
      <c r="D1123" s="6"/>
      <c r="E1123" s="6"/>
      <c r="F1123" s="6"/>
      <c r="G1123" s="6"/>
      <c r="H1123" s="6"/>
      <c r="I1123" s="6"/>
      <c r="J1123" s="6"/>
      <c r="K1123" s="6"/>
      <c r="L1123" s="6"/>
      <c r="M1123" s="6"/>
      <c r="N1123" s="6"/>
      <c r="O1123" s="6"/>
      <c r="P1123" s="6"/>
      <c r="Q1123" s="6"/>
      <c r="R1123" s="6"/>
      <c r="S1123" s="6"/>
      <c r="T1123" s="6"/>
      <c r="U1123" s="6"/>
      <c r="V1123" s="6"/>
      <c r="W1123" s="6"/>
      <c r="X1123" s="6"/>
      <c r="Y1123" s="6"/>
      <c r="Z1123" s="6"/>
      <c r="AA1123" s="6"/>
      <c r="AB1123" s="6"/>
      <c r="AC1123" s="6"/>
      <c r="AD1123" s="6"/>
      <c r="AE1123" s="6"/>
      <c r="AF1123" s="6"/>
    </row>
    <row r="1124" spans="1:32" ht="10.199999999999999">
      <c r="A1124" s="6"/>
      <c r="B1124" s="6"/>
      <c r="C1124" s="6"/>
      <c r="D1124" s="6"/>
      <c r="E1124" s="6"/>
      <c r="F1124" s="6"/>
      <c r="G1124" s="6"/>
      <c r="H1124" s="6"/>
      <c r="I1124" s="6"/>
      <c r="J1124" s="6"/>
      <c r="K1124" s="6"/>
      <c r="L1124" s="6"/>
      <c r="M1124" s="6"/>
      <c r="N1124" s="6"/>
      <c r="O1124" s="6"/>
      <c r="P1124" s="6"/>
      <c r="Q1124" s="6"/>
      <c r="R1124" s="6"/>
      <c r="S1124" s="6"/>
      <c r="T1124" s="6"/>
      <c r="U1124" s="6"/>
      <c r="V1124" s="6"/>
      <c r="W1124" s="6"/>
      <c r="X1124" s="6"/>
      <c r="Y1124" s="6"/>
      <c r="Z1124" s="6"/>
      <c r="AA1124" s="6"/>
      <c r="AB1124" s="6"/>
      <c r="AC1124" s="6"/>
      <c r="AD1124" s="6"/>
      <c r="AE1124" s="6"/>
      <c r="AF1124" s="6"/>
    </row>
    <row r="1125" spans="1:32" ht="10.199999999999999">
      <c r="A1125" s="6"/>
      <c r="B1125" s="6"/>
      <c r="C1125" s="6"/>
      <c r="D1125" s="6"/>
      <c r="E1125" s="6"/>
      <c r="F1125" s="6"/>
      <c r="G1125" s="6"/>
      <c r="H1125" s="6"/>
      <c r="I1125" s="6"/>
      <c r="J1125" s="6"/>
      <c r="K1125" s="6"/>
      <c r="L1125" s="6"/>
      <c r="M1125" s="6"/>
      <c r="N1125" s="6"/>
      <c r="O1125" s="6"/>
      <c r="P1125" s="6"/>
      <c r="Q1125" s="6"/>
      <c r="R1125" s="6"/>
      <c r="S1125" s="6"/>
      <c r="T1125" s="6"/>
      <c r="U1125" s="6"/>
      <c r="V1125" s="6"/>
      <c r="W1125" s="6"/>
      <c r="X1125" s="6"/>
      <c r="Y1125" s="6"/>
      <c r="Z1125" s="6"/>
      <c r="AA1125" s="6"/>
      <c r="AB1125" s="6"/>
      <c r="AC1125" s="6"/>
      <c r="AD1125" s="6"/>
      <c r="AE1125" s="6"/>
      <c r="AF1125" s="6"/>
    </row>
    <row r="1126" spans="1:32" ht="10.199999999999999">
      <c r="A1126" s="6"/>
      <c r="B1126" s="6"/>
      <c r="C1126" s="6"/>
      <c r="D1126" s="6"/>
      <c r="E1126" s="6"/>
      <c r="F1126" s="6"/>
      <c r="G1126" s="6"/>
      <c r="H1126" s="6"/>
      <c r="I1126" s="6"/>
      <c r="J1126" s="6"/>
      <c r="K1126" s="6"/>
      <c r="L1126" s="6"/>
      <c r="M1126" s="6"/>
      <c r="N1126" s="6"/>
      <c r="O1126" s="6"/>
      <c r="P1126" s="6"/>
      <c r="Q1126" s="6"/>
      <c r="R1126" s="6"/>
      <c r="S1126" s="6"/>
      <c r="T1126" s="6"/>
      <c r="U1126" s="6"/>
      <c r="V1126" s="6"/>
      <c r="W1126" s="6"/>
      <c r="X1126" s="6"/>
      <c r="Y1126" s="6"/>
      <c r="Z1126" s="6"/>
      <c r="AA1126" s="6"/>
      <c r="AB1126" s="6"/>
      <c r="AC1126" s="6"/>
      <c r="AD1126" s="6"/>
      <c r="AE1126" s="6"/>
      <c r="AF1126" s="6"/>
    </row>
    <row r="1127" spans="1:32" ht="10.199999999999999">
      <c r="A1127" s="6"/>
      <c r="B1127" s="6"/>
      <c r="C1127" s="6"/>
      <c r="D1127" s="6"/>
      <c r="E1127" s="6"/>
      <c r="F1127" s="6"/>
      <c r="G1127" s="6"/>
      <c r="H1127" s="6"/>
      <c r="I1127" s="6"/>
      <c r="J1127" s="6"/>
      <c r="K1127" s="6"/>
      <c r="L1127" s="6"/>
      <c r="M1127" s="6"/>
      <c r="N1127" s="6"/>
      <c r="O1127" s="6"/>
      <c r="P1127" s="6"/>
      <c r="Q1127" s="6"/>
      <c r="R1127" s="6"/>
      <c r="S1127" s="6"/>
      <c r="T1127" s="6"/>
      <c r="U1127" s="6"/>
      <c r="V1127" s="6"/>
      <c r="W1127" s="6"/>
      <c r="X1127" s="6"/>
      <c r="Y1127" s="6"/>
      <c r="Z1127" s="6"/>
      <c r="AA1127" s="6"/>
      <c r="AB1127" s="6"/>
      <c r="AC1127" s="6"/>
      <c r="AD1127" s="6"/>
      <c r="AE1127" s="6"/>
      <c r="AF1127" s="6"/>
    </row>
    <row r="1128" spans="1:32" ht="10.199999999999999">
      <c r="A1128" s="6"/>
      <c r="B1128" s="6"/>
      <c r="C1128" s="6"/>
      <c r="D1128" s="6"/>
      <c r="E1128" s="6"/>
      <c r="F1128" s="6"/>
      <c r="G1128" s="6"/>
      <c r="H1128" s="6"/>
      <c r="I1128" s="6"/>
      <c r="J1128" s="6"/>
      <c r="K1128" s="6"/>
      <c r="L1128" s="6"/>
      <c r="M1128" s="6"/>
      <c r="N1128" s="6"/>
      <c r="O1128" s="6"/>
      <c r="P1128" s="6"/>
      <c r="Q1128" s="6"/>
      <c r="R1128" s="6"/>
      <c r="S1128" s="6"/>
      <c r="T1128" s="6"/>
      <c r="U1128" s="6"/>
      <c r="V1128" s="6"/>
      <c r="W1128" s="6"/>
      <c r="X1128" s="6"/>
      <c r="Y1128" s="6"/>
      <c r="Z1128" s="6"/>
      <c r="AA1128" s="6"/>
      <c r="AB1128" s="6"/>
      <c r="AC1128" s="6"/>
      <c r="AD1128" s="6"/>
      <c r="AE1128" s="6"/>
      <c r="AF1128" s="6"/>
    </row>
    <row r="1129" spans="1:32" ht="10.199999999999999">
      <c r="A1129" s="6"/>
      <c r="B1129" s="6"/>
      <c r="C1129" s="6"/>
      <c r="D1129" s="6"/>
      <c r="E1129" s="6"/>
      <c r="F1129" s="6"/>
      <c r="G1129" s="6"/>
      <c r="H1129" s="6"/>
      <c r="I1129" s="6"/>
      <c r="J1129" s="6"/>
      <c r="K1129" s="6"/>
      <c r="L1129" s="6"/>
      <c r="M1129" s="6"/>
      <c r="N1129" s="6"/>
      <c r="O1129" s="6"/>
      <c r="P1129" s="6"/>
      <c r="Q1129" s="6"/>
      <c r="R1129" s="6"/>
      <c r="S1129" s="6"/>
      <c r="T1129" s="6"/>
      <c r="U1129" s="6"/>
      <c r="V1129" s="6"/>
      <c r="W1129" s="6"/>
      <c r="X1129" s="6"/>
      <c r="Y1129" s="6"/>
      <c r="Z1129" s="6"/>
      <c r="AA1129" s="6"/>
      <c r="AB1129" s="6"/>
      <c r="AC1129" s="6"/>
      <c r="AD1129" s="6"/>
      <c r="AE1129" s="6"/>
      <c r="AF1129" s="6"/>
    </row>
    <row r="1130" spans="1:32" ht="10.199999999999999">
      <c r="A1130" s="6"/>
      <c r="B1130" s="6"/>
      <c r="C1130" s="6"/>
      <c r="D1130" s="6"/>
      <c r="E1130" s="6"/>
      <c r="F1130" s="6"/>
      <c r="G1130" s="6"/>
      <c r="H1130" s="6"/>
      <c r="I1130" s="6"/>
      <c r="J1130" s="6"/>
      <c r="K1130" s="6"/>
      <c r="L1130" s="6"/>
      <c r="M1130" s="6"/>
      <c r="N1130" s="6"/>
      <c r="O1130" s="6"/>
      <c r="P1130" s="6"/>
      <c r="Q1130" s="6"/>
      <c r="R1130" s="6"/>
      <c r="S1130" s="6"/>
      <c r="T1130" s="6"/>
      <c r="U1130" s="6"/>
      <c r="V1130" s="6"/>
      <c r="W1130" s="6"/>
      <c r="X1130" s="6"/>
      <c r="Y1130" s="6"/>
      <c r="Z1130" s="6"/>
      <c r="AA1130" s="6"/>
      <c r="AB1130" s="6"/>
      <c r="AC1130" s="6"/>
      <c r="AD1130" s="6"/>
      <c r="AE1130" s="6"/>
      <c r="AF1130" s="6"/>
    </row>
    <row r="1131" spans="1:32" ht="10.199999999999999">
      <c r="A1131" s="6"/>
      <c r="B1131" s="6"/>
      <c r="C1131" s="6"/>
      <c r="D1131" s="6"/>
      <c r="E1131" s="6"/>
      <c r="F1131" s="6"/>
      <c r="G1131" s="6"/>
      <c r="H1131" s="6"/>
      <c r="I1131" s="6"/>
      <c r="J1131" s="6"/>
      <c r="K1131" s="6"/>
      <c r="L1131" s="6"/>
      <c r="M1131" s="6"/>
      <c r="N1131" s="6"/>
      <c r="O1131" s="6"/>
      <c r="P1131" s="6"/>
      <c r="Q1131" s="6"/>
      <c r="R1131" s="6"/>
      <c r="S1131" s="6"/>
      <c r="T1131" s="6"/>
      <c r="U1131" s="6"/>
      <c r="V1131" s="6"/>
      <c r="W1131" s="6"/>
      <c r="X1131" s="6"/>
      <c r="Y1131" s="6"/>
      <c r="Z1131" s="6"/>
      <c r="AA1131" s="6"/>
      <c r="AB1131" s="6"/>
      <c r="AC1131" s="6"/>
      <c r="AD1131" s="6"/>
      <c r="AE1131" s="6"/>
      <c r="AF1131" s="6"/>
    </row>
    <row r="1132" spans="1:32" ht="10.199999999999999">
      <c r="A1132" s="6"/>
      <c r="B1132" s="6"/>
      <c r="C1132" s="6"/>
      <c r="D1132" s="6"/>
      <c r="E1132" s="6"/>
      <c r="F1132" s="6"/>
      <c r="G1132" s="6"/>
      <c r="H1132" s="6"/>
      <c r="I1132" s="6"/>
      <c r="J1132" s="6"/>
      <c r="K1132" s="6"/>
      <c r="L1132" s="6"/>
      <c r="M1132" s="6"/>
      <c r="N1132" s="6"/>
      <c r="O1132" s="6"/>
      <c r="P1132" s="6"/>
      <c r="Q1132" s="6"/>
      <c r="R1132" s="6"/>
      <c r="S1132" s="6"/>
      <c r="T1132" s="6"/>
      <c r="U1132" s="6"/>
      <c r="V1132" s="6"/>
      <c r="W1132" s="6"/>
      <c r="X1132" s="6"/>
      <c r="Y1132" s="6"/>
      <c r="Z1132" s="6"/>
      <c r="AA1132" s="6"/>
      <c r="AB1132" s="6"/>
      <c r="AC1132" s="6"/>
      <c r="AD1132" s="6"/>
      <c r="AE1132" s="6"/>
      <c r="AF1132" s="6"/>
    </row>
    <row r="1133" spans="1:32" ht="10.199999999999999">
      <c r="A1133" s="6"/>
      <c r="B1133" s="6"/>
      <c r="C1133" s="6"/>
      <c r="D1133" s="6"/>
      <c r="E1133" s="6"/>
      <c r="F1133" s="6"/>
      <c r="G1133" s="6"/>
      <c r="H1133" s="6"/>
      <c r="I1133" s="6"/>
      <c r="J1133" s="6"/>
      <c r="K1133" s="6"/>
      <c r="L1133" s="6"/>
      <c r="M1133" s="6"/>
      <c r="N1133" s="6"/>
      <c r="O1133" s="6"/>
      <c r="P1133" s="6"/>
      <c r="Q1133" s="6"/>
      <c r="R1133" s="6"/>
      <c r="S1133" s="6"/>
      <c r="T1133" s="6"/>
      <c r="U1133" s="6"/>
      <c r="V1133" s="6"/>
      <c r="W1133" s="6"/>
      <c r="X1133" s="6"/>
      <c r="Y1133" s="6"/>
      <c r="Z1133" s="6"/>
      <c r="AA1133" s="6"/>
      <c r="AB1133" s="6"/>
      <c r="AC1133" s="6"/>
      <c r="AD1133" s="6"/>
      <c r="AE1133" s="6"/>
      <c r="AF1133" s="6"/>
    </row>
    <row r="1134" spans="1:32" ht="10.199999999999999">
      <c r="A1134" s="6"/>
      <c r="B1134" s="6"/>
      <c r="C1134" s="6"/>
      <c r="D1134" s="6"/>
      <c r="E1134" s="6"/>
      <c r="F1134" s="6"/>
      <c r="G1134" s="6"/>
      <c r="H1134" s="6"/>
      <c r="I1134" s="6"/>
      <c r="J1134" s="6"/>
      <c r="K1134" s="6"/>
      <c r="L1134" s="6"/>
      <c r="M1134" s="6"/>
      <c r="N1134" s="6"/>
      <c r="O1134" s="6"/>
      <c r="P1134" s="6"/>
      <c r="Q1134" s="6"/>
      <c r="R1134" s="6"/>
      <c r="S1134" s="6"/>
      <c r="T1134" s="6"/>
      <c r="U1134" s="6"/>
      <c r="V1134" s="6"/>
      <c r="W1134" s="6"/>
      <c r="X1134" s="6"/>
      <c r="Y1134" s="6"/>
      <c r="Z1134" s="6"/>
      <c r="AA1134" s="6"/>
      <c r="AB1134" s="6"/>
      <c r="AC1134" s="6"/>
      <c r="AD1134" s="6"/>
      <c r="AE1134" s="6"/>
      <c r="AF1134" s="6"/>
    </row>
    <row r="1135" spans="1:32" ht="10.199999999999999">
      <c r="A1135" s="6"/>
      <c r="B1135" s="6"/>
      <c r="C1135" s="6"/>
      <c r="D1135" s="6"/>
      <c r="E1135" s="6"/>
      <c r="F1135" s="6"/>
      <c r="G1135" s="6"/>
      <c r="H1135" s="6"/>
      <c r="I1135" s="6"/>
      <c r="J1135" s="6"/>
      <c r="K1135" s="6"/>
      <c r="L1135" s="6"/>
      <c r="M1135" s="6"/>
      <c r="N1135" s="6"/>
      <c r="O1135" s="6"/>
      <c r="P1135" s="6"/>
      <c r="Q1135" s="6"/>
      <c r="R1135" s="6"/>
      <c r="S1135" s="6"/>
      <c r="T1135" s="6"/>
      <c r="U1135" s="6"/>
      <c r="V1135" s="6"/>
      <c r="W1135" s="6"/>
      <c r="X1135" s="6"/>
      <c r="Y1135" s="6"/>
      <c r="Z1135" s="6"/>
      <c r="AA1135" s="6"/>
      <c r="AB1135" s="6"/>
      <c r="AC1135" s="6"/>
      <c r="AD1135" s="6"/>
      <c r="AE1135" s="6"/>
      <c r="AF1135" s="6"/>
    </row>
    <row r="1136" spans="1:32" ht="10.199999999999999">
      <c r="A1136" s="6"/>
      <c r="B1136" s="6"/>
      <c r="C1136" s="6"/>
      <c r="D1136" s="6"/>
      <c r="E1136" s="6"/>
      <c r="F1136" s="6"/>
      <c r="G1136" s="6"/>
      <c r="H1136" s="6"/>
      <c r="I1136" s="6"/>
      <c r="J1136" s="6"/>
      <c r="K1136" s="6"/>
      <c r="L1136" s="6"/>
      <c r="M1136" s="6"/>
      <c r="N1136" s="6"/>
      <c r="O1136" s="6"/>
      <c r="P1136" s="6"/>
      <c r="Q1136" s="6"/>
      <c r="R1136" s="6"/>
      <c r="S1136" s="6"/>
      <c r="T1136" s="6"/>
      <c r="U1136" s="6"/>
      <c r="V1136" s="6"/>
      <c r="W1136" s="6"/>
      <c r="X1136" s="6"/>
      <c r="Y1136" s="6"/>
      <c r="Z1136" s="6"/>
      <c r="AA1136" s="6"/>
      <c r="AB1136" s="6"/>
      <c r="AC1136" s="6"/>
      <c r="AD1136" s="6"/>
      <c r="AE1136" s="6"/>
      <c r="AF1136" s="6"/>
    </row>
    <row r="1137" spans="1:32" ht="10.199999999999999">
      <c r="A1137" s="6"/>
      <c r="B1137" s="6"/>
      <c r="C1137" s="6"/>
      <c r="D1137" s="6"/>
      <c r="E1137" s="6"/>
      <c r="F1137" s="6"/>
      <c r="G1137" s="6"/>
      <c r="H1137" s="6"/>
      <c r="I1137" s="6"/>
      <c r="J1137" s="6"/>
      <c r="K1137" s="6"/>
      <c r="L1137" s="6"/>
      <c r="M1137" s="6"/>
      <c r="N1137" s="6"/>
      <c r="O1137" s="6"/>
      <c r="P1137" s="6"/>
      <c r="Q1137" s="6"/>
      <c r="R1137" s="6"/>
      <c r="S1137" s="6"/>
      <c r="T1137" s="6"/>
      <c r="U1137" s="6"/>
      <c r="V1137" s="6"/>
      <c r="W1137" s="6"/>
      <c r="X1137" s="6"/>
      <c r="Y1137" s="6"/>
      <c r="Z1137" s="6"/>
      <c r="AA1137" s="6"/>
      <c r="AB1137" s="6"/>
      <c r="AC1137" s="6"/>
      <c r="AD1137" s="6"/>
      <c r="AE1137" s="6"/>
      <c r="AF1137" s="6"/>
    </row>
    <row r="1138" spans="1:32" ht="10.199999999999999">
      <c r="A1138" s="6"/>
      <c r="B1138" s="6"/>
      <c r="C1138" s="6"/>
      <c r="D1138" s="6"/>
      <c r="E1138" s="6"/>
      <c r="F1138" s="6"/>
      <c r="G1138" s="6"/>
      <c r="H1138" s="6"/>
      <c r="I1138" s="6"/>
      <c r="J1138" s="6"/>
      <c r="K1138" s="6"/>
      <c r="L1138" s="6"/>
      <c r="M1138" s="6"/>
      <c r="N1138" s="6"/>
      <c r="O1138" s="6"/>
      <c r="P1138" s="6"/>
      <c r="Q1138" s="6"/>
      <c r="R1138" s="6"/>
      <c r="S1138" s="6"/>
      <c r="T1138" s="6"/>
      <c r="U1138" s="6"/>
      <c r="V1138" s="6"/>
      <c r="W1138" s="6"/>
      <c r="X1138" s="6"/>
      <c r="Y1138" s="6"/>
      <c r="Z1138" s="6"/>
      <c r="AA1138" s="6"/>
      <c r="AB1138" s="6"/>
      <c r="AC1138" s="6"/>
      <c r="AD1138" s="6"/>
      <c r="AE1138" s="6"/>
      <c r="AF1138" s="6"/>
    </row>
    <row r="1139" spans="1:32" ht="10.199999999999999">
      <c r="A1139" s="6"/>
      <c r="B1139" s="6"/>
      <c r="C1139" s="6"/>
      <c r="D1139" s="6"/>
      <c r="E1139" s="6"/>
      <c r="F1139" s="6"/>
      <c r="G1139" s="6"/>
      <c r="H1139" s="6"/>
      <c r="I1139" s="6"/>
      <c r="J1139" s="6"/>
      <c r="K1139" s="6"/>
      <c r="L1139" s="6"/>
      <c r="M1139" s="6"/>
      <c r="N1139" s="6"/>
      <c r="O1139" s="6"/>
      <c r="P1139" s="6"/>
      <c r="Q1139" s="6"/>
      <c r="R1139" s="6"/>
      <c r="S1139" s="6"/>
      <c r="T1139" s="6"/>
      <c r="U1139" s="6"/>
      <c r="V1139" s="6"/>
      <c r="W1139" s="6"/>
      <c r="X1139" s="6"/>
      <c r="Y1139" s="6"/>
      <c r="Z1139" s="6"/>
      <c r="AA1139" s="6"/>
      <c r="AB1139" s="6"/>
      <c r="AC1139" s="6"/>
      <c r="AD1139" s="6"/>
      <c r="AE1139" s="6"/>
      <c r="AF1139" s="6"/>
    </row>
    <row r="1140" spans="1:32" ht="10.199999999999999">
      <c r="A1140" s="6"/>
      <c r="B1140" s="6"/>
      <c r="C1140" s="6"/>
      <c r="D1140" s="6"/>
      <c r="E1140" s="6"/>
      <c r="F1140" s="6"/>
      <c r="G1140" s="6"/>
      <c r="H1140" s="6"/>
      <c r="I1140" s="6"/>
      <c r="J1140" s="6"/>
      <c r="K1140" s="6"/>
      <c r="L1140" s="6"/>
      <c r="M1140" s="6"/>
      <c r="N1140" s="6"/>
      <c r="O1140" s="6"/>
      <c r="P1140" s="6"/>
      <c r="Q1140" s="6"/>
      <c r="R1140" s="6"/>
      <c r="S1140" s="6"/>
      <c r="T1140" s="6"/>
      <c r="U1140" s="6"/>
      <c r="V1140" s="6"/>
      <c r="W1140" s="6"/>
      <c r="X1140" s="6"/>
      <c r="Y1140" s="6"/>
      <c r="Z1140" s="6"/>
      <c r="AA1140" s="6"/>
      <c r="AB1140" s="6"/>
      <c r="AC1140" s="6"/>
      <c r="AD1140" s="6"/>
      <c r="AE1140" s="6"/>
      <c r="AF1140" s="6"/>
    </row>
    <row r="1141" spans="1:32" ht="10.199999999999999">
      <c r="A1141" s="6"/>
      <c r="B1141" s="6"/>
      <c r="C1141" s="6"/>
      <c r="D1141" s="6"/>
      <c r="E1141" s="6"/>
      <c r="F1141" s="6"/>
      <c r="G1141" s="6"/>
      <c r="H1141" s="6"/>
      <c r="I1141" s="6"/>
      <c r="J1141" s="6"/>
      <c r="K1141" s="6"/>
      <c r="L1141" s="6"/>
      <c r="M1141" s="6"/>
      <c r="N1141" s="6"/>
      <c r="O1141" s="6"/>
      <c r="P1141" s="6"/>
      <c r="Q1141" s="6"/>
      <c r="R1141" s="6"/>
      <c r="S1141" s="6"/>
      <c r="T1141" s="6"/>
      <c r="U1141" s="6"/>
      <c r="V1141" s="6"/>
      <c r="W1141" s="6"/>
      <c r="X1141" s="6"/>
      <c r="Y1141" s="6"/>
      <c r="Z1141" s="6"/>
      <c r="AA1141" s="6"/>
      <c r="AB1141" s="6"/>
      <c r="AC1141" s="6"/>
      <c r="AD1141" s="6"/>
      <c r="AE1141" s="6"/>
      <c r="AF1141" s="6"/>
    </row>
    <row r="1142" spans="1:32" ht="10.199999999999999">
      <c r="A1142" s="6"/>
      <c r="B1142" s="6"/>
      <c r="C1142" s="6"/>
      <c r="D1142" s="6"/>
      <c r="E1142" s="6"/>
      <c r="F1142" s="6"/>
      <c r="G1142" s="6"/>
      <c r="H1142" s="6"/>
      <c r="I1142" s="6"/>
      <c r="J1142" s="6"/>
      <c r="K1142" s="6"/>
      <c r="L1142" s="6"/>
      <c r="M1142" s="6"/>
      <c r="N1142" s="6"/>
      <c r="O1142" s="6"/>
      <c r="P1142" s="6"/>
      <c r="Q1142" s="6"/>
      <c r="R1142" s="6"/>
      <c r="S1142" s="6"/>
      <c r="T1142" s="6"/>
      <c r="U1142" s="6"/>
      <c r="V1142" s="6"/>
      <c r="W1142" s="6"/>
      <c r="X1142" s="6"/>
      <c r="Y1142" s="6"/>
      <c r="Z1142" s="6"/>
      <c r="AA1142" s="6"/>
      <c r="AB1142" s="6"/>
      <c r="AC1142" s="6"/>
      <c r="AD1142" s="6"/>
      <c r="AE1142" s="6"/>
      <c r="AF1142" s="6"/>
    </row>
    <row r="1143" spans="1:32" ht="10.199999999999999">
      <c r="A1143" s="6"/>
      <c r="B1143" s="6"/>
      <c r="C1143" s="6"/>
      <c r="D1143" s="6"/>
      <c r="E1143" s="6"/>
      <c r="F1143" s="6"/>
      <c r="G1143" s="6"/>
      <c r="H1143" s="6"/>
      <c r="I1143" s="6"/>
      <c r="J1143" s="6"/>
      <c r="K1143" s="6"/>
      <c r="L1143" s="6"/>
      <c r="M1143" s="6"/>
      <c r="N1143" s="6"/>
      <c r="O1143" s="6"/>
      <c r="P1143" s="6"/>
      <c r="Q1143" s="6"/>
      <c r="R1143" s="6"/>
      <c r="S1143" s="6"/>
      <c r="T1143" s="6"/>
      <c r="U1143" s="6"/>
      <c r="V1143" s="6"/>
      <c r="W1143" s="6"/>
      <c r="X1143" s="6"/>
      <c r="Y1143" s="6"/>
      <c r="Z1143" s="6"/>
      <c r="AA1143" s="6"/>
      <c r="AB1143" s="6"/>
      <c r="AC1143" s="6"/>
      <c r="AD1143" s="6"/>
      <c r="AE1143" s="6"/>
      <c r="AF1143" s="6"/>
    </row>
    <row r="1144" spans="1:32" ht="10.199999999999999">
      <c r="A1144" s="6"/>
      <c r="B1144" s="6"/>
      <c r="C1144" s="6"/>
      <c r="D1144" s="6"/>
      <c r="E1144" s="6"/>
      <c r="F1144" s="6"/>
      <c r="G1144" s="6"/>
      <c r="H1144" s="6"/>
      <c r="I1144" s="6"/>
      <c r="J1144" s="6"/>
      <c r="K1144" s="6"/>
      <c r="L1144" s="6"/>
      <c r="M1144" s="6"/>
      <c r="N1144" s="6"/>
      <c r="O1144" s="6"/>
      <c r="P1144" s="6"/>
      <c r="Q1144" s="6"/>
      <c r="R1144" s="6"/>
      <c r="S1144" s="6"/>
      <c r="T1144" s="6"/>
      <c r="U1144" s="6"/>
      <c r="V1144" s="6"/>
      <c r="W1144" s="6"/>
      <c r="X1144" s="6"/>
      <c r="Y1144" s="6"/>
      <c r="Z1144" s="6"/>
      <c r="AA1144" s="6"/>
      <c r="AB1144" s="6"/>
      <c r="AC1144" s="6"/>
      <c r="AD1144" s="6"/>
      <c r="AE1144" s="6"/>
      <c r="AF1144" s="6"/>
    </row>
    <row r="1145" spans="1:32" ht="10.199999999999999">
      <c r="A1145" s="6"/>
      <c r="B1145" s="6"/>
      <c r="C1145" s="6"/>
      <c r="D1145" s="6"/>
      <c r="E1145" s="6"/>
      <c r="F1145" s="6"/>
      <c r="G1145" s="6"/>
      <c r="H1145" s="6"/>
      <c r="I1145" s="6"/>
      <c r="J1145" s="6"/>
      <c r="K1145" s="6"/>
      <c r="L1145" s="6"/>
      <c r="M1145" s="6"/>
      <c r="N1145" s="6"/>
      <c r="O1145" s="6"/>
      <c r="P1145" s="6"/>
      <c r="Q1145" s="6"/>
      <c r="R1145" s="6"/>
      <c r="S1145" s="6"/>
      <c r="T1145" s="6"/>
      <c r="U1145" s="6"/>
      <c r="V1145" s="6"/>
      <c r="W1145" s="6"/>
      <c r="X1145" s="6"/>
      <c r="Y1145" s="6"/>
      <c r="Z1145" s="6"/>
      <c r="AA1145" s="6"/>
      <c r="AB1145" s="6"/>
      <c r="AC1145" s="6"/>
      <c r="AD1145" s="6"/>
      <c r="AE1145" s="6"/>
      <c r="AF1145" s="6"/>
    </row>
    <row r="1146" spans="1:32" ht="10.199999999999999">
      <c r="A1146" s="6"/>
      <c r="B1146" s="6"/>
      <c r="C1146" s="6"/>
      <c r="D1146" s="6"/>
      <c r="E1146" s="6"/>
      <c r="F1146" s="6"/>
      <c r="G1146" s="6"/>
      <c r="H1146" s="6"/>
      <c r="I1146" s="6"/>
      <c r="J1146" s="6"/>
      <c r="K1146" s="6"/>
      <c r="L1146" s="6"/>
      <c r="M1146" s="6"/>
      <c r="N1146" s="6"/>
      <c r="O1146" s="6"/>
      <c r="P1146" s="6"/>
      <c r="Q1146" s="6"/>
      <c r="R1146" s="6"/>
      <c r="S1146" s="6"/>
      <c r="T1146" s="6"/>
      <c r="U1146" s="6"/>
      <c r="V1146" s="6"/>
      <c r="W1146" s="6"/>
      <c r="X1146" s="6"/>
      <c r="Y1146" s="6"/>
      <c r="Z1146" s="6"/>
      <c r="AA1146" s="6"/>
      <c r="AB1146" s="6"/>
      <c r="AC1146" s="6"/>
      <c r="AD1146" s="6"/>
      <c r="AE1146" s="6"/>
      <c r="AF1146" s="6"/>
    </row>
    <row r="1147" spans="1:32" ht="10.199999999999999">
      <c r="A1147" s="6"/>
      <c r="B1147" s="6"/>
      <c r="C1147" s="6"/>
      <c r="D1147" s="6"/>
      <c r="E1147" s="6"/>
      <c r="F1147" s="6"/>
      <c r="G1147" s="6"/>
      <c r="H1147" s="6"/>
      <c r="I1147" s="6"/>
      <c r="J1147" s="6"/>
      <c r="K1147" s="6"/>
      <c r="L1147" s="6"/>
      <c r="M1147" s="6"/>
      <c r="N1147" s="6"/>
      <c r="O1147" s="6"/>
      <c r="P1147" s="6"/>
      <c r="Q1147" s="6"/>
      <c r="R1147" s="6"/>
      <c r="S1147" s="6"/>
      <c r="T1147" s="6"/>
      <c r="U1147" s="6"/>
      <c r="V1147" s="6"/>
      <c r="W1147" s="6"/>
      <c r="X1147" s="6"/>
      <c r="Y1147" s="6"/>
      <c r="Z1147" s="6"/>
      <c r="AA1147" s="6"/>
      <c r="AB1147" s="6"/>
      <c r="AC1147" s="6"/>
      <c r="AD1147" s="6"/>
      <c r="AE1147" s="6"/>
      <c r="AF1147" s="6"/>
    </row>
    <row r="1148" spans="1:32" ht="10.199999999999999">
      <c r="A1148" s="6"/>
      <c r="B1148" s="6"/>
      <c r="C1148" s="6"/>
      <c r="D1148" s="6"/>
      <c r="E1148" s="6"/>
      <c r="F1148" s="6"/>
      <c r="G1148" s="6"/>
      <c r="H1148" s="6"/>
      <c r="I1148" s="6"/>
      <c r="J1148" s="6"/>
      <c r="K1148" s="6"/>
      <c r="L1148" s="6"/>
      <c r="M1148" s="6"/>
      <c r="N1148" s="6"/>
      <c r="O1148" s="6"/>
      <c r="P1148" s="6"/>
      <c r="Q1148" s="6"/>
      <c r="R1148" s="6"/>
      <c r="S1148" s="6"/>
      <c r="T1148" s="6"/>
      <c r="U1148" s="6"/>
      <c r="V1148" s="6"/>
      <c r="W1148" s="6"/>
      <c r="X1148" s="6"/>
      <c r="Y1148" s="6"/>
      <c r="Z1148" s="6"/>
      <c r="AA1148" s="6"/>
      <c r="AB1148" s="6"/>
      <c r="AC1148" s="6"/>
      <c r="AD1148" s="6"/>
      <c r="AE1148" s="6"/>
      <c r="AF1148" s="6"/>
    </row>
    <row r="1149" spans="1:32" ht="10.199999999999999">
      <c r="A1149" s="6"/>
      <c r="B1149" s="6"/>
      <c r="C1149" s="6"/>
      <c r="D1149" s="6"/>
      <c r="E1149" s="6"/>
      <c r="F1149" s="6"/>
      <c r="G1149" s="6"/>
      <c r="H1149" s="6"/>
      <c r="I1149" s="6"/>
      <c r="J1149" s="6"/>
      <c r="K1149" s="6"/>
      <c r="L1149" s="6"/>
      <c r="M1149" s="6"/>
      <c r="N1149" s="6"/>
      <c r="O1149" s="6"/>
      <c r="P1149" s="6"/>
      <c r="Q1149" s="6"/>
      <c r="R1149" s="6"/>
      <c r="S1149" s="6"/>
      <c r="T1149" s="6"/>
      <c r="U1149" s="6"/>
      <c r="V1149" s="6"/>
      <c r="W1149" s="6"/>
      <c r="X1149" s="6"/>
      <c r="Y1149" s="6"/>
      <c r="Z1149" s="6"/>
      <c r="AA1149" s="6"/>
      <c r="AB1149" s="6"/>
      <c r="AC1149" s="6"/>
      <c r="AD1149" s="6"/>
      <c r="AE1149" s="6"/>
      <c r="AF1149" s="6"/>
    </row>
    <row r="1150" spans="1:32" ht="10.199999999999999">
      <c r="A1150" s="6"/>
      <c r="B1150" s="6"/>
      <c r="C1150" s="6"/>
      <c r="D1150" s="6"/>
      <c r="E1150" s="6"/>
      <c r="F1150" s="6"/>
      <c r="G1150" s="6"/>
      <c r="H1150" s="6"/>
      <c r="I1150" s="6"/>
      <c r="J1150" s="6"/>
      <c r="K1150" s="6"/>
      <c r="L1150" s="6"/>
      <c r="M1150" s="6"/>
      <c r="N1150" s="6"/>
      <c r="O1150" s="6"/>
      <c r="P1150" s="6"/>
      <c r="Q1150" s="6"/>
      <c r="R1150" s="6"/>
      <c r="S1150" s="6"/>
      <c r="T1150" s="6"/>
      <c r="U1150" s="6"/>
      <c r="V1150" s="6"/>
      <c r="W1150" s="6"/>
      <c r="X1150" s="6"/>
      <c r="Y1150" s="6"/>
      <c r="Z1150" s="6"/>
      <c r="AA1150" s="6"/>
      <c r="AB1150" s="6"/>
      <c r="AC1150" s="6"/>
      <c r="AD1150" s="6"/>
      <c r="AE1150" s="6"/>
      <c r="AF1150" s="6"/>
    </row>
    <row r="1151" spans="1:32" ht="10.199999999999999">
      <c r="A1151" s="6"/>
      <c r="B1151" s="6"/>
      <c r="C1151" s="6"/>
      <c r="D1151" s="6"/>
      <c r="E1151" s="6"/>
      <c r="F1151" s="6"/>
      <c r="G1151" s="6"/>
      <c r="H1151" s="6"/>
      <c r="I1151" s="6"/>
      <c r="J1151" s="6"/>
      <c r="K1151" s="6"/>
      <c r="L1151" s="6"/>
      <c r="M1151" s="6"/>
      <c r="N1151" s="6"/>
      <c r="O1151" s="6"/>
      <c r="P1151" s="6"/>
      <c r="Q1151" s="6"/>
      <c r="R1151" s="6"/>
      <c r="S1151" s="6"/>
      <c r="T1151" s="6"/>
      <c r="U1151" s="6"/>
      <c r="V1151" s="6"/>
      <c r="W1151" s="6"/>
      <c r="X1151" s="6"/>
      <c r="Y1151" s="6"/>
      <c r="Z1151" s="6"/>
      <c r="AA1151" s="6"/>
      <c r="AB1151" s="6"/>
      <c r="AC1151" s="6"/>
      <c r="AD1151" s="6"/>
      <c r="AE1151" s="6"/>
      <c r="AF1151" s="6"/>
    </row>
    <row r="1152" spans="1:32" ht="10.199999999999999">
      <c r="A1152" s="6"/>
      <c r="B1152" s="6"/>
      <c r="C1152" s="6"/>
      <c r="D1152" s="6"/>
      <c r="E1152" s="6"/>
      <c r="F1152" s="6"/>
      <c r="G1152" s="6"/>
      <c r="H1152" s="6"/>
      <c r="I1152" s="6"/>
      <c r="J1152" s="6"/>
      <c r="K1152" s="6"/>
      <c r="L1152" s="6"/>
      <c r="M1152" s="6"/>
      <c r="N1152" s="6"/>
      <c r="O1152" s="6"/>
      <c r="P1152" s="6"/>
      <c r="Q1152" s="6"/>
      <c r="R1152" s="6"/>
      <c r="S1152" s="6"/>
      <c r="T1152" s="6"/>
      <c r="U1152" s="6"/>
      <c r="V1152" s="6"/>
      <c r="W1152" s="6"/>
      <c r="X1152" s="6"/>
      <c r="Y1152" s="6"/>
      <c r="Z1152" s="6"/>
      <c r="AA1152" s="6"/>
      <c r="AB1152" s="6"/>
      <c r="AC1152" s="6"/>
      <c r="AD1152" s="6"/>
      <c r="AE1152" s="6"/>
      <c r="AF1152" s="6"/>
    </row>
    <row r="1153" spans="1:32" ht="10.199999999999999">
      <c r="A1153" s="6"/>
      <c r="B1153" s="6"/>
      <c r="C1153" s="6"/>
      <c r="D1153" s="6"/>
      <c r="E1153" s="6"/>
      <c r="F1153" s="6"/>
      <c r="G1153" s="6"/>
      <c r="H1153" s="6"/>
      <c r="I1153" s="6"/>
      <c r="J1153" s="6"/>
      <c r="K1153" s="6"/>
      <c r="L1153" s="6"/>
      <c r="M1153" s="6"/>
      <c r="N1153" s="6"/>
      <c r="O1153" s="6"/>
      <c r="P1153" s="6"/>
      <c r="Q1153" s="6"/>
      <c r="R1153" s="6"/>
      <c r="S1153" s="6"/>
      <c r="T1153" s="6"/>
      <c r="U1153" s="6"/>
      <c r="V1153" s="6"/>
      <c r="W1153" s="6"/>
      <c r="X1153" s="6"/>
      <c r="Y1153" s="6"/>
      <c r="Z1153" s="6"/>
      <c r="AA1153" s="6"/>
      <c r="AB1153" s="6"/>
      <c r="AC1153" s="6"/>
      <c r="AD1153" s="6"/>
      <c r="AE1153" s="6"/>
      <c r="AF1153" s="6"/>
    </row>
    <row r="1154" spans="1:32" ht="10.199999999999999">
      <c r="A1154" s="6"/>
      <c r="B1154" s="6"/>
      <c r="C1154" s="6"/>
      <c r="D1154" s="6"/>
      <c r="E1154" s="6"/>
      <c r="F1154" s="6"/>
      <c r="G1154" s="6"/>
      <c r="H1154" s="6"/>
      <c r="I1154" s="6"/>
      <c r="J1154" s="6"/>
      <c r="K1154" s="6"/>
      <c r="L1154" s="6"/>
      <c r="M1154" s="6"/>
      <c r="N1154" s="6"/>
      <c r="O1154" s="6"/>
      <c r="P1154" s="6"/>
      <c r="Q1154" s="6"/>
      <c r="R1154" s="6"/>
      <c r="S1154" s="6"/>
      <c r="T1154" s="6"/>
      <c r="U1154" s="6"/>
      <c r="V1154" s="6"/>
      <c r="W1154" s="6"/>
      <c r="X1154" s="6"/>
      <c r="Y1154" s="6"/>
      <c r="Z1154" s="6"/>
      <c r="AA1154" s="6"/>
      <c r="AB1154" s="6"/>
      <c r="AC1154" s="6"/>
      <c r="AD1154" s="6"/>
      <c r="AE1154" s="6"/>
      <c r="AF1154" s="6"/>
    </row>
    <row r="1155" spans="1:32" ht="10.199999999999999">
      <c r="A1155" s="6"/>
      <c r="B1155" s="6"/>
      <c r="C1155" s="6"/>
      <c r="D1155" s="6"/>
      <c r="E1155" s="6"/>
      <c r="F1155" s="6"/>
      <c r="G1155" s="6"/>
      <c r="H1155" s="6"/>
      <c r="I1155" s="6"/>
      <c r="J1155" s="6"/>
      <c r="K1155" s="6"/>
      <c r="L1155" s="6"/>
      <c r="M1155" s="6"/>
      <c r="N1155" s="6"/>
      <c r="O1155" s="6"/>
      <c r="P1155" s="6"/>
      <c r="Q1155" s="6"/>
      <c r="R1155" s="6"/>
      <c r="S1155" s="6"/>
      <c r="T1155" s="6"/>
      <c r="U1155" s="6"/>
      <c r="V1155" s="6"/>
      <c r="W1155" s="6"/>
      <c r="X1155" s="6"/>
      <c r="Y1155" s="6"/>
      <c r="Z1155" s="6"/>
      <c r="AA1155" s="6"/>
      <c r="AB1155" s="6"/>
      <c r="AC1155" s="6"/>
      <c r="AD1155" s="6"/>
      <c r="AE1155" s="6"/>
      <c r="AF1155" s="6"/>
    </row>
    <row r="1156" spans="1:32" ht="10.199999999999999">
      <c r="A1156" s="6"/>
      <c r="B1156" s="6"/>
      <c r="C1156" s="6"/>
      <c r="D1156" s="6"/>
      <c r="E1156" s="6"/>
      <c r="F1156" s="6"/>
      <c r="G1156" s="6"/>
      <c r="H1156" s="6"/>
      <c r="I1156" s="6"/>
      <c r="J1156" s="6"/>
      <c r="K1156" s="6"/>
      <c r="L1156" s="6"/>
      <c r="M1156" s="6"/>
      <c r="N1156" s="6"/>
      <c r="O1156" s="6"/>
      <c r="P1156" s="6"/>
      <c r="Q1156" s="6"/>
      <c r="R1156" s="6"/>
      <c r="S1156" s="6"/>
      <c r="T1156" s="6"/>
      <c r="U1156" s="6"/>
      <c r="V1156" s="6"/>
      <c r="W1156" s="6"/>
      <c r="X1156" s="6"/>
      <c r="Y1156" s="6"/>
      <c r="Z1156" s="6"/>
      <c r="AA1156" s="6"/>
      <c r="AB1156" s="6"/>
      <c r="AC1156" s="6"/>
      <c r="AD1156" s="6"/>
      <c r="AE1156" s="6"/>
      <c r="AF1156" s="6"/>
    </row>
    <row r="1157" spans="1:32" ht="10.199999999999999">
      <c r="A1157" s="6"/>
      <c r="B1157" s="6"/>
      <c r="C1157" s="6"/>
      <c r="D1157" s="6"/>
      <c r="E1157" s="6"/>
      <c r="F1157" s="6"/>
      <c r="G1157" s="6"/>
      <c r="H1157" s="6"/>
      <c r="I1157" s="6"/>
      <c r="J1157" s="6"/>
      <c r="K1157" s="6"/>
      <c r="L1157" s="6"/>
      <c r="M1157" s="6"/>
      <c r="N1157" s="6"/>
      <c r="O1157" s="6"/>
      <c r="P1157" s="6"/>
      <c r="Q1157" s="6"/>
      <c r="R1157" s="6"/>
      <c r="S1157" s="6"/>
      <c r="T1157" s="6"/>
      <c r="U1157" s="6"/>
      <c r="V1157" s="6"/>
      <c r="W1157" s="6"/>
      <c r="X1157" s="6"/>
      <c r="Y1157" s="6"/>
      <c r="Z1157" s="6"/>
      <c r="AA1157" s="6"/>
      <c r="AB1157" s="6"/>
      <c r="AC1157" s="6"/>
      <c r="AD1157" s="6"/>
      <c r="AE1157" s="6"/>
      <c r="AF1157" s="6"/>
    </row>
    <row r="1158" spans="1:32" ht="10.199999999999999">
      <c r="A1158" s="6"/>
      <c r="B1158" s="6"/>
      <c r="C1158" s="6"/>
      <c r="D1158" s="6"/>
      <c r="E1158" s="6"/>
      <c r="F1158" s="6"/>
      <c r="G1158" s="6"/>
      <c r="H1158" s="6"/>
      <c r="I1158" s="6"/>
      <c r="J1158" s="6"/>
      <c r="K1158" s="6"/>
      <c r="L1158" s="6"/>
      <c r="M1158" s="6"/>
      <c r="N1158" s="6"/>
      <c r="O1158" s="6"/>
      <c r="P1158" s="6"/>
      <c r="Q1158" s="6"/>
      <c r="R1158" s="6"/>
      <c r="S1158" s="6"/>
      <c r="T1158" s="6"/>
      <c r="U1158" s="6"/>
      <c r="V1158" s="6"/>
      <c r="W1158" s="6"/>
      <c r="X1158" s="6"/>
      <c r="Y1158" s="6"/>
      <c r="Z1158" s="6"/>
      <c r="AA1158" s="6"/>
      <c r="AB1158" s="6"/>
      <c r="AC1158" s="6"/>
      <c r="AD1158" s="6"/>
      <c r="AE1158" s="6"/>
      <c r="AF1158" s="6"/>
    </row>
    <row r="1159" spans="1:32" ht="10.199999999999999">
      <c r="A1159" s="6"/>
      <c r="B1159" s="6"/>
      <c r="C1159" s="6"/>
      <c r="D1159" s="6"/>
      <c r="E1159" s="6"/>
      <c r="F1159" s="6"/>
      <c r="G1159" s="6"/>
      <c r="H1159" s="6"/>
      <c r="I1159" s="6"/>
      <c r="J1159" s="6"/>
      <c r="K1159" s="6"/>
      <c r="L1159" s="6"/>
      <c r="M1159" s="6"/>
      <c r="N1159" s="6"/>
      <c r="O1159" s="6"/>
      <c r="P1159" s="6"/>
      <c r="Q1159" s="6"/>
      <c r="R1159" s="6"/>
      <c r="S1159" s="6"/>
      <c r="T1159" s="6"/>
      <c r="U1159" s="6"/>
      <c r="V1159" s="6"/>
      <c r="W1159" s="6"/>
      <c r="X1159" s="6"/>
      <c r="Y1159" s="6"/>
      <c r="Z1159" s="6"/>
      <c r="AA1159" s="6"/>
      <c r="AB1159" s="6"/>
      <c r="AC1159" s="6"/>
      <c r="AD1159" s="6"/>
      <c r="AE1159" s="6"/>
      <c r="AF1159" s="6"/>
    </row>
    <row r="1160" spans="1:32" ht="10.199999999999999">
      <c r="A1160" s="6"/>
      <c r="B1160" s="6"/>
      <c r="C1160" s="6"/>
      <c r="D1160" s="6"/>
      <c r="E1160" s="6"/>
      <c r="F1160" s="6"/>
      <c r="G1160" s="6"/>
      <c r="H1160" s="6"/>
      <c r="I1160" s="6"/>
      <c r="J1160" s="6"/>
      <c r="K1160" s="6"/>
      <c r="L1160" s="6"/>
      <c r="M1160" s="6"/>
      <c r="N1160" s="6"/>
      <c r="O1160" s="6"/>
      <c r="P1160" s="6"/>
      <c r="Q1160" s="6"/>
      <c r="R1160" s="6"/>
      <c r="S1160" s="6"/>
      <c r="T1160" s="6"/>
      <c r="U1160" s="6"/>
      <c r="V1160" s="6"/>
      <c r="W1160" s="6"/>
      <c r="X1160" s="6"/>
      <c r="Y1160" s="6"/>
      <c r="Z1160" s="6"/>
      <c r="AA1160" s="6"/>
      <c r="AB1160" s="6"/>
      <c r="AC1160" s="6"/>
      <c r="AD1160" s="6"/>
      <c r="AE1160" s="6"/>
      <c r="AF1160" s="6"/>
    </row>
    <row r="1161" spans="1:32" ht="10.199999999999999">
      <c r="A1161" s="6"/>
      <c r="B1161" s="6"/>
      <c r="C1161" s="6"/>
      <c r="D1161" s="6"/>
      <c r="E1161" s="6"/>
      <c r="F1161" s="6"/>
      <c r="G1161" s="6"/>
      <c r="H1161" s="6"/>
      <c r="I1161" s="6"/>
      <c r="J1161" s="6"/>
      <c r="K1161" s="6"/>
      <c r="L1161" s="6"/>
      <c r="M1161" s="6"/>
      <c r="N1161" s="6"/>
      <c r="O1161" s="6"/>
      <c r="P1161" s="6"/>
      <c r="Q1161" s="6"/>
      <c r="R1161" s="6"/>
      <c r="S1161" s="6"/>
      <c r="T1161" s="6"/>
      <c r="U1161" s="6"/>
      <c r="V1161" s="6"/>
      <c r="W1161" s="6"/>
      <c r="X1161" s="6"/>
      <c r="Y1161" s="6"/>
      <c r="Z1161" s="6"/>
      <c r="AA1161" s="6"/>
      <c r="AB1161" s="6"/>
      <c r="AC1161" s="6"/>
      <c r="AD1161" s="6"/>
      <c r="AE1161" s="6"/>
      <c r="AF1161" s="6"/>
    </row>
    <row r="1162" spans="1:32" ht="10.199999999999999">
      <c r="A1162" s="6"/>
      <c r="B1162" s="6"/>
      <c r="C1162" s="6"/>
      <c r="D1162" s="6"/>
      <c r="E1162" s="6"/>
      <c r="F1162" s="6"/>
      <c r="G1162" s="6"/>
      <c r="H1162" s="6"/>
      <c r="I1162" s="6"/>
      <c r="J1162" s="6"/>
      <c r="K1162" s="6"/>
      <c r="L1162" s="6"/>
      <c r="M1162" s="6"/>
      <c r="N1162" s="6"/>
      <c r="O1162" s="6"/>
      <c r="P1162" s="6"/>
      <c r="Q1162" s="6"/>
      <c r="R1162" s="6"/>
      <c r="S1162" s="6"/>
      <c r="T1162" s="6"/>
      <c r="U1162" s="6"/>
      <c r="V1162" s="6"/>
      <c r="W1162" s="6"/>
      <c r="X1162" s="6"/>
      <c r="Y1162" s="6"/>
      <c r="Z1162" s="6"/>
      <c r="AA1162" s="6"/>
      <c r="AB1162" s="6"/>
      <c r="AC1162" s="6"/>
      <c r="AD1162" s="6"/>
      <c r="AE1162" s="6"/>
      <c r="AF1162" s="6"/>
    </row>
    <row r="1163" spans="1:32" ht="10.199999999999999">
      <c r="A1163" s="6"/>
      <c r="B1163" s="6"/>
      <c r="C1163" s="6"/>
      <c r="D1163" s="6"/>
      <c r="E1163" s="6"/>
      <c r="F1163" s="6"/>
      <c r="G1163" s="6"/>
      <c r="H1163" s="6"/>
      <c r="I1163" s="6"/>
      <c r="J1163" s="6"/>
      <c r="K1163" s="6"/>
      <c r="L1163" s="6"/>
      <c r="M1163" s="6"/>
      <c r="N1163" s="6"/>
      <c r="O1163" s="6"/>
      <c r="P1163" s="6"/>
      <c r="Q1163" s="6"/>
      <c r="R1163" s="6"/>
      <c r="S1163" s="6"/>
      <c r="T1163" s="6"/>
      <c r="U1163" s="6"/>
      <c r="V1163" s="6"/>
      <c r="W1163" s="6"/>
      <c r="X1163" s="6"/>
      <c r="Y1163" s="6"/>
      <c r="Z1163" s="6"/>
      <c r="AA1163" s="6"/>
      <c r="AB1163" s="6"/>
      <c r="AC1163" s="6"/>
      <c r="AD1163" s="6"/>
      <c r="AE1163" s="6"/>
      <c r="AF1163" s="6"/>
    </row>
    <row r="1164" spans="1:32" ht="10.199999999999999">
      <c r="A1164" s="6"/>
      <c r="B1164" s="6"/>
      <c r="C1164" s="6"/>
      <c r="D1164" s="6"/>
      <c r="E1164" s="6"/>
      <c r="F1164" s="6"/>
      <c r="G1164" s="6"/>
      <c r="H1164" s="6"/>
      <c r="I1164" s="6"/>
      <c r="J1164" s="6"/>
      <c r="K1164" s="6"/>
      <c r="L1164" s="6"/>
      <c r="M1164" s="6"/>
      <c r="N1164" s="6"/>
      <c r="O1164" s="6"/>
      <c r="P1164" s="6"/>
      <c r="Q1164" s="6"/>
      <c r="R1164" s="6"/>
      <c r="S1164" s="6"/>
      <c r="T1164" s="6"/>
      <c r="U1164" s="6"/>
      <c r="V1164" s="6"/>
      <c r="W1164" s="6"/>
      <c r="X1164" s="6"/>
      <c r="Y1164" s="6"/>
      <c r="Z1164" s="6"/>
      <c r="AA1164" s="6"/>
      <c r="AB1164" s="6"/>
      <c r="AC1164" s="6"/>
      <c r="AD1164" s="6"/>
      <c r="AE1164" s="6"/>
      <c r="AF1164" s="6"/>
    </row>
    <row r="1165" spans="1:32" ht="10.199999999999999">
      <c r="A1165" s="6"/>
      <c r="B1165" s="6"/>
      <c r="C1165" s="6"/>
      <c r="D1165" s="6"/>
      <c r="E1165" s="6"/>
      <c r="F1165" s="6"/>
      <c r="G1165" s="6"/>
      <c r="H1165" s="6"/>
      <c r="I1165" s="6"/>
      <c r="J1165" s="6"/>
      <c r="K1165" s="6"/>
      <c r="L1165" s="6"/>
      <c r="M1165" s="6"/>
      <c r="N1165" s="6"/>
      <c r="O1165" s="6"/>
      <c r="P1165" s="6"/>
      <c r="Q1165" s="6"/>
      <c r="R1165" s="6"/>
      <c r="S1165" s="6"/>
      <c r="T1165" s="6"/>
      <c r="U1165" s="6"/>
      <c r="V1165" s="6"/>
      <c r="W1165" s="6"/>
      <c r="X1165" s="6"/>
      <c r="Y1165" s="6"/>
      <c r="Z1165" s="6"/>
      <c r="AA1165" s="6"/>
      <c r="AB1165" s="6"/>
      <c r="AC1165" s="6"/>
      <c r="AD1165" s="6"/>
      <c r="AE1165" s="6"/>
      <c r="AF1165" s="6"/>
    </row>
    <row r="1166" spans="1:32" ht="10.199999999999999">
      <c r="A1166" s="6"/>
      <c r="B1166" s="6"/>
      <c r="C1166" s="6"/>
      <c r="D1166" s="6"/>
      <c r="E1166" s="6"/>
      <c r="F1166" s="6"/>
      <c r="G1166" s="6"/>
      <c r="H1166" s="6"/>
      <c r="I1166" s="6"/>
      <c r="J1166" s="6"/>
      <c r="K1166" s="6"/>
      <c r="L1166" s="6"/>
      <c r="M1166" s="6"/>
      <c r="N1166" s="6"/>
      <c r="O1166" s="6"/>
      <c r="P1166" s="6"/>
      <c r="Q1166" s="6"/>
      <c r="R1166" s="6"/>
      <c r="S1166" s="6"/>
      <c r="T1166" s="6"/>
      <c r="U1166" s="6"/>
      <c r="V1166" s="6"/>
      <c r="W1166" s="6"/>
      <c r="X1166" s="6"/>
      <c r="Y1166" s="6"/>
      <c r="Z1166" s="6"/>
      <c r="AA1166" s="6"/>
      <c r="AB1166" s="6"/>
      <c r="AC1166" s="6"/>
      <c r="AD1166" s="6"/>
      <c r="AE1166" s="6"/>
      <c r="AF1166" s="6"/>
    </row>
    <row r="1167" spans="1:32" ht="10.199999999999999">
      <c r="A1167" s="6"/>
      <c r="B1167" s="6"/>
      <c r="C1167" s="6"/>
      <c r="D1167" s="6"/>
      <c r="E1167" s="6"/>
      <c r="F1167" s="6"/>
      <c r="G1167" s="6"/>
      <c r="H1167" s="6"/>
      <c r="I1167" s="6"/>
      <c r="J1167" s="6"/>
      <c r="K1167" s="6"/>
      <c r="L1167" s="6"/>
      <c r="M1167" s="6"/>
      <c r="N1167" s="6"/>
      <c r="O1167" s="6"/>
      <c r="P1167" s="6"/>
      <c r="Q1167" s="6"/>
      <c r="R1167" s="6"/>
      <c r="S1167" s="6"/>
      <c r="T1167" s="6"/>
      <c r="U1167" s="6"/>
      <c r="V1167" s="6"/>
      <c r="W1167" s="6"/>
      <c r="X1167" s="6"/>
      <c r="Y1167" s="6"/>
      <c r="Z1167" s="6"/>
      <c r="AA1167" s="6"/>
      <c r="AB1167" s="6"/>
      <c r="AC1167" s="6"/>
      <c r="AD1167" s="6"/>
      <c r="AE1167" s="6"/>
      <c r="AF1167" s="6"/>
    </row>
    <row r="1168" spans="1:32" ht="10.199999999999999">
      <c r="A1168" s="6"/>
      <c r="B1168" s="6"/>
      <c r="C1168" s="6"/>
      <c r="D1168" s="6"/>
      <c r="E1168" s="6"/>
      <c r="F1168" s="6"/>
      <c r="G1168" s="6"/>
      <c r="H1168" s="6"/>
      <c r="I1168" s="6"/>
      <c r="J1168" s="6"/>
      <c r="K1168" s="6"/>
      <c r="L1168" s="6"/>
      <c r="M1168" s="6"/>
      <c r="N1168" s="6"/>
      <c r="O1168" s="6"/>
      <c r="P1168" s="6"/>
      <c r="Q1168" s="6"/>
      <c r="R1168" s="6"/>
      <c r="S1168" s="6"/>
      <c r="T1168" s="6"/>
      <c r="U1168" s="6"/>
      <c r="V1168" s="6"/>
      <c r="W1168" s="6"/>
      <c r="X1168" s="6"/>
      <c r="Y1168" s="6"/>
      <c r="Z1168" s="6"/>
      <c r="AA1168" s="6"/>
      <c r="AB1168" s="6"/>
      <c r="AC1168" s="6"/>
      <c r="AD1168" s="6"/>
      <c r="AE1168" s="6"/>
      <c r="AF1168" s="6"/>
    </row>
    <row r="1169" spans="1:32" ht="10.199999999999999">
      <c r="A1169" s="6"/>
      <c r="B1169" s="6"/>
      <c r="C1169" s="6"/>
      <c r="D1169" s="6"/>
      <c r="E1169" s="6"/>
      <c r="F1169" s="6"/>
      <c r="G1169" s="6"/>
      <c r="H1169" s="6"/>
      <c r="I1169" s="6"/>
      <c r="J1169" s="6"/>
      <c r="K1169" s="6"/>
      <c r="L1169" s="6"/>
      <c r="M1169" s="6"/>
      <c r="N1169" s="6"/>
      <c r="O1169" s="6"/>
      <c r="P1169" s="6"/>
      <c r="Q1169" s="6"/>
      <c r="R1169" s="6"/>
      <c r="S1169" s="6"/>
      <c r="T1169" s="6"/>
      <c r="U1169" s="6"/>
      <c r="V1169" s="6"/>
      <c r="W1169" s="6"/>
      <c r="X1169" s="6"/>
      <c r="Y1169" s="6"/>
      <c r="Z1169" s="6"/>
      <c r="AA1169" s="6"/>
      <c r="AB1169" s="6"/>
      <c r="AC1169" s="6"/>
      <c r="AD1169" s="6"/>
      <c r="AE1169" s="6"/>
      <c r="AF1169" s="6"/>
    </row>
    <row r="1170" spans="1:32" ht="10.199999999999999">
      <c r="A1170" s="6"/>
      <c r="B1170" s="6"/>
      <c r="C1170" s="6"/>
      <c r="D1170" s="6"/>
      <c r="E1170" s="6"/>
      <c r="F1170" s="6"/>
      <c r="G1170" s="6"/>
      <c r="H1170" s="6"/>
      <c r="I1170" s="6"/>
      <c r="J1170" s="6"/>
      <c r="K1170" s="6"/>
      <c r="L1170" s="6"/>
      <c r="M1170" s="6"/>
      <c r="N1170" s="6"/>
      <c r="O1170" s="6"/>
      <c r="P1170" s="6"/>
      <c r="Q1170" s="6"/>
      <c r="R1170" s="6"/>
      <c r="S1170" s="6"/>
      <c r="T1170" s="6"/>
      <c r="U1170" s="6"/>
      <c r="V1170" s="6"/>
      <c r="W1170" s="6"/>
      <c r="X1170" s="6"/>
      <c r="Y1170" s="6"/>
      <c r="Z1170" s="6"/>
      <c r="AA1170" s="6"/>
      <c r="AB1170" s="6"/>
      <c r="AC1170" s="6"/>
      <c r="AD1170" s="6"/>
      <c r="AE1170" s="6"/>
      <c r="AF1170" s="6"/>
    </row>
    <row r="1171" spans="1:32" ht="10.199999999999999">
      <c r="A1171" s="6"/>
      <c r="B1171" s="6"/>
      <c r="C1171" s="6"/>
      <c r="D1171" s="6"/>
      <c r="E1171" s="6"/>
      <c r="F1171" s="6"/>
      <c r="G1171" s="6"/>
      <c r="H1171" s="6"/>
      <c r="I1171" s="6"/>
      <c r="J1171" s="6"/>
      <c r="K1171" s="6"/>
      <c r="L1171" s="6"/>
      <c r="M1171" s="6"/>
      <c r="N1171" s="6"/>
      <c r="O1171" s="6"/>
      <c r="P1171" s="6"/>
      <c r="Q1171" s="6"/>
      <c r="R1171" s="6"/>
      <c r="S1171" s="6"/>
      <c r="T1171" s="6"/>
      <c r="U1171" s="6"/>
      <c r="V1171" s="6"/>
      <c r="W1171" s="6"/>
      <c r="X1171" s="6"/>
      <c r="Y1171" s="6"/>
      <c r="Z1171" s="6"/>
      <c r="AA1171" s="6"/>
      <c r="AB1171" s="6"/>
      <c r="AC1171" s="6"/>
      <c r="AD1171" s="6"/>
      <c r="AE1171" s="6"/>
      <c r="AF1171" s="6"/>
    </row>
    <row r="1172" spans="1:32" ht="10.199999999999999">
      <c r="A1172" s="6"/>
      <c r="B1172" s="6"/>
      <c r="C1172" s="6"/>
      <c r="D1172" s="6"/>
      <c r="E1172" s="6"/>
      <c r="F1172" s="6"/>
      <c r="G1172" s="6"/>
      <c r="H1172" s="6"/>
      <c r="I1172" s="6"/>
      <c r="J1172" s="6"/>
      <c r="K1172" s="6"/>
      <c r="L1172" s="6"/>
      <c r="M1172" s="6"/>
      <c r="N1172" s="6"/>
      <c r="O1172" s="6"/>
      <c r="P1172" s="6"/>
      <c r="Q1172" s="6"/>
      <c r="R1172" s="6"/>
      <c r="S1172" s="6"/>
      <c r="T1172" s="6"/>
      <c r="U1172" s="6"/>
      <c r="V1172" s="6"/>
      <c r="W1172" s="6"/>
      <c r="X1172" s="6"/>
      <c r="Y1172" s="6"/>
      <c r="Z1172" s="6"/>
      <c r="AA1172" s="6"/>
      <c r="AB1172" s="6"/>
      <c r="AC1172" s="6"/>
      <c r="AD1172" s="6"/>
      <c r="AE1172" s="6"/>
      <c r="AF1172" s="6"/>
    </row>
    <row r="1173" spans="1:32" ht="10.199999999999999">
      <c r="A1173" s="6"/>
      <c r="B1173" s="6"/>
      <c r="C1173" s="6"/>
      <c r="D1173" s="6"/>
      <c r="E1173" s="6"/>
      <c r="F1173" s="6"/>
      <c r="G1173" s="6"/>
      <c r="H1173" s="6"/>
      <c r="I1173" s="6"/>
      <c r="J1173" s="6"/>
      <c r="K1173" s="6"/>
      <c r="L1173" s="6"/>
      <c r="M1173" s="6"/>
      <c r="N1173" s="6"/>
      <c r="O1173" s="6"/>
      <c r="P1173" s="6"/>
      <c r="Q1173" s="6"/>
      <c r="R1173" s="6"/>
      <c r="S1173" s="6"/>
      <c r="T1173" s="6"/>
      <c r="U1173" s="6"/>
      <c r="V1173" s="6"/>
      <c r="W1173" s="6"/>
      <c r="X1173" s="6"/>
      <c r="Y1173" s="6"/>
      <c r="Z1173" s="6"/>
      <c r="AA1173" s="6"/>
      <c r="AB1173" s="6"/>
      <c r="AC1173" s="6"/>
      <c r="AD1173" s="6"/>
      <c r="AE1173" s="6"/>
      <c r="AF1173" s="6"/>
    </row>
    <row r="1174" spans="1:32" ht="10.199999999999999">
      <c r="A1174" s="6"/>
      <c r="B1174" s="6"/>
      <c r="C1174" s="6"/>
      <c r="D1174" s="6"/>
      <c r="E1174" s="6"/>
      <c r="F1174" s="6"/>
      <c r="G1174" s="6"/>
      <c r="H1174" s="6"/>
      <c r="I1174" s="6"/>
      <c r="J1174" s="6"/>
      <c r="K1174" s="6"/>
      <c r="L1174" s="6"/>
      <c r="M1174" s="6"/>
      <c r="N1174" s="6"/>
      <c r="O1174" s="6"/>
      <c r="P1174" s="6"/>
      <c r="Q1174" s="6"/>
      <c r="R1174" s="6"/>
      <c r="S1174" s="6"/>
      <c r="T1174" s="6"/>
      <c r="U1174" s="6"/>
      <c r="V1174" s="6"/>
      <c r="W1174" s="6"/>
      <c r="X1174" s="6"/>
      <c r="Y1174" s="6"/>
      <c r="Z1174" s="6"/>
      <c r="AA1174" s="6"/>
      <c r="AB1174" s="6"/>
      <c r="AC1174" s="6"/>
      <c r="AD1174" s="6"/>
      <c r="AE1174" s="6"/>
      <c r="AF1174" s="6"/>
    </row>
    <row r="1175" spans="1:32" ht="10.199999999999999">
      <c r="A1175" s="6"/>
      <c r="B1175" s="6"/>
      <c r="C1175" s="6"/>
      <c r="D1175" s="6"/>
      <c r="E1175" s="6"/>
      <c r="F1175" s="6"/>
      <c r="G1175" s="6"/>
      <c r="H1175" s="6"/>
      <c r="I1175" s="6"/>
      <c r="J1175" s="6"/>
      <c r="K1175" s="6"/>
      <c r="L1175" s="6"/>
      <c r="M1175" s="6"/>
      <c r="N1175" s="6"/>
      <c r="O1175" s="6"/>
      <c r="P1175" s="6"/>
      <c r="Q1175" s="6"/>
      <c r="R1175" s="6"/>
      <c r="S1175" s="6"/>
      <c r="T1175" s="6"/>
      <c r="U1175" s="6"/>
      <c r="V1175" s="6"/>
      <c r="W1175" s="6"/>
      <c r="X1175" s="6"/>
      <c r="Y1175" s="6"/>
      <c r="Z1175" s="6"/>
      <c r="AA1175" s="6"/>
      <c r="AB1175" s="6"/>
      <c r="AC1175" s="6"/>
      <c r="AD1175" s="6"/>
      <c r="AE1175" s="6"/>
      <c r="AF1175" s="6"/>
    </row>
    <row r="1176" spans="1:32" ht="10.199999999999999">
      <c r="A1176" s="6"/>
      <c r="B1176" s="6"/>
      <c r="C1176" s="6"/>
      <c r="D1176" s="6"/>
      <c r="E1176" s="6"/>
      <c r="F1176" s="6"/>
      <c r="G1176" s="6"/>
      <c r="H1176" s="6"/>
      <c r="I1176" s="6"/>
      <c r="J1176" s="6"/>
      <c r="K1176" s="6"/>
      <c r="L1176" s="6"/>
      <c r="M1176" s="6"/>
      <c r="N1176" s="6"/>
      <c r="O1176" s="6"/>
      <c r="P1176" s="6"/>
      <c r="Q1176" s="6"/>
      <c r="R1176" s="6"/>
      <c r="S1176" s="6"/>
      <c r="T1176" s="6"/>
      <c r="U1176" s="6"/>
      <c r="V1176" s="6"/>
      <c r="W1176" s="6"/>
      <c r="X1176" s="6"/>
      <c r="Y1176" s="6"/>
      <c r="Z1176" s="6"/>
      <c r="AA1176" s="6"/>
      <c r="AB1176" s="6"/>
      <c r="AC1176" s="6"/>
      <c r="AD1176" s="6"/>
      <c r="AE1176" s="6"/>
      <c r="AF1176" s="6"/>
    </row>
    <row r="1177" spans="1:32" ht="10.199999999999999">
      <c r="A1177" s="6"/>
      <c r="B1177" s="6"/>
      <c r="C1177" s="6"/>
      <c r="D1177" s="6"/>
      <c r="E1177" s="6"/>
      <c r="F1177" s="6"/>
      <c r="G1177" s="6"/>
      <c r="H1177" s="6"/>
      <c r="I1177" s="6"/>
      <c r="J1177" s="6"/>
      <c r="K1177" s="6"/>
      <c r="L1177" s="6"/>
      <c r="M1177" s="6"/>
      <c r="N1177" s="6"/>
      <c r="O1177" s="6"/>
      <c r="P1177" s="6"/>
      <c r="Q1177" s="6"/>
      <c r="R1177" s="6"/>
      <c r="S1177" s="6"/>
      <c r="T1177" s="6"/>
      <c r="U1177" s="6"/>
      <c r="V1177" s="6"/>
      <c r="W1177" s="6"/>
      <c r="X1177" s="6"/>
      <c r="Y1177" s="6"/>
      <c r="Z1177" s="6"/>
      <c r="AA1177" s="6"/>
      <c r="AB1177" s="6"/>
      <c r="AC1177" s="6"/>
      <c r="AD1177" s="6"/>
      <c r="AE1177" s="6"/>
      <c r="AF1177" s="6"/>
    </row>
    <row r="1178" spans="1:32" ht="10.199999999999999">
      <c r="A1178" s="6"/>
      <c r="B1178" s="6"/>
      <c r="C1178" s="6"/>
      <c r="D1178" s="6"/>
      <c r="E1178" s="6"/>
      <c r="F1178" s="6"/>
      <c r="G1178" s="6"/>
      <c r="H1178" s="6"/>
      <c r="I1178" s="6"/>
      <c r="J1178" s="6"/>
      <c r="K1178" s="6"/>
      <c r="L1178" s="6"/>
      <c r="M1178" s="6"/>
      <c r="N1178" s="6"/>
      <c r="O1178" s="6"/>
      <c r="P1178" s="6"/>
      <c r="Q1178" s="6"/>
      <c r="R1178" s="6"/>
      <c r="S1178" s="6"/>
      <c r="T1178" s="6"/>
      <c r="U1178" s="6"/>
      <c r="V1178" s="6"/>
      <c r="W1178" s="6"/>
      <c r="X1178" s="6"/>
      <c r="Y1178" s="6"/>
      <c r="Z1178" s="6"/>
      <c r="AA1178" s="6"/>
      <c r="AB1178" s="6"/>
      <c r="AC1178" s="6"/>
      <c r="AD1178" s="6"/>
      <c r="AE1178" s="6"/>
      <c r="AF1178" s="6"/>
    </row>
    <row r="1179" spans="1:32" ht="10.199999999999999">
      <c r="A1179" s="6"/>
      <c r="B1179" s="6"/>
      <c r="C1179" s="6"/>
      <c r="D1179" s="6"/>
      <c r="E1179" s="6"/>
      <c r="F1179" s="6"/>
      <c r="G1179" s="6"/>
      <c r="H1179" s="6"/>
      <c r="I1179" s="6"/>
      <c r="J1179" s="6"/>
      <c r="K1179" s="6"/>
      <c r="L1179" s="6"/>
      <c r="M1179" s="6"/>
      <c r="N1179" s="6"/>
      <c r="O1179" s="6"/>
      <c r="P1179" s="6"/>
      <c r="Q1179" s="6"/>
      <c r="R1179" s="6"/>
      <c r="S1179" s="6"/>
      <c r="T1179" s="6"/>
      <c r="U1179" s="6"/>
      <c r="V1179" s="6"/>
      <c r="W1179" s="6"/>
      <c r="X1179" s="6"/>
      <c r="Y1179" s="6"/>
      <c r="Z1179" s="6"/>
      <c r="AA1179" s="6"/>
      <c r="AB1179" s="6"/>
      <c r="AC1179" s="6"/>
      <c r="AD1179" s="6"/>
      <c r="AE1179" s="6"/>
      <c r="AF1179" s="6"/>
    </row>
    <row r="1180" spans="1:32" ht="10.199999999999999">
      <c r="A1180" s="6"/>
      <c r="B1180" s="6"/>
      <c r="C1180" s="6"/>
      <c r="D1180" s="6"/>
      <c r="E1180" s="6"/>
      <c r="F1180" s="6"/>
      <c r="G1180" s="6"/>
      <c r="H1180" s="6"/>
      <c r="I1180" s="6"/>
      <c r="J1180" s="6"/>
      <c r="K1180" s="6"/>
      <c r="L1180" s="6"/>
      <c r="M1180" s="6"/>
      <c r="N1180" s="6"/>
      <c r="O1180" s="6"/>
      <c r="P1180" s="6"/>
      <c r="Q1180" s="6"/>
      <c r="R1180" s="6"/>
      <c r="S1180" s="6"/>
      <c r="T1180" s="6"/>
      <c r="U1180" s="6"/>
      <c r="V1180" s="6"/>
      <c r="W1180" s="6"/>
      <c r="X1180" s="6"/>
      <c r="Y1180" s="6"/>
      <c r="Z1180" s="6"/>
      <c r="AA1180" s="6"/>
      <c r="AB1180" s="6"/>
      <c r="AC1180" s="6"/>
      <c r="AD1180" s="6"/>
      <c r="AE1180" s="6"/>
      <c r="AF1180" s="6"/>
    </row>
    <row r="1181" spans="1:32" ht="10.199999999999999">
      <c r="A1181" s="6"/>
      <c r="B1181" s="6"/>
      <c r="C1181" s="6"/>
      <c r="D1181" s="6"/>
      <c r="E1181" s="6"/>
      <c r="F1181" s="6"/>
      <c r="G1181" s="6"/>
      <c r="H1181" s="6"/>
      <c r="I1181" s="6"/>
      <c r="J1181" s="6"/>
      <c r="K1181" s="6"/>
      <c r="L1181" s="6"/>
      <c r="M1181" s="6"/>
      <c r="N1181" s="6"/>
      <c r="O1181" s="6"/>
      <c r="P1181" s="6"/>
      <c r="Q1181" s="6"/>
      <c r="R1181" s="6"/>
      <c r="S1181" s="6"/>
      <c r="T1181" s="6"/>
      <c r="U1181" s="6"/>
      <c r="V1181" s="6"/>
      <c r="W1181" s="6"/>
      <c r="X1181" s="6"/>
      <c r="Y1181" s="6"/>
      <c r="Z1181" s="6"/>
      <c r="AA1181" s="6"/>
      <c r="AB1181" s="6"/>
      <c r="AC1181" s="6"/>
      <c r="AD1181" s="6"/>
      <c r="AE1181" s="6"/>
      <c r="AF1181" s="6"/>
    </row>
    <row r="1182" spans="1:32" ht="10.199999999999999">
      <c r="A1182" s="6"/>
      <c r="B1182" s="6"/>
      <c r="C1182" s="6"/>
      <c r="D1182" s="6"/>
      <c r="E1182" s="6"/>
      <c r="F1182" s="6"/>
      <c r="G1182" s="6"/>
      <c r="H1182" s="6"/>
      <c r="I1182" s="6"/>
      <c r="J1182" s="6"/>
      <c r="K1182" s="6"/>
      <c r="L1182" s="6"/>
      <c r="M1182" s="6"/>
      <c r="N1182" s="6"/>
      <c r="O1182" s="6"/>
      <c r="P1182" s="6"/>
      <c r="Q1182" s="6"/>
      <c r="R1182" s="6"/>
      <c r="S1182" s="6"/>
      <c r="T1182" s="6"/>
      <c r="U1182" s="6"/>
      <c r="V1182" s="6"/>
      <c r="W1182" s="6"/>
      <c r="X1182" s="6"/>
      <c r="Y1182" s="6"/>
      <c r="Z1182" s="6"/>
      <c r="AA1182" s="6"/>
      <c r="AB1182" s="6"/>
      <c r="AC1182" s="6"/>
      <c r="AD1182" s="6"/>
      <c r="AE1182" s="6"/>
      <c r="AF1182" s="6"/>
    </row>
    <row r="1183" spans="1:32" ht="10.199999999999999">
      <c r="A1183" s="6"/>
      <c r="B1183" s="6"/>
      <c r="C1183" s="6"/>
      <c r="D1183" s="6"/>
      <c r="E1183" s="6"/>
      <c r="F1183" s="6"/>
      <c r="G1183" s="6"/>
      <c r="H1183" s="6"/>
      <c r="I1183" s="6"/>
      <c r="J1183" s="6"/>
      <c r="K1183" s="6"/>
      <c r="L1183" s="6"/>
      <c r="M1183" s="6"/>
      <c r="N1183" s="6"/>
      <c r="O1183" s="6"/>
      <c r="P1183" s="6"/>
      <c r="Q1183" s="6"/>
      <c r="R1183" s="6"/>
      <c r="S1183" s="6"/>
      <c r="T1183" s="6"/>
      <c r="U1183" s="6"/>
      <c r="V1183" s="6"/>
      <c r="W1183" s="6"/>
      <c r="X1183" s="6"/>
      <c r="Y1183" s="6"/>
      <c r="Z1183" s="6"/>
      <c r="AA1183" s="6"/>
      <c r="AB1183" s="6"/>
      <c r="AC1183" s="6"/>
      <c r="AD1183" s="6"/>
      <c r="AE1183" s="6"/>
      <c r="AF1183" s="6"/>
    </row>
    <row r="1184" spans="1:32" ht="10.199999999999999">
      <c r="A1184" s="6"/>
      <c r="B1184" s="6"/>
      <c r="C1184" s="6"/>
      <c r="D1184" s="6"/>
      <c r="E1184" s="6"/>
      <c r="F1184" s="6"/>
      <c r="G1184" s="6"/>
      <c r="H1184" s="6"/>
      <c r="I1184" s="6"/>
      <c r="J1184" s="6"/>
      <c r="K1184" s="6"/>
      <c r="L1184" s="6"/>
      <c r="M1184" s="6"/>
      <c r="N1184" s="6"/>
      <c r="O1184" s="6"/>
      <c r="P1184" s="6"/>
      <c r="Q1184" s="6"/>
      <c r="R1184" s="6"/>
      <c r="S1184" s="6"/>
      <c r="T1184" s="6"/>
      <c r="U1184" s="6"/>
      <c r="V1184" s="6"/>
      <c r="W1184" s="6"/>
      <c r="X1184" s="6"/>
      <c r="Y1184" s="6"/>
      <c r="Z1184" s="6"/>
      <c r="AA1184" s="6"/>
      <c r="AB1184" s="6"/>
      <c r="AC1184" s="6"/>
      <c r="AD1184" s="6"/>
      <c r="AE1184" s="6"/>
      <c r="AF1184" s="6"/>
    </row>
    <row r="1185" spans="1:32" ht="10.199999999999999">
      <c r="A1185" s="6"/>
      <c r="B1185" s="6"/>
      <c r="C1185" s="6"/>
      <c r="D1185" s="6"/>
      <c r="E1185" s="6"/>
      <c r="F1185" s="6"/>
      <c r="G1185" s="6"/>
      <c r="H1185" s="6"/>
      <c r="I1185" s="6"/>
      <c r="J1185" s="6"/>
      <c r="K1185" s="6"/>
      <c r="L1185" s="6"/>
      <c r="M1185" s="6"/>
      <c r="N1185" s="6"/>
      <c r="O1185" s="6"/>
      <c r="P1185" s="6"/>
      <c r="Q1185" s="6"/>
      <c r="R1185" s="6"/>
      <c r="S1185" s="6"/>
      <c r="T1185" s="6"/>
      <c r="U1185" s="6"/>
      <c r="V1185" s="6"/>
      <c r="W1185" s="6"/>
      <c r="X1185" s="6"/>
      <c r="Y1185" s="6"/>
      <c r="Z1185" s="6"/>
      <c r="AA1185" s="6"/>
      <c r="AB1185" s="6"/>
      <c r="AC1185" s="6"/>
      <c r="AD1185" s="6"/>
      <c r="AE1185" s="6"/>
      <c r="AF1185" s="6"/>
    </row>
    <row r="1186" spans="1:32" ht="10.199999999999999">
      <c r="A1186" s="6"/>
      <c r="B1186" s="6"/>
      <c r="C1186" s="6"/>
      <c r="D1186" s="6"/>
      <c r="E1186" s="6"/>
      <c r="F1186" s="6"/>
      <c r="G1186" s="6"/>
      <c r="H1186" s="6"/>
      <c r="I1186" s="6"/>
      <c r="J1186" s="6"/>
      <c r="K1186" s="6"/>
      <c r="L1186" s="6"/>
      <c r="M1186" s="6"/>
      <c r="N1186" s="6"/>
      <c r="O1186" s="6"/>
      <c r="P1186" s="6"/>
      <c r="Q1186" s="6"/>
      <c r="R1186" s="6"/>
      <c r="S1186" s="6"/>
      <c r="T1186" s="6"/>
      <c r="U1186" s="6"/>
      <c r="V1186" s="6"/>
      <c r="W1186" s="6"/>
      <c r="X1186" s="6"/>
      <c r="Y1186" s="6"/>
      <c r="Z1186" s="6"/>
      <c r="AA1186" s="6"/>
      <c r="AB1186" s="6"/>
      <c r="AC1186" s="6"/>
      <c r="AD1186" s="6"/>
      <c r="AE1186" s="6"/>
      <c r="AF1186" s="6"/>
    </row>
    <row r="1187" spans="1:32" ht="10.199999999999999">
      <c r="A1187" s="6"/>
      <c r="B1187" s="6"/>
      <c r="C1187" s="6"/>
      <c r="D1187" s="6"/>
      <c r="E1187" s="6"/>
      <c r="F1187" s="6"/>
      <c r="G1187" s="6"/>
      <c r="H1187" s="6"/>
      <c r="I1187" s="6"/>
      <c r="J1187" s="6"/>
      <c r="K1187" s="6"/>
      <c r="L1187" s="6"/>
      <c r="M1187" s="6"/>
      <c r="N1187" s="6"/>
      <c r="O1187" s="6"/>
      <c r="P1187" s="6"/>
      <c r="Q1187" s="6"/>
      <c r="R1187" s="6"/>
      <c r="S1187" s="6"/>
      <c r="T1187" s="6"/>
      <c r="U1187" s="6"/>
      <c r="V1187" s="6"/>
      <c r="W1187" s="6"/>
      <c r="X1187" s="6"/>
      <c r="Y1187" s="6"/>
      <c r="Z1187" s="6"/>
      <c r="AA1187" s="6"/>
      <c r="AB1187" s="6"/>
      <c r="AC1187" s="6"/>
      <c r="AD1187" s="6"/>
      <c r="AE1187" s="6"/>
      <c r="AF1187" s="6"/>
    </row>
    <row r="1188" spans="1:32" ht="10.199999999999999">
      <c r="A1188" s="6"/>
      <c r="B1188" s="6"/>
      <c r="C1188" s="6"/>
      <c r="D1188" s="6"/>
      <c r="E1188" s="6"/>
      <c r="F1188" s="6"/>
      <c r="G1188" s="6"/>
      <c r="H1188" s="6"/>
      <c r="I1188" s="6"/>
      <c r="J1188" s="6"/>
      <c r="K1188" s="6"/>
      <c r="L1188" s="6"/>
      <c r="M1188" s="6"/>
      <c r="N1188" s="6"/>
      <c r="O1188" s="6"/>
      <c r="P1188" s="6"/>
      <c r="Q1188" s="6"/>
      <c r="R1188" s="6"/>
      <c r="S1188" s="6"/>
      <c r="T1188" s="6"/>
      <c r="U1188" s="6"/>
      <c r="V1188" s="6"/>
      <c r="W1188" s="6"/>
      <c r="X1188" s="6"/>
      <c r="Y1188" s="6"/>
      <c r="Z1188" s="6"/>
      <c r="AA1188" s="6"/>
      <c r="AB1188" s="6"/>
      <c r="AC1188" s="6"/>
      <c r="AD1188" s="6"/>
      <c r="AE1188" s="6"/>
      <c r="AF1188" s="6"/>
    </row>
    <row r="1189" spans="1:32" ht="10.199999999999999">
      <c r="A1189" s="6"/>
      <c r="B1189" s="6"/>
      <c r="C1189" s="6"/>
      <c r="D1189" s="6"/>
      <c r="E1189" s="6"/>
      <c r="F1189" s="6"/>
      <c r="G1189" s="6"/>
      <c r="H1189" s="6"/>
      <c r="I1189" s="6"/>
      <c r="J1189" s="6"/>
      <c r="K1189" s="6"/>
      <c r="L1189" s="6"/>
      <c r="M1189" s="6"/>
      <c r="N1189" s="6"/>
      <c r="O1189" s="6"/>
      <c r="P1189" s="6"/>
      <c r="Q1189" s="6"/>
      <c r="R1189" s="6"/>
      <c r="S1189" s="6"/>
      <c r="T1189" s="6"/>
      <c r="U1189" s="6"/>
      <c r="V1189" s="6"/>
      <c r="W1189" s="6"/>
      <c r="X1189" s="6"/>
      <c r="Y1189" s="6"/>
      <c r="Z1189" s="6"/>
      <c r="AA1189" s="6"/>
      <c r="AB1189" s="6"/>
      <c r="AC1189" s="6"/>
      <c r="AD1189" s="6"/>
      <c r="AE1189" s="6"/>
      <c r="AF1189" s="6"/>
    </row>
    <row r="1190" spans="1:32" ht="10.199999999999999">
      <c r="A1190" s="6"/>
      <c r="B1190" s="6"/>
      <c r="C1190" s="6"/>
      <c r="D1190" s="6"/>
      <c r="E1190" s="6"/>
      <c r="F1190" s="6"/>
      <c r="G1190" s="6"/>
      <c r="H1190" s="6"/>
      <c r="I1190" s="6"/>
      <c r="J1190" s="6"/>
      <c r="K1190" s="6"/>
      <c r="L1190" s="6"/>
      <c r="M1190" s="6"/>
      <c r="N1190" s="6"/>
      <c r="O1190" s="6"/>
      <c r="P1190" s="6"/>
      <c r="Q1190" s="6"/>
      <c r="R1190" s="6"/>
      <c r="S1190" s="6"/>
      <c r="T1190" s="6"/>
      <c r="U1190" s="6"/>
      <c r="V1190" s="6"/>
      <c r="W1190" s="6"/>
      <c r="X1190" s="6"/>
      <c r="Y1190" s="6"/>
      <c r="Z1190" s="6"/>
      <c r="AA1190" s="6"/>
      <c r="AB1190" s="6"/>
      <c r="AC1190" s="6"/>
      <c r="AD1190" s="6"/>
      <c r="AE1190" s="6"/>
      <c r="AF1190" s="6"/>
    </row>
    <row r="1191" spans="1:32" ht="10.199999999999999">
      <c r="A1191" s="6"/>
      <c r="B1191" s="6"/>
      <c r="C1191" s="6"/>
      <c r="D1191" s="6"/>
      <c r="E1191" s="6"/>
      <c r="F1191" s="6"/>
      <c r="G1191" s="6"/>
      <c r="H1191" s="6"/>
      <c r="I1191" s="6"/>
      <c r="J1191" s="6"/>
      <c r="K1191" s="6"/>
      <c r="L1191" s="6"/>
      <c r="M1191" s="6"/>
      <c r="N1191" s="6"/>
      <c r="O1191" s="6"/>
      <c r="P1191" s="6"/>
      <c r="Q1191" s="6"/>
      <c r="R1191" s="6"/>
      <c r="S1191" s="6"/>
      <c r="T1191" s="6"/>
      <c r="U1191" s="6"/>
      <c r="V1191" s="6"/>
      <c r="W1191" s="6"/>
      <c r="X1191" s="6"/>
      <c r="Y1191" s="6"/>
      <c r="Z1191" s="6"/>
      <c r="AA1191" s="6"/>
      <c r="AB1191" s="6"/>
      <c r="AC1191" s="6"/>
      <c r="AD1191" s="6"/>
      <c r="AE1191" s="6"/>
      <c r="AF1191" s="6"/>
    </row>
    <row r="1192" spans="1:32" ht="10.199999999999999">
      <c r="A1192" s="6"/>
      <c r="B1192" s="6"/>
      <c r="C1192" s="6"/>
      <c r="D1192" s="6"/>
      <c r="E1192" s="6"/>
      <c r="F1192" s="6"/>
      <c r="G1192" s="6"/>
      <c r="H1192" s="6"/>
      <c r="I1192" s="6"/>
      <c r="J1192" s="6"/>
      <c r="K1192" s="6"/>
      <c r="L1192" s="6"/>
      <c r="M1192" s="6"/>
      <c r="N1192" s="6"/>
      <c r="O1192" s="6"/>
      <c r="P1192" s="6"/>
      <c r="Q1192" s="6"/>
      <c r="R1192" s="6"/>
      <c r="S1192" s="6"/>
      <c r="T1192" s="6"/>
      <c r="U1192" s="6"/>
      <c r="V1192" s="6"/>
      <c r="W1192" s="6"/>
      <c r="X1192" s="6"/>
      <c r="Y1192" s="6"/>
      <c r="Z1192" s="6"/>
      <c r="AA1192" s="6"/>
      <c r="AB1192" s="6"/>
      <c r="AC1192" s="6"/>
      <c r="AD1192" s="6"/>
      <c r="AE1192" s="6"/>
      <c r="AF1192" s="6"/>
    </row>
    <row r="1193" spans="1:32" ht="10.199999999999999">
      <c r="A1193" s="6"/>
      <c r="B1193" s="6"/>
      <c r="C1193" s="6"/>
      <c r="D1193" s="6"/>
      <c r="E1193" s="6"/>
      <c r="F1193" s="6"/>
      <c r="G1193" s="6"/>
      <c r="H1193" s="6"/>
      <c r="I1193" s="6"/>
      <c r="J1193" s="6"/>
      <c r="K1193" s="6"/>
      <c r="L1193" s="6"/>
      <c r="M1193" s="6"/>
      <c r="N1193" s="6"/>
      <c r="O1193" s="6"/>
      <c r="P1193" s="6"/>
      <c r="Q1193" s="6"/>
      <c r="R1193" s="6"/>
      <c r="S1193" s="6"/>
      <c r="T1193" s="6"/>
      <c r="U1193" s="6"/>
      <c r="V1193" s="6"/>
      <c r="W1193" s="6"/>
      <c r="X1193" s="6"/>
      <c r="Y1193" s="6"/>
      <c r="Z1193" s="6"/>
      <c r="AA1193" s="6"/>
      <c r="AB1193" s="6"/>
      <c r="AC1193" s="6"/>
      <c r="AD1193" s="6"/>
      <c r="AE1193" s="6"/>
      <c r="AF1193" s="6"/>
    </row>
    <row r="1194" spans="1:32" ht="10.199999999999999">
      <c r="A1194" s="6"/>
      <c r="B1194" s="6"/>
      <c r="C1194" s="6"/>
      <c r="D1194" s="6"/>
      <c r="E1194" s="6"/>
      <c r="F1194" s="6"/>
      <c r="G1194" s="6"/>
      <c r="H1194" s="6"/>
      <c r="I1194" s="6"/>
      <c r="J1194" s="6"/>
      <c r="K1194" s="6"/>
      <c r="L1194" s="6"/>
      <c r="M1194" s="6"/>
      <c r="N1194" s="6"/>
      <c r="O1194" s="6"/>
      <c r="P1194" s="6"/>
      <c r="Q1194" s="6"/>
      <c r="R1194" s="6"/>
      <c r="S1194" s="6"/>
      <c r="T1194" s="6"/>
      <c r="U1194" s="6"/>
      <c r="V1194" s="6"/>
      <c r="W1194" s="6"/>
      <c r="X1194" s="6"/>
      <c r="Y1194" s="6"/>
      <c r="Z1194" s="6"/>
      <c r="AA1194" s="6"/>
      <c r="AB1194" s="6"/>
      <c r="AC1194" s="6"/>
      <c r="AD1194" s="6"/>
      <c r="AE1194" s="6"/>
      <c r="AF1194" s="6"/>
    </row>
    <row r="1195" spans="1:32" ht="10.199999999999999">
      <c r="A1195" s="6"/>
      <c r="B1195" s="6"/>
      <c r="C1195" s="6"/>
      <c r="D1195" s="6"/>
      <c r="E1195" s="6"/>
      <c r="F1195" s="6"/>
      <c r="G1195" s="6"/>
      <c r="H1195" s="6"/>
      <c r="I1195" s="6"/>
      <c r="J1195" s="6"/>
      <c r="K1195" s="6"/>
      <c r="L1195" s="6"/>
      <c r="M1195" s="6"/>
      <c r="N1195" s="6"/>
      <c r="O1195" s="6"/>
      <c r="P1195" s="6"/>
      <c r="Q1195" s="6"/>
      <c r="R1195" s="6"/>
      <c r="S1195" s="6"/>
      <c r="T1195" s="6"/>
      <c r="U1195" s="6"/>
      <c r="V1195" s="6"/>
      <c r="W1195" s="6"/>
      <c r="X1195" s="6"/>
      <c r="Y1195" s="6"/>
      <c r="Z1195" s="6"/>
      <c r="AA1195" s="6"/>
      <c r="AB1195" s="6"/>
      <c r="AC1195" s="6"/>
      <c r="AD1195" s="6"/>
      <c r="AE1195" s="6"/>
      <c r="AF1195" s="6"/>
    </row>
    <row r="1196" spans="1:32" ht="10.199999999999999">
      <c r="A1196" s="6"/>
      <c r="B1196" s="6"/>
      <c r="C1196" s="6"/>
      <c r="D1196" s="6"/>
      <c r="E1196" s="6"/>
      <c r="F1196" s="6"/>
      <c r="G1196" s="6"/>
      <c r="H1196" s="6"/>
      <c r="I1196" s="6"/>
      <c r="J1196" s="6"/>
      <c r="K1196" s="6"/>
      <c r="L1196" s="6"/>
      <c r="M1196" s="6"/>
      <c r="N1196" s="6"/>
      <c r="O1196" s="6"/>
      <c r="P1196" s="6"/>
      <c r="Q1196" s="6"/>
      <c r="R1196" s="6"/>
      <c r="S1196" s="6"/>
      <c r="T1196" s="6"/>
      <c r="U1196" s="6"/>
      <c r="V1196" s="6"/>
      <c r="W1196" s="6"/>
      <c r="X1196" s="6"/>
      <c r="Y1196" s="6"/>
      <c r="Z1196" s="6"/>
      <c r="AA1196" s="6"/>
      <c r="AB1196" s="6"/>
      <c r="AC1196" s="6"/>
      <c r="AD1196" s="6"/>
      <c r="AE1196" s="6"/>
      <c r="AF1196" s="6"/>
    </row>
    <row r="1197" spans="1:32" ht="10.199999999999999">
      <c r="A1197" s="6"/>
      <c r="B1197" s="6"/>
      <c r="C1197" s="6"/>
      <c r="D1197" s="6"/>
      <c r="E1197" s="6"/>
      <c r="F1197" s="6"/>
      <c r="G1197" s="6"/>
      <c r="H1197" s="6"/>
      <c r="I1197" s="6"/>
      <c r="J1197" s="6"/>
      <c r="K1197" s="6"/>
      <c r="L1197" s="6"/>
      <c r="M1197" s="6"/>
      <c r="N1197" s="6"/>
      <c r="O1197" s="6"/>
      <c r="P1197" s="6"/>
      <c r="Q1197" s="6"/>
      <c r="R1197" s="6"/>
      <c r="S1197" s="6"/>
      <c r="T1197" s="6"/>
      <c r="U1197" s="6"/>
      <c r="V1197" s="6"/>
      <c r="W1197" s="6"/>
      <c r="X1197" s="6"/>
      <c r="Y1197" s="6"/>
      <c r="Z1197" s="6"/>
      <c r="AA1197" s="6"/>
      <c r="AB1197" s="6"/>
      <c r="AC1197" s="6"/>
      <c r="AD1197" s="6"/>
      <c r="AE1197" s="6"/>
      <c r="AF1197" s="6"/>
    </row>
    <row r="1198" spans="1:32" ht="10.199999999999999">
      <c r="A1198" s="6"/>
      <c r="B1198" s="6"/>
      <c r="C1198" s="6"/>
      <c r="D1198" s="6"/>
      <c r="E1198" s="6"/>
      <c r="F1198" s="6"/>
      <c r="G1198" s="6"/>
      <c r="H1198" s="6"/>
      <c r="I1198" s="6"/>
      <c r="J1198" s="6"/>
      <c r="K1198" s="6"/>
      <c r="L1198" s="6"/>
      <c r="M1198" s="6"/>
      <c r="N1198" s="6"/>
      <c r="O1198" s="6"/>
      <c r="P1198" s="6"/>
      <c r="Q1198" s="6"/>
      <c r="R1198" s="6"/>
      <c r="S1198" s="6"/>
      <c r="T1198" s="6"/>
      <c r="U1198" s="6"/>
      <c r="V1198" s="6"/>
      <c r="W1198" s="6"/>
      <c r="X1198" s="6"/>
      <c r="Y1198" s="6"/>
      <c r="Z1198" s="6"/>
      <c r="AA1198" s="6"/>
      <c r="AB1198" s="6"/>
      <c r="AC1198" s="6"/>
      <c r="AD1198" s="6"/>
      <c r="AE1198" s="6"/>
      <c r="AF1198" s="6"/>
    </row>
    <row r="1199" spans="1:32" ht="10.199999999999999">
      <c r="A1199" s="6"/>
      <c r="B1199" s="6"/>
      <c r="C1199" s="6"/>
      <c r="D1199" s="6"/>
      <c r="E1199" s="6"/>
      <c r="F1199" s="6"/>
      <c r="G1199" s="6"/>
      <c r="H1199" s="6"/>
      <c r="I1199" s="6"/>
      <c r="J1199" s="6"/>
      <c r="K1199" s="6"/>
      <c r="L1199" s="6"/>
      <c r="M1199" s="6"/>
      <c r="N1199" s="6"/>
      <c r="O1199" s="6"/>
      <c r="P1199" s="6"/>
      <c r="Q1199" s="6"/>
      <c r="R1199" s="6"/>
      <c r="S1199" s="6"/>
      <c r="T1199" s="6"/>
      <c r="U1199" s="6"/>
      <c r="V1199" s="6"/>
      <c r="W1199" s="6"/>
      <c r="X1199" s="6"/>
      <c r="Y1199" s="6"/>
      <c r="Z1199" s="6"/>
      <c r="AA1199" s="6"/>
      <c r="AB1199" s="6"/>
      <c r="AC1199" s="6"/>
      <c r="AD1199" s="6"/>
      <c r="AE1199" s="6"/>
      <c r="AF1199" s="6"/>
    </row>
    <row r="1200" spans="1:32" ht="10.199999999999999">
      <c r="A1200" s="6"/>
      <c r="B1200" s="6"/>
      <c r="C1200" s="6"/>
      <c r="D1200" s="6"/>
      <c r="E1200" s="6"/>
      <c r="F1200" s="6"/>
      <c r="G1200" s="6"/>
      <c r="H1200" s="6"/>
      <c r="I1200" s="6"/>
      <c r="J1200" s="6"/>
      <c r="K1200" s="6"/>
      <c r="L1200" s="6"/>
      <c r="M1200" s="6"/>
      <c r="N1200" s="6"/>
      <c r="O1200" s="6"/>
      <c r="P1200" s="6"/>
      <c r="Q1200" s="6"/>
      <c r="R1200" s="6"/>
      <c r="S1200" s="6"/>
      <c r="T1200" s="6"/>
      <c r="U1200" s="6"/>
      <c r="V1200" s="6"/>
      <c r="W1200" s="6"/>
      <c r="X1200" s="6"/>
      <c r="Y1200" s="6"/>
      <c r="Z1200" s="6"/>
      <c r="AA1200" s="6"/>
      <c r="AB1200" s="6"/>
      <c r="AC1200" s="6"/>
      <c r="AD1200" s="6"/>
      <c r="AE1200" s="6"/>
      <c r="AF1200" s="6"/>
    </row>
    <row r="1201" spans="1:32" ht="10.199999999999999">
      <c r="A1201" s="6"/>
      <c r="B1201" s="6"/>
      <c r="C1201" s="6"/>
      <c r="D1201" s="6"/>
      <c r="E1201" s="6"/>
      <c r="F1201" s="6"/>
      <c r="G1201" s="6"/>
      <c r="H1201" s="6"/>
      <c r="I1201" s="6"/>
      <c r="J1201" s="6"/>
      <c r="K1201" s="6"/>
      <c r="L1201" s="6"/>
      <c r="M1201" s="6"/>
      <c r="N1201" s="6"/>
      <c r="O1201" s="6"/>
      <c r="P1201" s="6"/>
      <c r="Q1201" s="6"/>
      <c r="R1201" s="6"/>
      <c r="S1201" s="6"/>
      <c r="T1201" s="6"/>
      <c r="U1201" s="6"/>
      <c r="V1201" s="6"/>
      <c r="W1201" s="6"/>
      <c r="X1201" s="6"/>
      <c r="Y1201" s="6"/>
      <c r="Z1201" s="6"/>
      <c r="AA1201" s="6"/>
      <c r="AB1201" s="6"/>
      <c r="AC1201" s="6"/>
      <c r="AD1201" s="6"/>
      <c r="AE1201" s="6"/>
      <c r="AF1201" s="6"/>
    </row>
    <row r="1202" spans="1:32" ht="10.199999999999999">
      <c r="A1202" s="6"/>
      <c r="B1202" s="6"/>
      <c r="C1202" s="6"/>
      <c r="D1202" s="6"/>
      <c r="E1202" s="6"/>
      <c r="F1202" s="6"/>
      <c r="G1202" s="6"/>
      <c r="H1202" s="6"/>
      <c r="I1202" s="6"/>
      <c r="J1202" s="6"/>
      <c r="K1202" s="6"/>
      <c r="L1202" s="6"/>
      <c r="M1202" s="6"/>
      <c r="N1202" s="6"/>
      <c r="O1202" s="6"/>
      <c r="P1202" s="6"/>
      <c r="Q1202" s="6"/>
      <c r="R1202" s="6"/>
      <c r="S1202" s="6"/>
      <c r="T1202" s="6"/>
      <c r="U1202" s="6"/>
      <c r="V1202" s="6"/>
      <c r="W1202" s="6"/>
      <c r="X1202" s="6"/>
      <c r="Y1202" s="6"/>
      <c r="Z1202" s="6"/>
      <c r="AA1202" s="6"/>
      <c r="AB1202" s="6"/>
      <c r="AC1202" s="6"/>
      <c r="AD1202" s="6"/>
      <c r="AE1202" s="6"/>
      <c r="AF1202" s="6"/>
    </row>
    <row r="1203" spans="1:32" ht="10.199999999999999">
      <c r="A1203" s="6"/>
      <c r="B1203" s="6"/>
      <c r="C1203" s="6"/>
      <c r="D1203" s="6"/>
      <c r="E1203" s="6"/>
      <c r="F1203" s="6"/>
      <c r="G1203" s="6"/>
      <c r="H1203" s="6"/>
      <c r="I1203" s="6"/>
      <c r="J1203" s="6"/>
      <c r="K1203" s="6"/>
      <c r="L1203" s="6"/>
      <c r="M1203" s="6"/>
      <c r="N1203" s="6"/>
      <c r="O1203" s="6"/>
      <c r="P1203" s="6"/>
      <c r="Q1203" s="6"/>
      <c r="R1203" s="6"/>
      <c r="S1203" s="6"/>
      <c r="T1203" s="6"/>
      <c r="U1203" s="6"/>
      <c r="V1203" s="6"/>
      <c r="W1203" s="6"/>
      <c r="X1203" s="6"/>
      <c r="Y1203" s="6"/>
      <c r="Z1203" s="6"/>
      <c r="AA1203" s="6"/>
      <c r="AB1203" s="6"/>
      <c r="AC1203" s="6"/>
      <c r="AD1203" s="6"/>
      <c r="AE1203" s="6"/>
      <c r="AF1203" s="6"/>
    </row>
    <row r="1204" spans="1:32" ht="10.199999999999999">
      <c r="A1204" s="6"/>
      <c r="B1204" s="6"/>
      <c r="C1204" s="6"/>
      <c r="D1204" s="6"/>
      <c r="E1204" s="6"/>
      <c r="F1204" s="6"/>
      <c r="G1204" s="6"/>
      <c r="H1204" s="6"/>
      <c r="I1204" s="6"/>
      <c r="J1204" s="6"/>
      <c r="K1204" s="6"/>
      <c r="L1204" s="6"/>
      <c r="M1204" s="6"/>
      <c r="N1204" s="6"/>
      <c r="O1204" s="6"/>
      <c r="P1204" s="6"/>
      <c r="Q1204" s="6"/>
      <c r="R1204" s="6"/>
      <c r="S1204" s="6"/>
      <c r="T1204" s="6"/>
      <c r="U1204" s="6"/>
      <c r="V1204" s="6"/>
      <c r="W1204" s="6"/>
      <c r="X1204" s="6"/>
      <c r="Y1204" s="6"/>
      <c r="Z1204" s="6"/>
      <c r="AA1204" s="6"/>
      <c r="AB1204" s="6"/>
      <c r="AC1204" s="6"/>
      <c r="AD1204" s="6"/>
      <c r="AE1204" s="6"/>
      <c r="AF1204" s="6"/>
    </row>
    <row r="1205" spans="1:32" ht="10.199999999999999">
      <c r="A1205" s="6"/>
      <c r="B1205" s="6"/>
      <c r="C1205" s="6"/>
      <c r="D1205" s="6"/>
      <c r="E1205" s="6"/>
      <c r="F1205" s="6"/>
      <c r="G1205" s="6"/>
      <c r="H1205" s="6"/>
      <c r="I1205" s="6"/>
      <c r="J1205" s="6"/>
      <c r="K1205" s="6"/>
      <c r="L1205" s="6"/>
      <c r="M1205" s="6"/>
      <c r="N1205" s="6"/>
      <c r="O1205" s="6"/>
      <c r="P1205" s="6"/>
      <c r="Q1205" s="6"/>
      <c r="R1205" s="6"/>
      <c r="S1205" s="6"/>
      <c r="T1205" s="6"/>
      <c r="U1205" s="6"/>
      <c r="V1205" s="6"/>
      <c r="W1205" s="6"/>
      <c r="X1205" s="6"/>
      <c r="Y1205" s="6"/>
      <c r="Z1205" s="6"/>
      <c r="AA1205" s="6"/>
      <c r="AB1205" s="6"/>
      <c r="AC1205" s="6"/>
      <c r="AD1205" s="6"/>
      <c r="AE1205" s="6"/>
      <c r="AF1205" s="6"/>
    </row>
    <row r="1206" spans="1:32" ht="10.199999999999999">
      <c r="A1206" s="6"/>
      <c r="B1206" s="6"/>
      <c r="C1206" s="6"/>
      <c r="D1206" s="6"/>
      <c r="E1206" s="6"/>
      <c r="F1206" s="6"/>
      <c r="G1206" s="6"/>
      <c r="H1206" s="6"/>
      <c r="I1206" s="6"/>
      <c r="J1206" s="6"/>
      <c r="K1206" s="6"/>
      <c r="L1206" s="6"/>
      <c r="M1206" s="6"/>
      <c r="N1206" s="6"/>
      <c r="O1206" s="6"/>
      <c r="P1206" s="6"/>
      <c r="Q1206" s="6"/>
      <c r="R1206" s="6"/>
      <c r="S1206" s="6"/>
      <c r="T1206" s="6"/>
      <c r="U1206" s="6"/>
      <c r="V1206" s="6"/>
      <c r="W1206" s="6"/>
      <c r="X1206" s="6"/>
      <c r="Y1206" s="6"/>
      <c r="Z1206" s="6"/>
      <c r="AA1206" s="6"/>
      <c r="AB1206" s="6"/>
      <c r="AC1206" s="6"/>
      <c r="AD1206" s="6"/>
      <c r="AE1206" s="6"/>
      <c r="AF1206" s="6"/>
    </row>
    <row r="1207" spans="1:32" ht="10.199999999999999">
      <c r="A1207" s="6"/>
      <c r="B1207" s="6"/>
      <c r="C1207" s="6"/>
      <c r="D1207" s="6"/>
      <c r="E1207" s="6"/>
      <c r="F1207" s="6"/>
      <c r="G1207" s="6"/>
      <c r="H1207" s="6"/>
      <c r="I1207" s="6"/>
      <c r="J1207" s="6"/>
      <c r="K1207" s="6"/>
      <c r="L1207" s="6"/>
      <c r="M1207" s="6"/>
      <c r="N1207" s="6"/>
      <c r="O1207" s="6"/>
      <c r="P1207" s="6"/>
      <c r="Q1207" s="6"/>
      <c r="R1207" s="6"/>
      <c r="S1207" s="6"/>
      <c r="T1207" s="6"/>
      <c r="U1207" s="6"/>
      <c r="V1207" s="6"/>
      <c r="W1207" s="6"/>
      <c r="X1207" s="6"/>
      <c r="Y1207" s="6"/>
      <c r="Z1207" s="6"/>
      <c r="AA1207" s="6"/>
      <c r="AB1207" s="6"/>
      <c r="AC1207" s="6"/>
      <c r="AD1207" s="6"/>
      <c r="AE1207" s="6"/>
      <c r="AF1207" s="6"/>
    </row>
    <row r="1208" spans="1:32" ht="10.199999999999999">
      <c r="A1208" s="6"/>
      <c r="B1208" s="6"/>
      <c r="C1208" s="6"/>
      <c r="D1208" s="6"/>
      <c r="E1208" s="6"/>
      <c r="F1208" s="6"/>
      <c r="G1208" s="6"/>
      <c r="H1208" s="6"/>
      <c r="I1208" s="6"/>
      <c r="J1208" s="6"/>
      <c r="K1208" s="6"/>
      <c r="L1208" s="6"/>
      <c r="M1208" s="6"/>
      <c r="N1208" s="6"/>
      <c r="O1208" s="6"/>
      <c r="P1208" s="6"/>
      <c r="Q1208" s="6"/>
      <c r="R1208" s="6"/>
      <c r="S1208" s="6"/>
      <c r="T1208" s="6"/>
      <c r="U1208" s="6"/>
      <c r="V1208" s="6"/>
      <c r="W1208" s="6"/>
      <c r="X1208" s="6"/>
      <c r="Y1208" s="6"/>
      <c r="Z1208" s="6"/>
      <c r="AA1208" s="6"/>
      <c r="AB1208" s="6"/>
      <c r="AC1208" s="6"/>
      <c r="AD1208" s="6"/>
      <c r="AE1208" s="6"/>
      <c r="AF1208" s="6"/>
    </row>
    <row r="1209" spans="1:32" ht="10.199999999999999">
      <c r="A1209" s="6"/>
      <c r="B1209" s="6"/>
      <c r="C1209" s="6"/>
      <c r="D1209" s="6"/>
      <c r="E1209" s="6"/>
      <c r="F1209" s="6"/>
      <c r="G1209" s="6"/>
      <c r="H1209" s="6"/>
      <c r="I1209" s="6"/>
      <c r="J1209" s="6"/>
      <c r="K1209" s="6"/>
      <c r="L1209" s="6"/>
      <c r="M1209" s="6"/>
      <c r="N1209" s="6"/>
      <c r="O1209" s="6"/>
      <c r="P1209" s="6"/>
      <c r="Q1209" s="6"/>
      <c r="R1209" s="6"/>
      <c r="S1209" s="6"/>
      <c r="T1209" s="6"/>
      <c r="U1209" s="6"/>
      <c r="V1209" s="6"/>
      <c r="W1209" s="6"/>
      <c r="X1209" s="6"/>
      <c r="Y1209" s="6"/>
      <c r="Z1209" s="6"/>
      <c r="AA1209" s="6"/>
      <c r="AB1209" s="6"/>
      <c r="AC1209" s="6"/>
      <c r="AD1209" s="6"/>
      <c r="AE1209" s="6"/>
      <c r="AF1209" s="6"/>
    </row>
    <row r="1210" spans="1:32" ht="10.199999999999999">
      <c r="A1210" s="6"/>
      <c r="B1210" s="6"/>
      <c r="C1210" s="6"/>
      <c r="D1210" s="6"/>
      <c r="E1210" s="6"/>
      <c r="F1210" s="6"/>
      <c r="G1210" s="6"/>
      <c r="H1210" s="6"/>
      <c r="I1210" s="6"/>
      <c r="J1210" s="6"/>
      <c r="K1210" s="6"/>
      <c r="L1210" s="6"/>
      <c r="M1210" s="6"/>
      <c r="N1210" s="6"/>
      <c r="O1210" s="6"/>
      <c r="P1210" s="6"/>
      <c r="Q1210" s="6"/>
      <c r="R1210" s="6"/>
      <c r="S1210" s="6"/>
      <c r="T1210" s="6"/>
      <c r="U1210" s="6"/>
      <c r="V1210" s="6"/>
      <c r="W1210" s="6"/>
      <c r="X1210" s="6"/>
      <c r="Y1210" s="6"/>
      <c r="Z1210" s="6"/>
      <c r="AA1210" s="6"/>
      <c r="AB1210" s="6"/>
      <c r="AC1210" s="6"/>
      <c r="AD1210" s="6"/>
      <c r="AE1210" s="6"/>
      <c r="AF1210" s="6"/>
    </row>
    <row r="1211" spans="1:32" ht="10.199999999999999">
      <c r="A1211" s="6"/>
      <c r="B1211" s="6"/>
      <c r="C1211" s="6"/>
      <c r="D1211" s="6"/>
      <c r="E1211" s="6"/>
      <c r="F1211" s="6"/>
      <c r="G1211" s="6"/>
      <c r="H1211" s="6"/>
      <c r="I1211" s="6"/>
      <c r="J1211" s="6"/>
      <c r="K1211" s="6"/>
      <c r="L1211" s="6"/>
      <c r="M1211" s="6"/>
      <c r="N1211" s="6"/>
      <c r="O1211" s="6"/>
      <c r="P1211" s="6"/>
      <c r="Q1211" s="6"/>
      <c r="R1211" s="6"/>
      <c r="S1211" s="6"/>
      <c r="T1211" s="6"/>
      <c r="U1211" s="6"/>
      <c r="V1211" s="6"/>
      <c r="W1211" s="6"/>
      <c r="X1211" s="6"/>
      <c r="Y1211" s="6"/>
      <c r="Z1211" s="6"/>
      <c r="AA1211" s="6"/>
      <c r="AB1211" s="6"/>
      <c r="AC1211" s="6"/>
      <c r="AD1211" s="6"/>
      <c r="AE1211" s="6"/>
      <c r="AF1211" s="6"/>
    </row>
    <row r="1212" spans="1:32" ht="10.199999999999999">
      <c r="A1212" s="6"/>
      <c r="B1212" s="6"/>
      <c r="C1212" s="6"/>
      <c r="D1212" s="6"/>
      <c r="E1212" s="6"/>
      <c r="F1212" s="6"/>
      <c r="G1212" s="6"/>
      <c r="H1212" s="6"/>
      <c r="I1212" s="6"/>
      <c r="J1212" s="6"/>
      <c r="K1212" s="6"/>
      <c r="L1212" s="6"/>
      <c r="M1212" s="6"/>
      <c r="N1212" s="6"/>
      <c r="O1212" s="6"/>
      <c r="P1212" s="6"/>
      <c r="Q1212" s="6"/>
      <c r="R1212" s="6"/>
      <c r="S1212" s="6"/>
      <c r="T1212" s="6"/>
      <c r="U1212" s="6"/>
      <c r="V1212" s="6"/>
      <c r="W1212" s="6"/>
      <c r="X1212" s="6"/>
      <c r="Y1212" s="6"/>
      <c r="Z1212" s="6"/>
      <c r="AA1212" s="6"/>
      <c r="AB1212" s="6"/>
      <c r="AC1212" s="6"/>
      <c r="AD1212" s="6"/>
      <c r="AE1212" s="6"/>
      <c r="AF1212" s="6"/>
    </row>
    <row r="1213" spans="1:32" ht="10.199999999999999">
      <c r="A1213" s="6"/>
      <c r="B1213" s="6"/>
      <c r="C1213" s="6"/>
      <c r="D1213" s="6"/>
      <c r="E1213" s="6"/>
      <c r="F1213" s="6"/>
      <c r="G1213" s="6"/>
      <c r="H1213" s="6"/>
      <c r="I1213" s="6"/>
      <c r="J1213" s="6"/>
      <c r="K1213" s="6"/>
      <c r="L1213" s="6"/>
      <c r="M1213" s="6"/>
      <c r="N1213" s="6"/>
      <c r="O1213" s="6"/>
      <c r="P1213" s="6"/>
      <c r="Q1213" s="6"/>
      <c r="R1213" s="6"/>
      <c r="S1213" s="6"/>
      <c r="T1213" s="6"/>
      <c r="U1213" s="6"/>
      <c r="V1213" s="6"/>
      <c r="W1213" s="6"/>
      <c r="X1213" s="6"/>
      <c r="Y1213" s="6"/>
      <c r="Z1213" s="6"/>
      <c r="AA1213" s="6"/>
      <c r="AB1213" s="6"/>
      <c r="AC1213" s="6"/>
      <c r="AD1213" s="6"/>
      <c r="AE1213" s="6"/>
      <c r="AF1213" s="6"/>
    </row>
    <row r="1214" spans="1:32" ht="10.199999999999999">
      <c r="A1214" s="6"/>
      <c r="B1214" s="6"/>
      <c r="C1214" s="6"/>
      <c r="D1214" s="6"/>
      <c r="E1214" s="6"/>
      <c r="F1214" s="6"/>
      <c r="G1214" s="6"/>
      <c r="H1214" s="6"/>
      <c r="I1214" s="6"/>
      <c r="J1214" s="6"/>
      <c r="K1214" s="6"/>
      <c r="L1214" s="6"/>
      <c r="M1214" s="6"/>
      <c r="N1214" s="6"/>
      <c r="O1214" s="6"/>
      <c r="P1214" s="6"/>
      <c r="Q1214" s="6"/>
      <c r="R1214" s="6"/>
      <c r="S1214" s="6"/>
      <c r="T1214" s="6"/>
      <c r="U1214" s="6"/>
      <c r="V1214" s="6"/>
      <c r="W1214" s="6"/>
      <c r="X1214" s="6"/>
      <c r="Y1214" s="6"/>
      <c r="Z1214" s="6"/>
      <c r="AA1214" s="6"/>
      <c r="AB1214" s="6"/>
      <c r="AC1214" s="6"/>
      <c r="AD1214" s="6"/>
      <c r="AE1214" s="6"/>
      <c r="AF1214" s="6"/>
    </row>
  </sheetData>
  <mergeCells count="27">
    <mergeCell ref="H149:J149"/>
    <mergeCell ref="D157:I157"/>
    <mergeCell ref="D168:I168"/>
    <mergeCell ref="D179:I179"/>
    <mergeCell ref="D190:I190"/>
    <mergeCell ref="G205:J205"/>
    <mergeCell ref="K205:N205"/>
    <mergeCell ref="C218:F218"/>
    <mergeCell ref="G218:J218"/>
    <mergeCell ref="K218:N218"/>
    <mergeCell ref="C56:D56"/>
    <mergeCell ref="B58:F58"/>
    <mergeCell ref="B64:F64"/>
    <mergeCell ref="B93:E93"/>
    <mergeCell ref="C205:F205"/>
    <mergeCell ref="C111:F111"/>
    <mergeCell ref="C123:F123"/>
    <mergeCell ref="B51:E51"/>
    <mergeCell ref="C52:D52"/>
    <mergeCell ref="C53:D53"/>
    <mergeCell ref="C54:D54"/>
    <mergeCell ref="C55:D55"/>
    <mergeCell ref="B2:H2"/>
    <mergeCell ref="J2:K2"/>
    <mergeCell ref="B47:E47"/>
    <mergeCell ref="B48:E48"/>
    <mergeCell ref="B49:E49"/>
  </mergeCells>
  <hyperlinks>
    <hyperlink ref="B47" r:id="rId1" xr:uid="{00000000-0004-0000-0100-000000000000}"/>
    <hyperlink ref="B48" r:id="rId2" xr:uid="{00000000-0004-0000-0100-000001000000}"/>
  </hyperlinks>
  <pageMargins left="0.7" right="0.7" top="0.75" bottom="0.75" header="0.3" footer="0.3"/>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J1000"/>
  <sheetViews>
    <sheetView workbookViewId="0"/>
  </sheetViews>
  <sheetFormatPr defaultColWidth="16.85546875" defaultRowHeight="15" customHeight="1"/>
  <cols>
    <col min="1" max="1" width="3" customWidth="1"/>
    <col min="2" max="2" width="15.7109375" customWidth="1"/>
    <col min="3" max="3" width="37.7109375" customWidth="1"/>
    <col min="4" max="6" width="15.28515625" customWidth="1"/>
    <col min="7" max="7" width="12" customWidth="1"/>
    <col min="8" max="8" width="14.7109375" customWidth="1"/>
    <col min="9" max="10" width="8.85546875" customWidth="1"/>
  </cols>
  <sheetData>
    <row r="1" spans="2:10" ht="11.25" customHeight="1"/>
    <row r="2" spans="2:10" ht="11.25" customHeight="1">
      <c r="C2" s="315" t="s">
        <v>558</v>
      </c>
      <c r="F2" s="1"/>
      <c r="G2" s="316"/>
      <c r="H2" s="316"/>
    </row>
    <row r="3" spans="2:10" ht="11.25" customHeight="1">
      <c r="G3" s="316"/>
      <c r="H3" s="316"/>
    </row>
    <row r="4" spans="2:10" ht="11.25" customHeight="1">
      <c r="B4" s="317"/>
      <c r="C4" s="318"/>
      <c r="D4" s="2860">
        <v>2017</v>
      </c>
      <c r="E4" s="2861"/>
      <c r="F4" s="2859"/>
      <c r="G4" s="319"/>
      <c r="H4" s="320" t="s">
        <v>545</v>
      </c>
    </row>
    <row r="5" spans="2:10" ht="11.25" customHeight="1">
      <c r="B5" s="321"/>
      <c r="C5" s="322"/>
      <c r="D5" s="323" t="s">
        <v>559</v>
      </c>
      <c r="E5" s="323" t="s">
        <v>560</v>
      </c>
      <c r="F5" s="323" t="s">
        <v>561</v>
      </c>
      <c r="G5" s="323" t="s">
        <v>562</v>
      </c>
      <c r="H5" s="323" t="s">
        <v>524</v>
      </c>
    </row>
    <row r="6" spans="2:10" ht="11.25" customHeight="1">
      <c r="B6" s="324"/>
      <c r="C6" s="319"/>
      <c r="D6" s="325" t="s">
        <v>563</v>
      </c>
      <c r="E6" s="325" t="s">
        <v>564</v>
      </c>
      <c r="F6" s="325" t="s">
        <v>565</v>
      </c>
      <c r="G6" s="319"/>
      <c r="H6" s="319"/>
    </row>
    <row r="7" spans="2:10" ht="11.25" customHeight="1">
      <c r="B7" s="326"/>
      <c r="C7" s="327" t="s">
        <v>566</v>
      </c>
      <c r="D7" s="328"/>
      <c r="E7" s="328"/>
      <c r="F7" s="328"/>
      <c r="G7" s="329"/>
      <c r="H7" s="329"/>
    </row>
    <row r="8" spans="2:10" ht="11.25" customHeight="1">
      <c r="B8" s="329"/>
      <c r="C8" s="327" t="s">
        <v>567</v>
      </c>
      <c r="D8" s="328"/>
      <c r="E8" s="328"/>
      <c r="F8" s="328"/>
      <c r="G8" s="329"/>
      <c r="H8" s="329"/>
    </row>
    <row r="9" spans="2:10" ht="11.25" customHeight="1">
      <c r="B9" s="330" t="s">
        <v>568</v>
      </c>
      <c r="C9" s="331" t="s">
        <v>569</v>
      </c>
      <c r="D9" s="332"/>
      <c r="E9" s="333"/>
      <c r="F9" s="332"/>
      <c r="G9" s="334">
        <f>SUM(D9:F9)</f>
        <v>0</v>
      </c>
      <c r="H9" s="335"/>
    </row>
    <row r="10" spans="2:10" ht="11.25" customHeight="1">
      <c r="B10" s="329"/>
      <c r="C10" s="329"/>
      <c r="D10" s="328"/>
      <c r="E10" s="328"/>
      <c r="F10" s="328"/>
      <c r="G10" s="329"/>
      <c r="H10" s="329"/>
    </row>
    <row r="11" spans="2:10" ht="11.25" customHeight="1">
      <c r="B11" s="329"/>
      <c r="C11" s="336" t="s">
        <v>570</v>
      </c>
      <c r="D11" s="337"/>
      <c r="E11" s="338"/>
      <c r="F11" s="338"/>
      <c r="G11" s="338">
        <f t="shared" ref="G11:G13" si="0">(D11+E11+F11)</f>
        <v>0</v>
      </c>
      <c r="H11" s="339">
        <f t="shared" ref="H11:H13" si="1">G11*1.1023</f>
        <v>0</v>
      </c>
      <c r="J11" s="340"/>
    </row>
    <row r="12" spans="2:10" ht="11.25" customHeight="1">
      <c r="B12" s="329"/>
      <c r="C12" s="326" t="s">
        <v>571</v>
      </c>
      <c r="D12" s="341">
        <v>0</v>
      </c>
      <c r="E12" s="342"/>
      <c r="F12" s="342"/>
      <c r="G12" s="342">
        <f t="shared" si="0"/>
        <v>0</v>
      </c>
      <c r="H12" s="342">
        <f t="shared" si="1"/>
        <v>0</v>
      </c>
    </row>
    <row r="13" spans="2:10" ht="11.25" customHeight="1">
      <c r="B13" s="343"/>
      <c r="C13" s="344" t="s">
        <v>572</v>
      </c>
      <c r="D13" s="345">
        <v>0</v>
      </c>
      <c r="E13" s="346"/>
      <c r="F13" s="347"/>
      <c r="G13" s="346">
        <f t="shared" si="0"/>
        <v>0</v>
      </c>
      <c r="H13" s="346">
        <f t="shared" si="1"/>
        <v>0</v>
      </c>
    </row>
    <row r="14" spans="2:10" ht="11.25" customHeight="1">
      <c r="B14" s="348"/>
      <c r="C14" s="348"/>
      <c r="D14" s="349"/>
      <c r="E14" s="349"/>
      <c r="F14" s="349"/>
      <c r="G14" s="348"/>
      <c r="H14" s="348"/>
    </row>
    <row r="15" spans="2:10" ht="11.25" customHeight="1">
      <c r="B15" s="329"/>
      <c r="C15" s="329"/>
      <c r="D15" s="350" t="s">
        <v>559</v>
      </c>
      <c r="E15" s="350" t="s">
        <v>560</v>
      </c>
      <c r="F15" s="350" t="s">
        <v>561</v>
      </c>
      <c r="G15" s="351"/>
      <c r="H15" s="351"/>
    </row>
    <row r="16" spans="2:10" ht="11.25" customHeight="1">
      <c r="B16" s="329"/>
      <c r="C16" s="329"/>
      <c r="D16" s="352" t="s">
        <v>563</v>
      </c>
      <c r="E16" s="352" t="s">
        <v>564</v>
      </c>
      <c r="F16" s="352" t="s">
        <v>565</v>
      </c>
      <c r="G16" s="329"/>
      <c r="H16" s="329"/>
    </row>
    <row r="17" spans="2:8" ht="11.25" customHeight="1">
      <c r="B17" s="326"/>
      <c r="C17" s="327" t="s">
        <v>566</v>
      </c>
      <c r="D17" s="328"/>
      <c r="E17" s="328"/>
      <c r="F17" s="328"/>
      <c r="G17" s="329"/>
      <c r="H17" s="329"/>
    </row>
    <row r="18" spans="2:8" ht="11.25" customHeight="1">
      <c r="B18" s="329"/>
      <c r="C18" s="327" t="s">
        <v>567</v>
      </c>
      <c r="D18" s="328"/>
      <c r="E18" s="328"/>
      <c r="F18" s="328"/>
      <c r="G18" s="329"/>
      <c r="H18" s="329"/>
    </row>
    <row r="19" spans="2:8" ht="11.25" customHeight="1">
      <c r="B19" s="353" t="s">
        <v>573</v>
      </c>
      <c r="C19" s="331" t="s">
        <v>569</v>
      </c>
      <c r="D19" s="332"/>
      <c r="E19" s="333"/>
      <c r="F19" s="332"/>
      <c r="G19" s="354">
        <f>SUM(D19:F19)</f>
        <v>0</v>
      </c>
      <c r="H19" s="335"/>
    </row>
    <row r="20" spans="2:8" ht="11.25" customHeight="1">
      <c r="B20" s="329"/>
      <c r="C20" s="355"/>
      <c r="D20" s="356"/>
      <c r="E20" s="357"/>
      <c r="F20" s="356"/>
      <c r="G20" s="329"/>
      <c r="H20" s="329"/>
    </row>
    <row r="21" spans="2:8" ht="11.25" customHeight="1">
      <c r="B21" s="329"/>
      <c r="C21" s="336" t="s">
        <v>574</v>
      </c>
      <c r="D21" s="337"/>
      <c r="E21" s="338"/>
      <c r="F21" s="338"/>
      <c r="G21" s="338">
        <f t="shared" ref="G21:G23" si="2">(D21+E21+F21)</f>
        <v>0</v>
      </c>
      <c r="H21" s="339">
        <f t="shared" ref="H21:H23" si="3">G21*1.1023</f>
        <v>0</v>
      </c>
    </row>
    <row r="22" spans="2:8" ht="11.25" customHeight="1">
      <c r="B22" s="329"/>
      <c r="C22" s="326" t="s">
        <v>575</v>
      </c>
      <c r="D22" s="342">
        <v>0</v>
      </c>
      <c r="E22" s="342"/>
      <c r="F22" s="342"/>
      <c r="G22" s="342">
        <f t="shared" si="2"/>
        <v>0</v>
      </c>
      <c r="H22" s="342">
        <f t="shared" si="3"/>
        <v>0</v>
      </c>
    </row>
    <row r="23" spans="2:8" ht="11.25" customHeight="1">
      <c r="B23" s="343"/>
      <c r="C23" s="344" t="s">
        <v>576</v>
      </c>
      <c r="D23" s="346">
        <v>0</v>
      </c>
      <c r="E23" s="346"/>
      <c r="F23" s="346"/>
      <c r="G23" s="346">
        <f t="shared" si="2"/>
        <v>0</v>
      </c>
      <c r="H23" s="346">
        <f t="shared" si="3"/>
        <v>0</v>
      </c>
    </row>
    <row r="24" spans="2:8" ht="11.25" customHeight="1">
      <c r="B24" s="348"/>
      <c r="C24" s="348"/>
      <c r="D24" s="349"/>
      <c r="E24" s="349"/>
      <c r="F24" s="349"/>
      <c r="G24" s="348"/>
      <c r="H24" s="348"/>
    </row>
    <row r="25" spans="2:8" ht="11.25" customHeight="1">
      <c r="B25" s="329"/>
      <c r="C25" s="329"/>
      <c r="D25" s="350" t="s">
        <v>559</v>
      </c>
      <c r="E25" s="350" t="s">
        <v>560</v>
      </c>
      <c r="F25" s="350" t="s">
        <v>561</v>
      </c>
      <c r="G25" s="351"/>
      <c r="H25" s="351"/>
    </row>
    <row r="26" spans="2:8" ht="11.25" customHeight="1">
      <c r="B26" s="329"/>
      <c r="C26" s="329"/>
      <c r="D26" s="352" t="s">
        <v>563</v>
      </c>
      <c r="E26" s="352" t="s">
        <v>564</v>
      </c>
      <c r="F26" s="352" t="s">
        <v>565</v>
      </c>
      <c r="G26" s="329"/>
      <c r="H26" s="329"/>
    </row>
    <row r="27" spans="2:8" ht="11.25" customHeight="1">
      <c r="B27" s="326"/>
      <c r="C27" s="327" t="s">
        <v>566</v>
      </c>
      <c r="D27" s="328"/>
      <c r="E27" s="328"/>
      <c r="F27" s="328"/>
      <c r="G27" s="329"/>
      <c r="H27" s="329"/>
    </row>
    <row r="28" spans="2:8" ht="11.25" customHeight="1">
      <c r="B28" s="329"/>
      <c r="C28" s="327" t="s">
        <v>567</v>
      </c>
      <c r="D28" s="328"/>
      <c r="E28" s="328"/>
      <c r="F28" s="328"/>
      <c r="G28" s="329"/>
      <c r="H28" s="329"/>
    </row>
    <row r="29" spans="2:8" ht="11.25" customHeight="1">
      <c r="B29" s="353" t="s">
        <v>577</v>
      </c>
      <c r="C29" s="331" t="s">
        <v>569</v>
      </c>
      <c r="D29" s="332"/>
      <c r="E29" s="333"/>
      <c r="F29" s="332"/>
      <c r="G29" s="354">
        <f>SUM(D29:F29)</f>
        <v>0</v>
      </c>
      <c r="H29" s="335"/>
    </row>
    <row r="30" spans="2:8" ht="11.25" customHeight="1">
      <c r="B30" s="329"/>
      <c r="C30" s="355"/>
      <c r="D30" s="356"/>
      <c r="E30" s="357"/>
      <c r="F30" s="356"/>
      <c r="G30" s="329"/>
      <c r="H30" s="329"/>
    </row>
    <row r="31" spans="2:8" ht="11.25" customHeight="1">
      <c r="B31" s="329"/>
      <c r="C31" s="336" t="s">
        <v>578</v>
      </c>
      <c r="D31" s="338">
        <v>0</v>
      </c>
      <c r="E31" s="338"/>
      <c r="F31" s="338"/>
      <c r="G31" s="338">
        <f t="shared" ref="G31:G33" si="4">(D31+E31+F31)</f>
        <v>0</v>
      </c>
      <c r="H31" s="339">
        <f t="shared" ref="H31:H33" si="5">G31*1.1023</f>
        <v>0</v>
      </c>
    </row>
    <row r="32" spans="2:8" ht="11.25" customHeight="1">
      <c r="B32" s="329"/>
      <c r="C32" s="326" t="s">
        <v>579</v>
      </c>
      <c r="D32" s="342">
        <v>0</v>
      </c>
      <c r="E32" s="342"/>
      <c r="F32" s="342"/>
      <c r="G32" s="342">
        <f t="shared" si="4"/>
        <v>0</v>
      </c>
      <c r="H32" s="342">
        <f t="shared" si="5"/>
        <v>0</v>
      </c>
    </row>
    <row r="33" spans="2:8" ht="11.25" customHeight="1">
      <c r="B33" s="343"/>
      <c r="C33" s="344" t="s">
        <v>580</v>
      </c>
      <c r="D33" s="346">
        <v>0</v>
      </c>
      <c r="E33" s="346"/>
      <c r="F33" s="347"/>
      <c r="G33" s="346">
        <f t="shared" si="4"/>
        <v>0</v>
      </c>
      <c r="H33" s="346">
        <f t="shared" si="5"/>
        <v>0</v>
      </c>
    </row>
    <row r="34" spans="2:8" ht="11.25" customHeight="1">
      <c r="B34" s="358"/>
      <c r="C34" s="358"/>
      <c r="D34" s="359"/>
      <c r="E34" s="359"/>
      <c r="F34" s="359"/>
      <c r="G34" s="360"/>
      <c r="H34" s="360"/>
    </row>
    <row r="35" spans="2:8" ht="11.25" customHeight="1">
      <c r="B35" s="361"/>
      <c r="C35" s="361"/>
      <c r="D35" s="350" t="s">
        <v>559</v>
      </c>
      <c r="E35" s="350" t="s">
        <v>560</v>
      </c>
      <c r="F35" s="350" t="s">
        <v>561</v>
      </c>
      <c r="G35" s="351"/>
      <c r="H35" s="351"/>
    </row>
    <row r="36" spans="2:8" ht="11.25" customHeight="1">
      <c r="B36" s="361"/>
      <c r="C36" s="361"/>
      <c r="D36" s="352" t="s">
        <v>563</v>
      </c>
      <c r="E36" s="352" t="s">
        <v>564</v>
      </c>
      <c r="F36" s="352" t="s">
        <v>565</v>
      </c>
      <c r="G36" s="329"/>
      <c r="H36" s="329"/>
    </row>
    <row r="37" spans="2:8" ht="11.25" customHeight="1">
      <c r="B37" s="177"/>
      <c r="C37" s="362" t="s">
        <v>566</v>
      </c>
      <c r="D37" s="328"/>
      <c r="E37" s="328"/>
      <c r="F37" s="328"/>
      <c r="G37" s="329"/>
      <c r="H37" s="329"/>
    </row>
    <row r="38" spans="2:8" ht="11.25" customHeight="1">
      <c r="B38" s="361"/>
      <c r="C38" s="362" t="s">
        <v>567</v>
      </c>
      <c r="D38" s="328"/>
      <c r="E38" s="328"/>
      <c r="F38" s="328"/>
      <c r="G38" s="329"/>
      <c r="H38" s="329"/>
    </row>
    <row r="39" spans="2:8" ht="11.25" customHeight="1">
      <c r="B39" s="363" t="s">
        <v>581</v>
      </c>
      <c r="C39" s="364" t="s">
        <v>569</v>
      </c>
      <c r="D39" s="332"/>
      <c r="E39" s="333"/>
      <c r="F39" s="332"/>
      <c r="G39" s="354">
        <f>SUM(D39:F39)</f>
        <v>0</v>
      </c>
      <c r="H39" s="335"/>
    </row>
    <row r="40" spans="2:8" ht="11.25" customHeight="1">
      <c r="B40" s="361"/>
      <c r="C40" s="365"/>
      <c r="D40" s="356"/>
      <c r="E40" s="357"/>
      <c r="F40" s="356"/>
      <c r="G40" s="329"/>
      <c r="H40" s="329"/>
    </row>
    <row r="41" spans="2:8" ht="11.25" customHeight="1">
      <c r="B41" s="361"/>
      <c r="C41" s="366" t="s">
        <v>582</v>
      </c>
      <c r="D41" s="337"/>
      <c r="E41" s="338"/>
      <c r="F41" s="338"/>
      <c r="G41" s="338">
        <f t="shared" ref="G41:G43" si="6">(D41+E41+F41)</f>
        <v>0</v>
      </c>
      <c r="H41" s="367">
        <f t="shared" ref="H41:H43" si="7">G41*1.1023</f>
        <v>0</v>
      </c>
    </row>
    <row r="42" spans="2:8" ht="11.25" customHeight="1">
      <c r="B42" s="361"/>
      <c r="C42" s="177" t="s">
        <v>583</v>
      </c>
      <c r="D42" s="328">
        <v>0</v>
      </c>
      <c r="E42" s="368"/>
      <c r="F42" s="368"/>
      <c r="G42" s="342">
        <f t="shared" si="6"/>
        <v>0</v>
      </c>
      <c r="H42" s="342">
        <f t="shared" si="7"/>
        <v>0</v>
      </c>
    </row>
    <row r="43" spans="2:8" ht="11.25" customHeight="1">
      <c r="B43" s="361"/>
      <c r="C43" s="177" t="s">
        <v>584</v>
      </c>
      <c r="D43" s="328">
        <v>0</v>
      </c>
      <c r="E43" s="368"/>
      <c r="F43" s="368"/>
      <c r="G43" s="342">
        <f t="shared" si="6"/>
        <v>0</v>
      </c>
      <c r="H43" s="342">
        <f t="shared" si="7"/>
        <v>0</v>
      </c>
    </row>
    <row r="44" spans="2:8" ht="11.25" customHeight="1">
      <c r="B44" s="369"/>
      <c r="C44" s="369"/>
      <c r="D44" s="370"/>
      <c r="E44" s="370"/>
      <c r="F44" s="370"/>
      <c r="G44" s="371"/>
      <c r="H44" s="371"/>
    </row>
    <row r="45" spans="2:8" ht="11.25" customHeight="1">
      <c r="B45" s="1"/>
      <c r="C45" s="1"/>
      <c r="D45" s="372"/>
      <c r="E45" s="372"/>
      <c r="F45" s="372"/>
      <c r="G45" s="372"/>
      <c r="H45" s="372"/>
    </row>
    <row r="46" spans="2:8" ht="11.25" customHeight="1">
      <c r="B46" s="373"/>
      <c r="C46" s="374"/>
      <c r="D46" s="375" t="s">
        <v>559</v>
      </c>
      <c r="E46" s="375" t="s">
        <v>560</v>
      </c>
      <c r="F46" s="375" t="s">
        <v>561</v>
      </c>
      <c r="G46" s="376"/>
      <c r="H46" s="377"/>
    </row>
    <row r="47" spans="2:8" ht="11.25" customHeight="1">
      <c r="B47" s="378"/>
      <c r="C47" s="379" t="s">
        <v>585</v>
      </c>
      <c r="D47" s="380" t="s">
        <v>563</v>
      </c>
      <c r="E47" s="380" t="s">
        <v>564</v>
      </c>
      <c r="F47" s="380" t="s">
        <v>565</v>
      </c>
      <c r="G47" s="381"/>
      <c r="H47" s="382"/>
    </row>
    <row r="48" spans="2:8" ht="11.25" customHeight="1">
      <c r="B48" s="383"/>
      <c r="C48" s="384"/>
      <c r="D48" s="385">
        <f t="shared" ref="D48:F48" si="8">D7+D17+D27+D37</f>
        <v>0</v>
      </c>
      <c r="E48" s="385">
        <f t="shared" si="8"/>
        <v>0</v>
      </c>
      <c r="F48" s="385">
        <f t="shared" si="8"/>
        <v>0</v>
      </c>
      <c r="G48" s="384"/>
      <c r="H48" s="386"/>
    </row>
    <row r="49" spans="2:8" ht="11.25" customHeight="1">
      <c r="B49" s="1"/>
      <c r="C49" s="1"/>
      <c r="D49" s="372"/>
      <c r="E49" s="372"/>
      <c r="F49" s="372"/>
      <c r="G49" s="1"/>
      <c r="H49" s="1"/>
    </row>
    <row r="50" spans="2:8" ht="11.25" customHeight="1">
      <c r="B50" s="1"/>
      <c r="C50" s="1"/>
      <c r="D50" s="372"/>
      <c r="E50" s="372"/>
      <c r="F50" s="372"/>
      <c r="G50" s="1"/>
      <c r="H50" s="1"/>
    </row>
    <row r="51" spans="2:8" ht="11.25" customHeight="1"/>
    <row r="52" spans="2:8" ht="11.25" customHeight="1"/>
    <row r="53" spans="2:8" ht="11.25" customHeight="1">
      <c r="B53" s="387"/>
      <c r="C53" s="388" t="s">
        <v>586</v>
      </c>
      <c r="D53" s="388" t="s">
        <v>587</v>
      </c>
      <c r="E53" s="388" t="s">
        <v>588</v>
      </c>
      <c r="F53" s="389" t="s">
        <v>589</v>
      </c>
      <c r="G53" s="390"/>
    </row>
    <row r="54" spans="2:8" ht="11.25" customHeight="1">
      <c r="B54" s="391"/>
      <c r="C54" s="392"/>
      <c r="D54" s="392" t="s">
        <v>524</v>
      </c>
      <c r="E54" s="392" t="s">
        <v>525</v>
      </c>
      <c r="F54" s="393" t="s">
        <v>590</v>
      </c>
      <c r="G54" s="390"/>
    </row>
    <row r="55" spans="2:8" ht="11.25" customHeight="1">
      <c r="B55" s="394"/>
      <c r="C55" s="154"/>
      <c r="D55" s="154"/>
      <c r="E55" s="154"/>
      <c r="F55" s="395"/>
      <c r="G55" s="390"/>
    </row>
    <row r="56" spans="2:8" ht="11.25" customHeight="1">
      <c r="B56" s="396" t="s">
        <v>194</v>
      </c>
      <c r="C56" s="397">
        <f t="shared" ref="C56:F56" si="9">0</f>
        <v>0</v>
      </c>
      <c r="D56" s="397">
        <f t="shared" si="9"/>
        <v>0</v>
      </c>
      <c r="E56" s="397">
        <f t="shared" si="9"/>
        <v>0</v>
      </c>
      <c r="F56" s="398">
        <f t="shared" si="9"/>
        <v>0</v>
      </c>
      <c r="G56" s="399"/>
    </row>
    <row r="57" spans="2:8" ht="11.25" customHeight="1">
      <c r="B57" s="396"/>
      <c r="C57" s="400"/>
      <c r="D57" s="400"/>
      <c r="E57" s="397"/>
      <c r="F57" s="398"/>
      <c r="G57" s="399"/>
    </row>
    <row r="58" spans="2:8" ht="11.25" customHeight="1">
      <c r="B58" s="396" t="s">
        <v>591</v>
      </c>
      <c r="C58" s="397">
        <f>D9+D19+D29+D39</f>
        <v>0</v>
      </c>
      <c r="D58" s="397">
        <f>E58*1.1023</f>
        <v>0</v>
      </c>
      <c r="E58" s="397">
        <f>D11+D21+D31+D41</f>
        <v>0</v>
      </c>
      <c r="F58" s="398">
        <f>E58/1000000</f>
        <v>0</v>
      </c>
      <c r="G58" s="399"/>
    </row>
    <row r="59" spans="2:8" ht="11.25" customHeight="1">
      <c r="B59" s="396"/>
      <c r="C59" s="400"/>
      <c r="D59" s="400"/>
      <c r="E59" s="397"/>
      <c r="F59" s="398"/>
      <c r="G59" s="399"/>
    </row>
    <row r="60" spans="2:8" ht="11.25" customHeight="1">
      <c r="B60" s="396" t="s">
        <v>456</v>
      </c>
      <c r="C60" s="397">
        <f>E9+F9+E19+F19+E29+F29+E39+F39</f>
        <v>0</v>
      </c>
      <c r="D60" s="397">
        <f>E60*1.1023</f>
        <v>0</v>
      </c>
      <c r="E60" s="397">
        <f>E11+F11+E21+F21+E31+F31+E41+F41</f>
        <v>0</v>
      </c>
      <c r="F60" s="398">
        <f>E60/1000000</f>
        <v>0</v>
      </c>
      <c r="G60" s="399"/>
      <c r="H60" s="372"/>
    </row>
    <row r="61" spans="2:8" ht="11.25" customHeight="1">
      <c r="B61" s="401"/>
      <c r="C61" s="402"/>
      <c r="D61" s="402"/>
      <c r="E61" s="403"/>
      <c r="F61" s="404"/>
      <c r="G61" s="405"/>
    </row>
    <row r="62" spans="2:8" ht="11.25" customHeight="1">
      <c r="B62" s="406" t="s">
        <v>88</v>
      </c>
      <c r="C62" s="407">
        <f>SUM(C56:C61)</f>
        <v>0</v>
      </c>
      <c r="D62" s="407">
        <f t="shared" ref="D62:E62" si="10">D56+D58+D60</f>
        <v>0</v>
      </c>
      <c r="E62" s="408">
        <f t="shared" si="10"/>
        <v>0</v>
      </c>
      <c r="F62" s="409">
        <f>E62/1000000</f>
        <v>0</v>
      </c>
      <c r="G62" s="410"/>
    </row>
    <row r="63" spans="2:8" ht="11.25" customHeight="1">
      <c r="B63" s="411"/>
      <c r="C63" s="412"/>
      <c r="D63" s="412"/>
      <c r="E63" s="412"/>
      <c r="F63" s="413"/>
      <c r="G63" s="414"/>
    </row>
    <row r="64" spans="2:8" ht="11.25" customHeight="1"/>
    <row r="65" spans="2:6" ht="11.25" customHeight="1"/>
    <row r="66" spans="2:6" ht="11.25" customHeight="1"/>
    <row r="67" spans="2:6" ht="11.25" customHeight="1">
      <c r="B67" s="387"/>
      <c r="C67" s="415" t="s">
        <v>586</v>
      </c>
      <c r="D67" s="388" t="s">
        <v>592</v>
      </c>
      <c r="E67" s="388" t="s">
        <v>593</v>
      </c>
      <c r="F67" s="389" t="s">
        <v>594</v>
      </c>
    </row>
    <row r="68" spans="2:6" ht="11.25" customHeight="1">
      <c r="B68" s="416"/>
      <c r="C68" s="417"/>
      <c r="D68" s="392" t="s">
        <v>524</v>
      </c>
      <c r="E68" s="392" t="s">
        <v>525</v>
      </c>
      <c r="F68" s="393" t="s">
        <v>590</v>
      </c>
    </row>
    <row r="69" spans="2:6" ht="11.25" customHeight="1">
      <c r="B69" s="394"/>
      <c r="C69" s="154"/>
      <c r="D69" s="154"/>
      <c r="E69" s="154"/>
      <c r="F69" s="395"/>
    </row>
    <row r="70" spans="2:6" ht="11.25" customHeight="1">
      <c r="B70" s="396" t="s">
        <v>194</v>
      </c>
      <c r="C70" s="397">
        <v>0</v>
      </c>
      <c r="D70" s="397">
        <f t="shared" ref="D70:F70" si="11">0</f>
        <v>0</v>
      </c>
      <c r="E70" s="418">
        <f t="shared" si="11"/>
        <v>0</v>
      </c>
      <c r="F70" s="398">
        <f t="shared" si="11"/>
        <v>0</v>
      </c>
    </row>
    <row r="71" spans="2:6" ht="11.25" customHeight="1">
      <c r="B71" s="396"/>
      <c r="C71" s="400"/>
      <c r="D71" s="400"/>
      <c r="E71" s="418"/>
      <c r="F71" s="398"/>
    </row>
    <row r="72" spans="2:6" ht="11.25" customHeight="1">
      <c r="B72" s="396" t="s">
        <v>591</v>
      </c>
      <c r="C72" s="397"/>
      <c r="D72" s="397">
        <f>E72*1.1023</f>
        <v>0</v>
      </c>
      <c r="E72" s="418">
        <f>D12+D22+D32+D42</f>
        <v>0</v>
      </c>
      <c r="F72" s="398">
        <f>(E72/1000000)*21</f>
        <v>0</v>
      </c>
    </row>
    <row r="73" spans="2:6" ht="11.25" customHeight="1">
      <c r="B73" s="396"/>
      <c r="C73" s="400"/>
      <c r="D73" s="400"/>
      <c r="E73" s="397"/>
      <c r="F73" s="398"/>
    </row>
    <row r="74" spans="2:6" ht="11.25" customHeight="1">
      <c r="B74" s="396" t="s">
        <v>456</v>
      </c>
      <c r="C74" s="397"/>
      <c r="D74" s="419">
        <f>E74*1.1023</f>
        <v>0</v>
      </c>
      <c r="E74" s="419">
        <f>F12+E12+F22+E22+F32+E32+F42+E42</f>
        <v>0</v>
      </c>
      <c r="F74" s="398">
        <f>(E74/1000000)*21</f>
        <v>0</v>
      </c>
    </row>
    <row r="75" spans="2:6" ht="11.25" customHeight="1">
      <c r="B75" s="401"/>
      <c r="C75" s="402"/>
      <c r="D75" s="402"/>
      <c r="E75" s="403"/>
      <c r="F75" s="404"/>
    </row>
    <row r="76" spans="2:6" ht="11.25" customHeight="1">
      <c r="B76" s="420" t="s">
        <v>88</v>
      </c>
      <c r="C76" s="421"/>
      <c r="D76" s="422">
        <f>D70+D72+D74</f>
        <v>0</v>
      </c>
      <c r="E76" s="423">
        <f>D76*0.9072</f>
        <v>0</v>
      </c>
      <c r="F76" s="424">
        <f>(E76/1000000)*21</f>
        <v>0</v>
      </c>
    </row>
    <row r="77" spans="2:6" ht="11.25" customHeight="1">
      <c r="B77" s="425"/>
      <c r="C77" s="426"/>
      <c r="D77" s="426"/>
      <c r="E77" s="426"/>
      <c r="F77" s="427"/>
    </row>
    <row r="78" spans="2:6" ht="11.25" customHeight="1"/>
    <row r="79" spans="2:6" ht="11.25" customHeight="1"/>
    <row r="80" spans="2:6" ht="11.25" customHeight="1">
      <c r="B80" s="387"/>
      <c r="C80" s="415" t="s">
        <v>586</v>
      </c>
      <c r="D80" s="388" t="s">
        <v>595</v>
      </c>
      <c r="E80" s="388" t="s">
        <v>596</v>
      </c>
      <c r="F80" s="389" t="s">
        <v>597</v>
      </c>
    </row>
    <row r="81" spans="2:6" ht="11.25" customHeight="1">
      <c r="B81" s="391"/>
      <c r="C81" s="392"/>
      <c r="D81" s="392" t="s">
        <v>524</v>
      </c>
      <c r="E81" s="392" t="s">
        <v>525</v>
      </c>
      <c r="F81" s="393" t="s">
        <v>590</v>
      </c>
    </row>
    <row r="82" spans="2:6" ht="11.25" customHeight="1">
      <c r="B82" s="394"/>
      <c r="C82" s="154"/>
      <c r="D82" s="154"/>
      <c r="E82" s="154"/>
      <c r="F82" s="395"/>
    </row>
    <row r="83" spans="2:6" ht="11.25" customHeight="1">
      <c r="B83" s="396" t="s">
        <v>194</v>
      </c>
      <c r="C83" s="397">
        <v>0</v>
      </c>
      <c r="D83" s="397">
        <f t="shared" ref="D83:F83" si="12">0</f>
        <v>0</v>
      </c>
      <c r="E83" s="397">
        <f t="shared" si="12"/>
        <v>0</v>
      </c>
      <c r="F83" s="398">
        <f t="shared" si="12"/>
        <v>0</v>
      </c>
    </row>
    <row r="84" spans="2:6" ht="11.25" customHeight="1">
      <c r="B84" s="396"/>
      <c r="C84" s="400"/>
      <c r="D84" s="400"/>
      <c r="E84" s="397"/>
      <c r="F84" s="398"/>
    </row>
    <row r="85" spans="2:6" ht="11.25" customHeight="1">
      <c r="B85" s="396" t="s">
        <v>591</v>
      </c>
      <c r="C85" s="397"/>
      <c r="D85" s="397">
        <f>E85*1.1023</f>
        <v>0</v>
      </c>
      <c r="E85" s="397">
        <f>D13+D23+D33+D43</f>
        <v>0</v>
      </c>
      <c r="F85" s="398">
        <f>(E85/1000000)*310</f>
        <v>0</v>
      </c>
    </row>
    <row r="86" spans="2:6" ht="11.25" customHeight="1">
      <c r="B86" s="396"/>
      <c r="C86" s="400"/>
      <c r="D86" s="400"/>
      <c r="E86" s="397"/>
      <c r="F86" s="398"/>
    </row>
    <row r="87" spans="2:6" ht="11.25" customHeight="1">
      <c r="B87" s="396" t="s">
        <v>456</v>
      </c>
      <c r="C87" s="397"/>
      <c r="D87" s="428">
        <f>E87*1.1023</f>
        <v>0</v>
      </c>
      <c r="E87" s="428">
        <f>F13+E13+F23+E23+F33+E33+F43+E43</f>
        <v>0</v>
      </c>
      <c r="F87" s="398">
        <f>(E87/1000000)*310</f>
        <v>0</v>
      </c>
    </row>
    <row r="88" spans="2:6" ht="11.25" customHeight="1">
      <c r="B88" s="401"/>
      <c r="C88" s="402"/>
      <c r="D88" s="402"/>
      <c r="E88" s="403"/>
      <c r="F88" s="404"/>
    </row>
    <row r="89" spans="2:6" ht="11.25" customHeight="1">
      <c r="B89" s="429" t="s">
        <v>88</v>
      </c>
      <c r="C89" s="430"/>
      <c r="D89" s="431">
        <f>D83+D85+D87</f>
        <v>0</v>
      </c>
      <c r="E89" s="431">
        <f>D89*0.9072</f>
        <v>0</v>
      </c>
      <c r="F89" s="432">
        <f>(E89/1000000)*310</f>
        <v>0</v>
      </c>
    </row>
    <row r="90" spans="2:6" ht="11.25" customHeight="1">
      <c r="B90" s="411"/>
      <c r="C90" s="412"/>
      <c r="D90" s="412"/>
      <c r="E90" s="412"/>
      <c r="F90" s="413"/>
    </row>
    <row r="91" spans="2:6" ht="11.25" customHeight="1"/>
    <row r="92" spans="2:6" ht="11.25" customHeight="1"/>
    <row r="93" spans="2:6" ht="11.25" customHeight="1"/>
    <row r="94" spans="2:6" ht="11.25" customHeight="1"/>
    <row r="95" spans="2:6" ht="11.25" customHeight="1"/>
    <row r="96" spans="2: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D4:F4"/>
  </mergeCells>
  <pageMargins left="0.75" right="0.75" top="1" bottom="1" header="0" footer="0"/>
  <pageSetup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O1000"/>
  <sheetViews>
    <sheetView workbookViewId="0"/>
  </sheetViews>
  <sheetFormatPr defaultColWidth="16.85546875" defaultRowHeight="15" customHeight="1"/>
  <cols>
    <col min="1" max="1" width="2.42578125" customWidth="1"/>
    <col min="2" max="2" width="11.7109375" customWidth="1"/>
    <col min="3" max="3" width="33.28515625" customWidth="1"/>
    <col min="4" max="4" width="16.42578125" customWidth="1"/>
    <col min="5" max="7" width="16" customWidth="1"/>
    <col min="8" max="8" width="17.85546875" customWidth="1"/>
    <col min="9" max="9" width="15.42578125" customWidth="1"/>
    <col min="10" max="10" width="12" customWidth="1"/>
    <col min="11" max="11" width="14" customWidth="1"/>
    <col min="12" max="12" width="8.85546875" customWidth="1"/>
    <col min="13" max="13" width="12.28515625" customWidth="1"/>
    <col min="14" max="14" width="11.42578125" customWidth="1"/>
    <col min="15" max="15" width="10.42578125" customWidth="1"/>
  </cols>
  <sheetData>
    <row r="2" spans="1:13" ht="14.4">
      <c r="A2" s="3"/>
      <c r="B2" s="3"/>
      <c r="C2" s="3"/>
      <c r="D2" s="3"/>
      <c r="E2" s="3"/>
      <c r="F2" s="3"/>
      <c r="G2" s="3"/>
      <c r="H2" s="3"/>
      <c r="I2" s="3"/>
      <c r="J2" s="3"/>
      <c r="K2" s="3"/>
      <c r="L2" s="3"/>
      <c r="M2" s="3"/>
    </row>
    <row r="3" spans="1:13" ht="14.4">
      <c r="A3" s="3"/>
      <c r="B3" s="3"/>
      <c r="C3" s="3"/>
      <c r="D3" s="3"/>
      <c r="E3" s="3"/>
      <c r="F3" s="3"/>
      <c r="G3" s="2862" t="s">
        <v>598</v>
      </c>
      <c r="H3" s="2863"/>
      <c r="I3" s="2863"/>
      <c r="J3" s="2863"/>
      <c r="K3" s="434"/>
      <c r="L3" s="3"/>
      <c r="M3" s="3"/>
    </row>
    <row r="4" spans="1:13" ht="15" customHeight="1">
      <c r="A4" s="3"/>
      <c r="B4" s="3"/>
      <c r="C4" s="435" t="s">
        <v>599</v>
      </c>
      <c r="D4" s="3"/>
      <c r="E4" s="3"/>
      <c r="F4" s="436" t="s">
        <v>600</v>
      </c>
      <c r="G4" s="437" t="s">
        <v>601</v>
      </c>
      <c r="H4" s="437" t="s">
        <v>601</v>
      </c>
      <c r="I4" s="437" t="s">
        <v>601</v>
      </c>
      <c r="J4" s="437" t="s">
        <v>601</v>
      </c>
      <c r="K4" s="438" t="s">
        <v>601</v>
      </c>
      <c r="L4" s="3"/>
      <c r="M4" s="3"/>
    </row>
    <row r="5" spans="1:13" ht="15" customHeight="1">
      <c r="A5" s="3"/>
      <c r="B5" s="3"/>
      <c r="C5" s="433"/>
      <c r="D5" s="3"/>
      <c r="E5" s="3"/>
      <c r="F5" s="439" t="s">
        <v>602</v>
      </c>
      <c r="G5" s="440">
        <v>1.0999999999999999E-2</v>
      </c>
      <c r="H5" s="440">
        <v>3.0000000000000001E-3</v>
      </c>
      <c r="I5" s="440">
        <v>3.0000000000000001E-3</v>
      </c>
      <c r="J5" s="440">
        <v>1E-3</v>
      </c>
      <c r="K5" s="441">
        <v>3.2000000000000001E-2</v>
      </c>
      <c r="L5" s="3"/>
      <c r="M5" s="3"/>
    </row>
    <row r="6" spans="1:13" ht="15" customHeight="1">
      <c r="A6" s="3"/>
      <c r="B6" s="3"/>
      <c r="C6" s="433"/>
      <c r="D6" s="3"/>
      <c r="E6" s="3"/>
      <c r="F6" s="439" t="s">
        <v>603</v>
      </c>
      <c r="G6" s="440">
        <v>1.6000000000000001E-3</v>
      </c>
      <c r="H6" s="440">
        <v>5.9999999999999995E-4</v>
      </c>
      <c r="I6" s="440">
        <v>6.0000000000000001E-3</v>
      </c>
      <c r="J6" s="440">
        <v>1E-3</v>
      </c>
      <c r="K6" s="442">
        <v>4.1999999999999997E-3</v>
      </c>
      <c r="L6" s="3"/>
      <c r="M6" s="3"/>
    </row>
    <row r="7" spans="1:13" ht="14.4">
      <c r="A7" s="3"/>
      <c r="B7" s="3"/>
      <c r="C7" s="3"/>
      <c r="D7" s="3"/>
      <c r="E7" s="3"/>
      <c r="F7" s="443"/>
      <c r="G7" s="444" t="s">
        <v>194</v>
      </c>
      <c r="H7" s="444" t="s">
        <v>604</v>
      </c>
      <c r="I7" s="444" t="s">
        <v>605</v>
      </c>
      <c r="J7" s="444" t="s">
        <v>461</v>
      </c>
      <c r="K7" s="445" t="s">
        <v>606</v>
      </c>
      <c r="L7" s="3"/>
      <c r="M7" s="3"/>
    </row>
    <row r="8" spans="1:13" ht="14.4">
      <c r="A8" s="3"/>
      <c r="B8" s="3"/>
      <c r="C8" s="3"/>
      <c r="D8" s="3"/>
      <c r="E8" s="3"/>
      <c r="F8" s="3"/>
      <c r="G8" s="433"/>
      <c r="H8" s="433"/>
      <c r="I8" s="433"/>
      <c r="J8" s="433"/>
      <c r="K8" s="433"/>
      <c r="L8" s="3"/>
      <c r="M8" s="3"/>
    </row>
    <row r="9" spans="1:13" ht="14.4">
      <c r="A9" s="3"/>
      <c r="B9" s="3"/>
      <c r="C9" s="3"/>
      <c r="D9" s="3"/>
      <c r="E9" s="3"/>
      <c r="F9" s="3"/>
      <c r="G9" s="3"/>
      <c r="H9" s="3"/>
      <c r="I9" s="3"/>
      <c r="J9" s="3"/>
      <c r="K9" s="3"/>
      <c r="L9" s="3"/>
      <c r="M9" s="3"/>
    </row>
    <row r="10" spans="1:13" ht="14.4">
      <c r="A10" s="3"/>
      <c r="B10" s="446"/>
      <c r="C10" s="447"/>
      <c r="D10" s="2864">
        <v>2017</v>
      </c>
      <c r="E10" s="2861"/>
      <c r="F10" s="2861"/>
      <c r="G10" s="2861"/>
      <c r="H10" s="2859"/>
      <c r="I10" s="448" t="s">
        <v>88</v>
      </c>
      <c r="J10" s="449" t="s">
        <v>607</v>
      </c>
      <c r="K10" s="450" t="s">
        <v>608</v>
      </c>
      <c r="L10" s="3"/>
      <c r="M10" s="3"/>
    </row>
    <row r="11" spans="1:13" ht="14.4">
      <c r="A11" s="3"/>
      <c r="B11" s="12"/>
      <c r="C11" s="451"/>
      <c r="D11" s="452" t="s">
        <v>194</v>
      </c>
      <c r="E11" s="452" t="s">
        <v>609</v>
      </c>
      <c r="F11" s="452" t="s">
        <v>610</v>
      </c>
      <c r="G11" s="453" t="s">
        <v>606</v>
      </c>
      <c r="H11" s="453" t="s">
        <v>561</v>
      </c>
      <c r="I11" s="454" t="s">
        <v>611</v>
      </c>
      <c r="J11" s="455"/>
      <c r="K11" s="456"/>
      <c r="L11" s="3"/>
      <c r="M11" s="3"/>
    </row>
    <row r="12" spans="1:13" ht="16.2">
      <c r="A12" s="3"/>
      <c r="B12" s="14"/>
      <c r="C12" s="451"/>
      <c r="D12" s="457" t="s">
        <v>189</v>
      </c>
      <c r="E12" s="457" t="s">
        <v>563</v>
      </c>
      <c r="F12" s="457" t="s">
        <v>563</v>
      </c>
      <c r="G12" s="458" t="s">
        <v>189</v>
      </c>
      <c r="H12" s="458" t="s">
        <v>612</v>
      </c>
      <c r="I12" s="457"/>
      <c r="J12" s="457"/>
      <c r="K12" s="458"/>
      <c r="L12" s="3"/>
      <c r="M12" s="3"/>
    </row>
    <row r="13" spans="1:13" ht="14.4">
      <c r="A13" s="3"/>
      <c r="B13" s="459"/>
      <c r="C13" s="460" t="s">
        <v>566</v>
      </c>
      <c r="D13" s="461">
        <v>198245</v>
      </c>
      <c r="E13" s="462">
        <v>0</v>
      </c>
      <c r="F13" s="461">
        <v>0</v>
      </c>
      <c r="G13" s="462">
        <v>0</v>
      </c>
      <c r="H13" s="461">
        <f>1203.3*1000000</f>
        <v>1203300000</v>
      </c>
      <c r="I13" s="461"/>
      <c r="J13" s="463"/>
      <c r="K13" s="464"/>
      <c r="L13" s="3"/>
      <c r="M13" s="3"/>
    </row>
    <row r="14" spans="1:13" ht="14.4">
      <c r="A14" s="3"/>
      <c r="B14" s="465"/>
      <c r="C14" s="466" t="s">
        <v>567</v>
      </c>
      <c r="D14" s="467">
        <v>10909</v>
      </c>
      <c r="E14" s="467">
        <v>141324</v>
      </c>
      <c r="F14" s="467">
        <v>137000</v>
      </c>
      <c r="G14" s="468">
        <v>4643</v>
      </c>
      <c r="H14" s="467">
        <v>1044</v>
      </c>
      <c r="I14" s="467"/>
      <c r="J14" s="469"/>
      <c r="K14" s="470"/>
      <c r="L14" s="3"/>
      <c r="M14" s="3"/>
    </row>
    <row r="15" spans="1:13" ht="14.4">
      <c r="A15" s="3"/>
      <c r="B15" s="471"/>
      <c r="C15" s="472" t="s">
        <v>569</v>
      </c>
      <c r="D15" s="473">
        <f>+D13*D14*2000/1000000</f>
        <v>4325309.41</v>
      </c>
      <c r="E15" s="474">
        <f t="shared" ref="E15:F15" si="0">+E13*E14/1000000</f>
        <v>0</v>
      </c>
      <c r="F15" s="475">
        <f t="shared" si="0"/>
        <v>0</v>
      </c>
      <c r="G15" s="476">
        <f>+G13*G14*2000/1000000</f>
        <v>0</v>
      </c>
      <c r="H15" s="477">
        <f>+H13*H14/1000000</f>
        <v>1256245.2</v>
      </c>
      <c r="I15" s="477">
        <f>SUM(D15:H15)</f>
        <v>5581554.6100000003</v>
      </c>
      <c r="J15" s="478"/>
      <c r="K15" s="479"/>
      <c r="L15" s="3"/>
      <c r="M15" s="480"/>
    </row>
    <row r="16" spans="1:13" ht="14.4">
      <c r="A16" s="3"/>
      <c r="B16" s="17"/>
      <c r="C16" s="481"/>
      <c r="D16" s="17"/>
      <c r="E16" s="17"/>
      <c r="F16" s="17"/>
      <c r="G16" s="17"/>
      <c r="H16" s="17"/>
      <c r="I16" s="17"/>
      <c r="J16" s="482"/>
      <c r="K16" s="483"/>
      <c r="L16" s="3"/>
      <c r="M16" s="3"/>
    </row>
    <row r="17" spans="1:15" ht="14.4">
      <c r="A17" s="3"/>
      <c r="B17" s="12"/>
      <c r="C17" s="12"/>
      <c r="D17" s="484"/>
      <c r="E17" s="484"/>
      <c r="F17" s="484"/>
      <c r="G17" s="485"/>
      <c r="H17" s="484"/>
      <c r="I17" s="484"/>
      <c r="J17" s="484"/>
      <c r="K17" s="486"/>
      <c r="L17" s="3"/>
      <c r="M17" s="487"/>
      <c r="N17" s="488"/>
      <c r="O17" s="488"/>
    </row>
    <row r="18" spans="1:15" ht="15" customHeight="1">
      <c r="A18" s="3"/>
      <c r="B18" s="12"/>
      <c r="C18" s="489" t="s">
        <v>613</v>
      </c>
      <c r="D18" s="490">
        <f t="shared" ref="D18:D20" si="1">(+D$15/I$15)*K18</f>
        <v>76227.305577727995</v>
      </c>
      <c r="E18" s="491">
        <f t="shared" ref="E18:E20" si="2">(+E$15/I$15)*K18</f>
        <v>0</v>
      </c>
      <c r="F18" s="492">
        <f t="shared" ref="F18:F20" si="3">(+F$15/I$15)*K18</f>
        <v>0</v>
      </c>
      <c r="G18" s="491">
        <f t="shared" ref="G18:G20" si="4">(+G$15/I$15)*K18</f>
        <v>0</v>
      </c>
      <c r="H18" s="493">
        <f t="shared" ref="H18:H20" si="5">(+H$15/I$15)*K18</f>
        <v>22139.499782271996</v>
      </c>
      <c r="I18" s="493">
        <v>687303</v>
      </c>
      <c r="J18" s="493">
        <v>0.14312</v>
      </c>
      <c r="K18" s="494">
        <f t="shared" ref="K18:K20" si="6">I18*J18</f>
        <v>98366.805359999998</v>
      </c>
      <c r="L18" s="3"/>
      <c r="M18" s="480"/>
      <c r="N18" s="340"/>
      <c r="O18" s="340"/>
    </row>
    <row r="19" spans="1:15" ht="15" customHeight="1">
      <c r="A19" s="3"/>
      <c r="B19" s="495" t="s">
        <v>614</v>
      </c>
      <c r="C19" s="10" t="s">
        <v>615</v>
      </c>
      <c r="D19" s="496">
        <f t="shared" si="1"/>
        <v>5.9701701567563328</v>
      </c>
      <c r="E19" s="497">
        <f t="shared" si="2"/>
        <v>0</v>
      </c>
      <c r="F19" s="498">
        <f t="shared" si="3"/>
        <v>0</v>
      </c>
      <c r="G19" s="497">
        <f t="shared" si="4"/>
        <v>0</v>
      </c>
      <c r="H19" s="499">
        <f t="shared" si="5"/>
        <v>1.7339794432436662</v>
      </c>
      <c r="I19" s="499">
        <v>53.83</v>
      </c>
      <c r="J19" s="499">
        <v>0.14312</v>
      </c>
      <c r="K19" s="500">
        <f t="shared" si="6"/>
        <v>7.7041496</v>
      </c>
      <c r="L19" s="3"/>
      <c r="M19" s="340"/>
      <c r="N19" s="340"/>
      <c r="O19" s="340"/>
    </row>
    <row r="20" spans="1:15" ht="15" customHeight="1">
      <c r="A20" s="3"/>
      <c r="B20" s="14"/>
      <c r="C20" s="501" t="s">
        <v>616</v>
      </c>
      <c r="D20" s="502">
        <f t="shared" si="1"/>
        <v>0.86175407984389207</v>
      </c>
      <c r="E20" s="503">
        <f t="shared" si="2"/>
        <v>0</v>
      </c>
      <c r="F20" s="504">
        <f t="shared" si="3"/>
        <v>0</v>
      </c>
      <c r="G20" s="503">
        <f t="shared" si="4"/>
        <v>0</v>
      </c>
      <c r="H20" s="505">
        <f t="shared" si="5"/>
        <v>0.25028832015610786</v>
      </c>
      <c r="I20" s="505">
        <v>7.77</v>
      </c>
      <c r="J20" s="505">
        <v>0.14312</v>
      </c>
      <c r="K20" s="506">
        <f t="shared" si="6"/>
        <v>1.1120424</v>
      </c>
      <c r="L20" s="3"/>
      <c r="M20" s="480"/>
      <c r="N20" s="340"/>
      <c r="O20" s="340"/>
    </row>
    <row r="21" spans="1:15" ht="15.75" customHeight="1">
      <c r="A21" s="3"/>
      <c r="B21" s="12"/>
      <c r="C21" s="507"/>
      <c r="D21" s="508"/>
      <c r="E21" s="509"/>
      <c r="F21" s="510"/>
      <c r="G21" s="509"/>
      <c r="H21" s="508"/>
      <c r="I21" s="508"/>
      <c r="J21" s="508"/>
      <c r="K21" s="508"/>
      <c r="L21" s="3"/>
      <c r="M21" s="3"/>
    </row>
    <row r="22" spans="1:15" ht="15" customHeight="1">
      <c r="A22" s="3"/>
      <c r="B22" s="511"/>
      <c r="C22" s="489" t="s">
        <v>617</v>
      </c>
      <c r="D22" s="493">
        <f t="shared" ref="D22:D24" si="7">(+D$15/I$15)*K22</f>
        <v>444815.51513621659</v>
      </c>
      <c r="E22" s="491">
        <f t="shared" ref="E22:E24" si="8">(+E$15/I$15)*K22</f>
        <v>0</v>
      </c>
      <c r="F22" s="492">
        <f t="shared" ref="F22:F24" si="9">(+F$15/I$15)*K22</f>
        <v>0</v>
      </c>
      <c r="G22" s="491">
        <f t="shared" ref="G22:G24" si="10">(+G$15/I$15)*K22</f>
        <v>0</v>
      </c>
      <c r="H22" s="493">
        <f t="shared" ref="H22:H24" si="11">(+H$15/I$15)*K22</f>
        <v>129192.45834378341</v>
      </c>
      <c r="I22" s="493">
        <v>687303</v>
      </c>
      <c r="J22" s="493">
        <v>0.83516000000000001</v>
      </c>
      <c r="K22" s="493">
        <f t="shared" ref="K22:K24" si="12">I22*J22</f>
        <v>574007.97348000004</v>
      </c>
      <c r="L22" s="3"/>
      <c r="M22" s="3"/>
    </row>
    <row r="23" spans="1:15" ht="15" customHeight="1">
      <c r="A23" s="3"/>
      <c r="B23" s="495" t="s">
        <v>618</v>
      </c>
      <c r="C23" s="13" t="s">
        <v>619</v>
      </c>
      <c r="D23" s="499">
        <f t="shared" si="7"/>
        <v>34.838228815795269</v>
      </c>
      <c r="E23" s="497">
        <f t="shared" si="8"/>
        <v>0</v>
      </c>
      <c r="F23" s="498">
        <f t="shared" si="9"/>
        <v>0</v>
      </c>
      <c r="G23" s="497">
        <f t="shared" si="10"/>
        <v>0</v>
      </c>
      <c r="H23" s="499">
        <f t="shared" si="11"/>
        <v>10.118433984204724</v>
      </c>
      <c r="I23" s="499">
        <v>53.83</v>
      </c>
      <c r="J23" s="499">
        <v>0.83516000000000001</v>
      </c>
      <c r="K23" s="499">
        <f t="shared" si="12"/>
        <v>44.956662799999997</v>
      </c>
      <c r="L23" s="3"/>
      <c r="M23" s="3"/>
    </row>
    <row r="24" spans="1:15" ht="15" customHeight="1">
      <c r="A24" s="3"/>
      <c r="B24" s="14"/>
      <c r="C24" s="512" t="s">
        <v>620</v>
      </c>
      <c r="D24" s="505">
        <f t="shared" si="7"/>
        <v>5.0286650176245447</v>
      </c>
      <c r="E24" s="503">
        <f t="shared" si="8"/>
        <v>0</v>
      </c>
      <c r="F24" s="504">
        <f t="shared" si="9"/>
        <v>0</v>
      </c>
      <c r="G24" s="503">
        <f t="shared" si="10"/>
        <v>0</v>
      </c>
      <c r="H24" s="505">
        <f t="shared" si="11"/>
        <v>1.4605281823754546</v>
      </c>
      <c r="I24" s="505">
        <v>7.77</v>
      </c>
      <c r="J24" s="505">
        <v>0.83516000000000001</v>
      </c>
      <c r="K24" s="505">
        <f t="shared" si="12"/>
        <v>6.4891931999999999</v>
      </c>
      <c r="L24" s="3"/>
      <c r="M24" s="3"/>
    </row>
    <row r="25" spans="1:15" ht="15.75" customHeight="1">
      <c r="A25" s="3"/>
      <c r="B25" s="12"/>
      <c r="C25" s="12"/>
      <c r="D25" s="513"/>
      <c r="E25" s="514"/>
      <c r="F25" s="515"/>
      <c r="G25" s="514"/>
      <c r="H25" s="516"/>
      <c r="I25" s="516"/>
      <c r="J25" s="516"/>
      <c r="K25" s="517"/>
      <c r="L25" s="3"/>
      <c r="M25" s="3"/>
    </row>
    <row r="26" spans="1:15" ht="15" customHeight="1">
      <c r="A26" s="3"/>
      <c r="B26" s="446"/>
      <c r="C26" s="518" t="s">
        <v>621</v>
      </c>
      <c r="D26" s="519">
        <f t="shared" ref="D26:D28" si="13">(+D$15/I$15)*K26</f>
        <v>11568.313842567441</v>
      </c>
      <c r="E26" s="520">
        <f t="shared" ref="E26:E28" si="14">(+E$15/I$15)*K26</f>
        <v>0</v>
      </c>
      <c r="F26" s="521">
        <f t="shared" ref="F26:F28" si="15">(+F$15/I$15)*K26</f>
        <v>0</v>
      </c>
      <c r="G26" s="520">
        <f t="shared" ref="G26:G28" si="16">(+G$15/I$15)*K26</f>
        <v>0</v>
      </c>
      <c r="H26" s="519">
        <f t="shared" ref="H26:H28" si="17">(+H$15/I$15)*K26</f>
        <v>3359.9073174325581</v>
      </c>
      <c r="I26" s="519">
        <v>687303</v>
      </c>
      <c r="J26" s="522">
        <v>2.172E-2</v>
      </c>
      <c r="K26" s="521">
        <f t="shared" ref="K26:K28" si="18">I26*J26</f>
        <v>14928.221159999999</v>
      </c>
      <c r="L26" s="3"/>
      <c r="M26" s="523"/>
    </row>
    <row r="27" spans="1:15" ht="15" customHeight="1">
      <c r="A27" s="3"/>
      <c r="B27" s="495" t="s">
        <v>622</v>
      </c>
      <c r="C27" s="13" t="s">
        <v>623</v>
      </c>
      <c r="D27" s="499">
        <f t="shared" si="13"/>
        <v>0.90603756152003589</v>
      </c>
      <c r="E27" s="497">
        <f t="shared" si="14"/>
        <v>0</v>
      </c>
      <c r="F27" s="498">
        <f t="shared" si="15"/>
        <v>0</v>
      </c>
      <c r="G27" s="497">
        <f t="shared" si="16"/>
        <v>0</v>
      </c>
      <c r="H27" s="499">
        <f t="shared" si="17"/>
        <v>0.26315003847996388</v>
      </c>
      <c r="I27" s="499">
        <v>53.83</v>
      </c>
      <c r="J27" s="524">
        <v>2.172E-2</v>
      </c>
      <c r="K27" s="499">
        <f t="shared" si="18"/>
        <v>1.1691875999999999</v>
      </c>
      <c r="L27" s="3"/>
      <c r="M27" s="3"/>
    </row>
    <row r="28" spans="1:15" ht="15" customHeight="1">
      <c r="A28" s="3"/>
      <c r="B28" s="14"/>
      <c r="C28" s="512" t="s">
        <v>624</v>
      </c>
      <c r="D28" s="505">
        <f t="shared" si="13"/>
        <v>0.13078045426362028</v>
      </c>
      <c r="E28" s="503">
        <f t="shared" si="14"/>
        <v>0</v>
      </c>
      <c r="F28" s="504">
        <f t="shared" si="15"/>
        <v>0</v>
      </c>
      <c r="G28" s="503">
        <f t="shared" si="16"/>
        <v>0</v>
      </c>
      <c r="H28" s="505">
        <f t="shared" si="17"/>
        <v>3.7983945736379698E-2</v>
      </c>
      <c r="I28" s="505">
        <v>7.77</v>
      </c>
      <c r="J28" s="525">
        <v>2.172E-2</v>
      </c>
      <c r="K28" s="505">
        <f t="shared" si="18"/>
        <v>0.16876439999999998</v>
      </c>
      <c r="L28" s="3"/>
      <c r="M28" s="3"/>
    </row>
    <row r="29" spans="1:15" ht="15.75" customHeight="1">
      <c r="A29" s="3"/>
      <c r="B29" s="526"/>
      <c r="C29" s="527"/>
      <c r="D29" s="528"/>
      <c r="E29" s="528"/>
      <c r="F29" s="528"/>
      <c r="G29" s="528"/>
      <c r="H29" s="528"/>
      <c r="I29" s="528"/>
      <c r="J29" s="528"/>
      <c r="K29" s="529"/>
      <c r="L29" s="3"/>
      <c r="M29" s="3"/>
    </row>
    <row r="30" spans="1:15" ht="15.75" customHeight="1">
      <c r="A30" s="3"/>
      <c r="B30" s="3"/>
      <c r="C30" s="3"/>
      <c r="D30" s="3"/>
      <c r="E30" s="3"/>
      <c r="F30" s="3"/>
      <c r="G30" s="3"/>
      <c r="H30" s="3"/>
      <c r="I30" s="3"/>
      <c r="J30" s="3"/>
      <c r="K30" s="3"/>
      <c r="L30" s="3"/>
      <c r="M30" s="3"/>
    </row>
    <row r="31" spans="1:15" ht="15.75" customHeight="1">
      <c r="A31" s="3"/>
      <c r="B31" s="3"/>
      <c r="C31" s="3"/>
      <c r="D31" s="3"/>
      <c r="E31" s="3"/>
      <c r="F31" s="3"/>
      <c r="G31" s="3"/>
      <c r="H31" s="3"/>
      <c r="I31" s="3"/>
      <c r="J31" s="3"/>
      <c r="K31" s="3"/>
      <c r="L31" s="3"/>
      <c r="M31" s="3"/>
    </row>
    <row r="32" spans="1:15" ht="15.75" customHeight="1">
      <c r="A32" s="3"/>
      <c r="B32" s="3"/>
      <c r="C32" s="3"/>
      <c r="D32" s="3"/>
      <c r="E32" s="3"/>
      <c r="F32" s="3"/>
      <c r="G32" s="3"/>
      <c r="H32" s="3"/>
      <c r="I32" s="3"/>
      <c r="J32" s="3"/>
      <c r="L32" s="3"/>
      <c r="M32" s="3"/>
    </row>
    <row r="33" spans="1:13" ht="15" customHeight="1">
      <c r="A33" s="3"/>
      <c r="B33" s="3"/>
      <c r="C33" s="530"/>
      <c r="D33" s="531" t="s">
        <v>586</v>
      </c>
      <c r="E33" s="531" t="s">
        <v>625</v>
      </c>
      <c r="F33" s="531" t="s">
        <v>626</v>
      </c>
      <c r="G33" s="532" t="s">
        <v>627</v>
      </c>
      <c r="H33" s="533"/>
      <c r="I33" s="3"/>
      <c r="J33" s="3"/>
      <c r="K33" s="3"/>
      <c r="L33" s="3"/>
      <c r="M33" s="3"/>
    </row>
    <row r="34" spans="1:13" ht="15" customHeight="1">
      <c r="A34" s="3"/>
      <c r="B34" s="3"/>
      <c r="C34" s="534"/>
      <c r="D34" s="535"/>
      <c r="E34" s="535" t="s">
        <v>524</v>
      </c>
      <c r="F34" s="535" t="s">
        <v>525</v>
      </c>
      <c r="G34" s="536" t="s">
        <v>628</v>
      </c>
      <c r="H34" s="533"/>
      <c r="I34" s="3"/>
      <c r="J34" s="3"/>
      <c r="K34" s="3"/>
      <c r="L34" s="3"/>
      <c r="M34" s="3"/>
    </row>
    <row r="35" spans="1:13" ht="15.75" customHeight="1">
      <c r="A35" s="3"/>
      <c r="B35" s="3"/>
      <c r="C35" s="537"/>
      <c r="D35" s="319"/>
      <c r="E35" s="319"/>
      <c r="F35" s="319"/>
      <c r="G35" s="538"/>
      <c r="H35" s="533"/>
      <c r="I35" s="3"/>
      <c r="J35" s="3"/>
      <c r="K35" s="3"/>
      <c r="L35" s="3"/>
      <c r="M35" s="3"/>
    </row>
    <row r="36" spans="1:13" ht="15.75" customHeight="1">
      <c r="A36" s="3"/>
      <c r="B36" s="3"/>
      <c r="C36" s="539" t="s">
        <v>194</v>
      </c>
      <c r="D36" s="540">
        <f>+D15+G15</f>
        <v>4325309.41</v>
      </c>
      <c r="E36" s="540">
        <f>+D18+G18+D22+G22+D26+G26</f>
        <v>532611.13455651212</v>
      </c>
      <c r="F36" s="540">
        <f>E36*0.907184</f>
        <v>483176.29949151486</v>
      </c>
      <c r="G36" s="541">
        <f>F36/1000000</f>
        <v>0.48317629949151486</v>
      </c>
      <c r="H36" s="542"/>
      <c r="I36" s="3"/>
      <c r="J36" s="3"/>
      <c r="K36" s="3"/>
      <c r="L36" s="3"/>
      <c r="M36" s="3"/>
    </row>
    <row r="37" spans="1:13" ht="15.75" customHeight="1">
      <c r="A37" s="3"/>
      <c r="B37" s="3"/>
      <c r="C37" s="539"/>
      <c r="D37" s="455"/>
      <c r="E37" s="455"/>
      <c r="F37" s="540"/>
      <c r="G37" s="541"/>
      <c r="H37" s="542"/>
      <c r="I37" s="3"/>
      <c r="J37" s="3"/>
      <c r="K37" s="3"/>
      <c r="L37" s="3"/>
      <c r="M37" s="3"/>
    </row>
    <row r="38" spans="1:13" ht="15.75" customHeight="1">
      <c r="A38" s="3"/>
      <c r="B38" s="3"/>
      <c r="C38" s="539" t="s">
        <v>591</v>
      </c>
      <c r="D38" s="543">
        <f>+E15+F15</f>
        <v>0</v>
      </c>
      <c r="E38" s="543">
        <f>+E18+F18+E22+F22+E26+F26</f>
        <v>0</v>
      </c>
      <c r="F38" s="543">
        <f>E38*0.907184</f>
        <v>0</v>
      </c>
      <c r="G38" s="541">
        <f>F38/1000000</f>
        <v>0</v>
      </c>
      <c r="H38" s="542"/>
      <c r="I38" s="3"/>
      <c r="J38" s="3"/>
      <c r="K38" s="3"/>
      <c r="L38" s="3"/>
      <c r="M38" s="3"/>
    </row>
    <row r="39" spans="1:13" ht="15.75" customHeight="1">
      <c r="A39" s="3"/>
      <c r="B39" s="3"/>
      <c r="C39" s="539"/>
      <c r="D39" s="455"/>
      <c r="E39" s="455"/>
      <c r="F39" s="540"/>
      <c r="G39" s="541"/>
      <c r="H39" s="542"/>
      <c r="I39" s="3"/>
      <c r="J39" s="3"/>
      <c r="K39" s="3"/>
      <c r="L39" s="3"/>
      <c r="M39" s="3"/>
    </row>
    <row r="40" spans="1:13" ht="15.75" customHeight="1">
      <c r="A40" s="3"/>
      <c r="B40" s="3"/>
      <c r="C40" s="539" t="s">
        <v>456</v>
      </c>
      <c r="D40" s="540">
        <f>+H15</f>
        <v>1256245.2</v>
      </c>
      <c r="E40" s="540">
        <f>+H18+H22+H26</f>
        <v>154691.86544348794</v>
      </c>
      <c r="F40" s="540">
        <f>E40*0.907184</f>
        <v>140333.98526048518</v>
      </c>
      <c r="G40" s="541">
        <f>F40/1000000</f>
        <v>0.14033398526048518</v>
      </c>
      <c r="H40" s="542"/>
      <c r="I40" s="3"/>
      <c r="J40" s="3"/>
      <c r="K40" s="3"/>
      <c r="L40" s="3"/>
      <c r="M40" s="3"/>
    </row>
    <row r="41" spans="1:13" ht="15.75" customHeight="1">
      <c r="A41" s="3"/>
      <c r="B41" s="3"/>
      <c r="C41" s="544"/>
      <c r="D41" s="545"/>
      <c r="E41" s="545"/>
      <c r="F41" s="546"/>
      <c r="G41" s="547"/>
      <c r="H41" s="548"/>
      <c r="I41" s="3"/>
      <c r="J41" s="3"/>
      <c r="K41" s="3"/>
      <c r="L41" s="3"/>
      <c r="M41" s="3"/>
    </row>
    <row r="42" spans="1:13" ht="15.75" customHeight="1">
      <c r="A42" s="3"/>
      <c r="B42" s="3"/>
      <c r="C42" s="549" t="s">
        <v>88</v>
      </c>
      <c r="D42" s="550">
        <f t="shared" ref="D42:G42" si="19">SUM(D36:D41)</f>
        <v>5581554.6100000003</v>
      </c>
      <c r="E42" s="550">
        <f t="shared" si="19"/>
        <v>687303</v>
      </c>
      <c r="F42" s="550">
        <f t="shared" si="19"/>
        <v>623510.28475200001</v>
      </c>
      <c r="G42" s="551">
        <f t="shared" si="19"/>
        <v>0.62351028475199999</v>
      </c>
      <c r="H42" s="552"/>
      <c r="I42" s="3"/>
      <c r="J42" s="3"/>
      <c r="K42" s="3"/>
      <c r="L42" s="3"/>
      <c r="M42" s="3"/>
    </row>
    <row r="43" spans="1:13" ht="15.75" customHeight="1">
      <c r="A43" s="3"/>
      <c r="B43" s="3"/>
      <c r="C43" s="553"/>
      <c r="D43" s="554"/>
      <c r="E43" s="554"/>
      <c r="F43" s="554"/>
      <c r="G43" s="555"/>
      <c r="H43" s="556"/>
      <c r="I43" s="3"/>
      <c r="J43" s="3"/>
      <c r="K43" s="3"/>
      <c r="L43" s="3"/>
      <c r="M43" s="3"/>
    </row>
    <row r="44" spans="1:13" ht="15.75" customHeight="1">
      <c r="A44" s="3"/>
      <c r="B44" s="3"/>
      <c r="C44" s="3"/>
      <c r="D44" s="3"/>
      <c r="E44" s="3"/>
      <c r="F44" s="3"/>
      <c r="G44" s="557"/>
      <c r="H44" s="3"/>
      <c r="I44" s="3"/>
      <c r="J44" s="3"/>
      <c r="K44" s="3"/>
      <c r="L44" s="3"/>
      <c r="M44" s="3"/>
    </row>
    <row r="45" spans="1:13" ht="15.75" customHeight="1">
      <c r="A45" s="3"/>
      <c r="B45" s="3"/>
      <c r="C45" s="3"/>
      <c r="D45" s="3"/>
      <c r="E45" s="3"/>
      <c r="F45" s="3"/>
      <c r="G45" s="3"/>
      <c r="H45" s="3"/>
      <c r="I45" s="3"/>
      <c r="J45" s="3"/>
      <c r="K45" s="3"/>
      <c r="L45" s="3"/>
      <c r="M45" s="3"/>
    </row>
    <row r="46" spans="1:13" ht="15.75" customHeight="1">
      <c r="A46" s="3"/>
      <c r="B46" s="3"/>
      <c r="C46" s="3"/>
      <c r="D46" s="3"/>
      <c r="E46" s="3"/>
      <c r="F46" s="3"/>
      <c r="G46" s="558"/>
      <c r="H46" s="3"/>
      <c r="I46" s="3"/>
      <c r="J46" s="3"/>
      <c r="K46" s="3"/>
      <c r="L46" s="3"/>
      <c r="M46" s="3"/>
    </row>
    <row r="47" spans="1:13" ht="15" customHeight="1">
      <c r="A47" s="3"/>
      <c r="B47" s="3"/>
      <c r="C47" s="530"/>
      <c r="D47" s="531" t="s">
        <v>586</v>
      </c>
      <c r="E47" s="531" t="s">
        <v>629</v>
      </c>
      <c r="F47" s="531" t="s">
        <v>630</v>
      </c>
      <c r="G47" s="532" t="s">
        <v>631</v>
      </c>
      <c r="H47" s="533"/>
      <c r="I47" s="3"/>
      <c r="J47" s="3"/>
      <c r="K47" s="3"/>
      <c r="L47" s="3"/>
      <c r="M47" s="3"/>
    </row>
    <row r="48" spans="1:13" ht="15" customHeight="1">
      <c r="A48" s="3"/>
      <c r="B48" s="3"/>
      <c r="C48" s="534"/>
      <c r="D48" s="535"/>
      <c r="E48" s="535" t="s">
        <v>524</v>
      </c>
      <c r="F48" s="535" t="s">
        <v>525</v>
      </c>
      <c r="G48" s="536" t="s">
        <v>632</v>
      </c>
      <c r="H48" s="533"/>
      <c r="I48" s="2858" t="s">
        <v>0</v>
      </c>
      <c r="J48" s="2859"/>
      <c r="K48" s="3"/>
    </row>
    <row r="49" spans="1:13" ht="15.75" customHeight="1">
      <c r="A49" s="3"/>
      <c r="B49" s="3"/>
      <c r="C49" s="537"/>
      <c r="D49" s="319"/>
      <c r="E49" s="319"/>
      <c r="F49" s="319"/>
      <c r="G49" s="538"/>
      <c r="H49" s="533"/>
      <c r="I49" s="240"/>
      <c r="J49" s="241"/>
      <c r="K49" s="3"/>
    </row>
    <row r="50" spans="1:13" ht="15.75" customHeight="1">
      <c r="A50" s="3"/>
      <c r="B50" s="3"/>
      <c r="C50" s="539" t="s">
        <v>194</v>
      </c>
      <c r="D50" s="540">
        <f>+D15+G15</f>
        <v>4325309.41</v>
      </c>
      <c r="E50" s="559">
        <f>+D19+G19+D23+G23+D27+G27</f>
        <v>41.714436534071638</v>
      </c>
      <c r="F50" s="560">
        <f>E50*0.907184</f>
        <v>37.842669392725242</v>
      </c>
      <c r="G50" s="561">
        <f>(+F50*$J$51)/1000000</f>
        <v>1.0595947429963067E-3</v>
      </c>
      <c r="H50" s="562"/>
      <c r="I50" s="240" t="s">
        <v>528</v>
      </c>
      <c r="J50" s="247">
        <f>Summary!E4</f>
        <v>1</v>
      </c>
      <c r="K50" s="3"/>
    </row>
    <row r="51" spans="1:13" ht="15.75" customHeight="1">
      <c r="A51" s="3"/>
      <c r="B51" s="3"/>
      <c r="C51" s="539"/>
      <c r="D51" s="455"/>
      <c r="E51" s="563"/>
      <c r="F51" s="560"/>
      <c r="G51" s="561"/>
      <c r="H51" s="562"/>
      <c r="I51" s="240" t="s">
        <v>530</v>
      </c>
      <c r="J51" s="247">
        <f>Summary!E5</f>
        <v>28</v>
      </c>
      <c r="K51" s="3"/>
    </row>
    <row r="52" spans="1:13" ht="15.75" customHeight="1">
      <c r="A52" s="3"/>
      <c r="B52" s="3"/>
      <c r="C52" s="539" t="s">
        <v>591</v>
      </c>
      <c r="D52" s="564">
        <f>+E15+F15</f>
        <v>0</v>
      </c>
      <c r="E52" s="565">
        <f>+E19+F19+E23+F23+E27+F27</f>
        <v>0</v>
      </c>
      <c r="F52" s="560">
        <f>E52*0.907184</f>
        <v>0</v>
      </c>
      <c r="G52" s="561">
        <f>(+F52*$J$51)/1000000</f>
        <v>0</v>
      </c>
      <c r="H52" s="562"/>
      <c r="I52" s="240" t="s">
        <v>532</v>
      </c>
      <c r="J52" s="247">
        <f>Summary!E6</f>
        <v>265</v>
      </c>
      <c r="K52" s="3"/>
    </row>
    <row r="53" spans="1:13" ht="15.75" customHeight="1">
      <c r="A53" s="3"/>
      <c r="B53" s="3"/>
      <c r="C53" s="539"/>
      <c r="D53" s="455"/>
      <c r="E53" s="563"/>
      <c r="F53" s="560"/>
      <c r="G53" s="561"/>
      <c r="H53" s="562"/>
      <c r="I53" s="240" t="s">
        <v>533</v>
      </c>
      <c r="J53" s="247">
        <f>Summary!E7</f>
        <v>23500</v>
      </c>
      <c r="K53" s="3"/>
    </row>
    <row r="54" spans="1:13" ht="15.75" customHeight="1">
      <c r="A54" s="3"/>
      <c r="B54" s="3"/>
      <c r="C54" s="539" t="s">
        <v>456</v>
      </c>
      <c r="D54" s="540">
        <f>+H15</f>
        <v>1256245.2</v>
      </c>
      <c r="E54" s="565">
        <f>+H19+H23+H27</f>
        <v>12.115563465928354</v>
      </c>
      <c r="F54" s="560">
        <f>E54*0.907184</f>
        <v>10.991045327274747</v>
      </c>
      <c r="G54" s="561">
        <f>(+F54*$J$51)/1000000</f>
        <v>3.0774926916369292E-4</v>
      </c>
      <c r="H54" s="562"/>
      <c r="I54" s="259"/>
      <c r="J54" s="260"/>
      <c r="K54" s="3"/>
    </row>
    <row r="55" spans="1:13" ht="15.75" customHeight="1">
      <c r="A55" s="3"/>
      <c r="B55" s="3"/>
      <c r="C55" s="544"/>
      <c r="D55" s="566"/>
      <c r="E55" s="567"/>
      <c r="F55" s="568"/>
      <c r="G55" s="569"/>
      <c r="H55" s="548"/>
      <c r="I55" s="3"/>
      <c r="J55" s="3"/>
      <c r="K55" s="3"/>
      <c r="L55" s="3"/>
      <c r="M55" s="3"/>
    </row>
    <row r="56" spans="1:13" ht="15.75" customHeight="1">
      <c r="A56" s="3"/>
      <c r="B56" s="3"/>
      <c r="C56" s="570" t="s">
        <v>88</v>
      </c>
      <c r="D56" s="571">
        <f t="shared" ref="D56:G56" si="20">SUM(D50:D55)</f>
        <v>5581554.6100000003</v>
      </c>
      <c r="E56" s="572">
        <f t="shared" si="20"/>
        <v>53.829999999999991</v>
      </c>
      <c r="F56" s="573">
        <f t="shared" si="20"/>
        <v>48.833714719999989</v>
      </c>
      <c r="G56" s="574">
        <f t="shared" si="20"/>
        <v>1.3673440121599995E-3</v>
      </c>
      <c r="H56" s="548"/>
      <c r="I56" s="3"/>
      <c r="J56" s="3"/>
      <c r="K56" s="3"/>
      <c r="L56" s="3"/>
      <c r="M56" s="3"/>
    </row>
    <row r="57" spans="1:13" ht="15.75" customHeight="1">
      <c r="A57" s="3"/>
      <c r="B57" s="3"/>
      <c r="C57" s="425"/>
      <c r="D57" s="412"/>
      <c r="E57" s="412"/>
      <c r="F57" s="412"/>
      <c r="G57" s="413"/>
      <c r="H57" s="556"/>
      <c r="I57" s="3"/>
      <c r="J57" s="3"/>
      <c r="K57" s="3"/>
      <c r="L57" s="3"/>
      <c r="M57" s="3"/>
    </row>
    <row r="58" spans="1:13" ht="15.75" customHeight="1">
      <c r="A58" s="3"/>
      <c r="B58" s="3"/>
      <c r="C58" s="3"/>
      <c r="D58" s="3"/>
      <c r="E58" s="3"/>
      <c r="F58" s="3"/>
      <c r="G58" s="557"/>
      <c r="H58" s="3"/>
      <c r="I58" s="3"/>
      <c r="J58" s="3"/>
      <c r="K58" s="3"/>
      <c r="L58" s="3"/>
      <c r="M58" s="3"/>
    </row>
    <row r="59" spans="1:13" ht="15.75" customHeight="1">
      <c r="A59" s="3"/>
      <c r="B59" s="3"/>
      <c r="C59" s="3"/>
      <c r="D59" s="3"/>
      <c r="E59" s="3"/>
      <c r="F59" s="3"/>
      <c r="G59" s="558"/>
      <c r="H59" s="3"/>
      <c r="I59" s="3"/>
      <c r="J59" s="3"/>
      <c r="K59" s="3"/>
      <c r="L59" s="3"/>
      <c r="M59" s="3"/>
    </row>
    <row r="60" spans="1:13" ht="15.75" customHeight="1">
      <c r="A60" s="3"/>
      <c r="B60" s="3"/>
      <c r="C60" s="530"/>
      <c r="D60" s="531" t="s">
        <v>586</v>
      </c>
      <c r="E60" s="531" t="s">
        <v>633</v>
      </c>
      <c r="F60" s="531" t="s">
        <v>634</v>
      </c>
      <c r="G60" s="532" t="s">
        <v>635</v>
      </c>
      <c r="H60" s="533"/>
      <c r="I60" s="3"/>
      <c r="J60" s="3"/>
      <c r="K60" s="3"/>
      <c r="L60" s="3"/>
      <c r="M60" s="3"/>
    </row>
    <row r="61" spans="1:13" ht="15.75" customHeight="1">
      <c r="A61" s="3"/>
      <c r="B61" s="3"/>
      <c r="C61" s="534"/>
      <c r="D61" s="535"/>
      <c r="E61" s="535" t="s">
        <v>524</v>
      </c>
      <c r="F61" s="535" t="s">
        <v>525</v>
      </c>
      <c r="G61" s="536" t="s">
        <v>636</v>
      </c>
      <c r="H61" s="533"/>
      <c r="I61" s="3"/>
      <c r="J61" s="3"/>
      <c r="K61" s="3"/>
      <c r="L61" s="3"/>
      <c r="M61" s="3"/>
    </row>
    <row r="62" spans="1:13" ht="15.75" customHeight="1">
      <c r="A62" s="3"/>
      <c r="B62" s="3"/>
      <c r="C62" s="537"/>
      <c r="D62" s="319"/>
      <c r="E62" s="319"/>
      <c r="F62" s="319"/>
      <c r="G62" s="538"/>
      <c r="H62" s="533"/>
      <c r="I62" s="3"/>
      <c r="J62" s="3"/>
      <c r="K62" s="3"/>
      <c r="L62" s="3"/>
      <c r="M62" s="3"/>
    </row>
    <row r="63" spans="1:13" ht="15.75" customHeight="1">
      <c r="A63" s="3"/>
      <c r="B63" s="3"/>
      <c r="C63" s="539" t="s">
        <v>194</v>
      </c>
      <c r="D63" s="575">
        <f>+D15+G15</f>
        <v>4325309.41</v>
      </c>
      <c r="E63" s="560">
        <f>+D20+G20+D24+G24+D28+G28</f>
        <v>6.0211995517320567</v>
      </c>
      <c r="F63" s="560">
        <f>E63*0.907184</f>
        <v>5.4623358941384943</v>
      </c>
      <c r="G63" s="576">
        <f>(+F63*$J$52)/1000000</f>
        <v>1.447519011946701E-3</v>
      </c>
      <c r="H63" s="562"/>
      <c r="I63" s="3"/>
      <c r="J63" s="3"/>
      <c r="K63" s="3"/>
      <c r="L63" s="3"/>
      <c r="M63" s="3"/>
    </row>
    <row r="64" spans="1:13" ht="15.75" customHeight="1">
      <c r="A64" s="3"/>
      <c r="B64" s="3"/>
      <c r="C64" s="539"/>
      <c r="D64" s="575"/>
      <c r="E64" s="560"/>
      <c r="F64" s="560"/>
      <c r="G64" s="576"/>
      <c r="H64" s="562"/>
      <c r="I64" s="3"/>
      <c r="J64" s="3"/>
      <c r="K64" s="3"/>
      <c r="L64" s="3"/>
      <c r="M64" s="3"/>
    </row>
    <row r="65" spans="1:13" ht="15.75" customHeight="1">
      <c r="A65" s="3"/>
      <c r="B65" s="3"/>
      <c r="C65" s="539" t="s">
        <v>591</v>
      </c>
      <c r="D65" s="577">
        <f>+E15+F15</f>
        <v>0</v>
      </c>
      <c r="E65" s="560">
        <f>+E20+F20+E24+F24+E28+F28</f>
        <v>0</v>
      </c>
      <c r="F65" s="560">
        <f>E65*0.907184</f>
        <v>0</v>
      </c>
      <c r="G65" s="576">
        <f>(+F65*$J$52)/1000000</f>
        <v>0</v>
      </c>
      <c r="H65" s="562"/>
      <c r="I65" s="3"/>
      <c r="J65" s="3"/>
      <c r="K65" s="3"/>
      <c r="L65" s="3"/>
      <c r="M65" s="3"/>
    </row>
    <row r="66" spans="1:13" ht="15.75" customHeight="1">
      <c r="A66" s="3"/>
      <c r="B66" s="3"/>
      <c r="C66" s="539"/>
      <c r="D66" s="575"/>
      <c r="E66" s="560"/>
      <c r="F66" s="560"/>
      <c r="G66" s="576"/>
      <c r="H66" s="562"/>
      <c r="I66" s="3"/>
      <c r="J66" s="3"/>
      <c r="K66" s="3"/>
      <c r="L66" s="3"/>
      <c r="M66" s="3"/>
    </row>
    <row r="67" spans="1:13" ht="15.75" customHeight="1">
      <c r="A67" s="3"/>
      <c r="B67" s="3"/>
      <c r="C67" s="539" t="s">
        <v>456</v>
      </c>
      <c r="D67" s="575">
        <f>+H15</f>
        <v>1256245.2</v>
      </c>
      <c r="E67" s="560">
        <f>+H20+H24+H28</f>
        <v>1.7488004482679422</v>
      </c>
      <c r="F67" s="560">
        <f>E67*0.907184</f>
        <v>1.5864837858615048</v>
      </c>
      <c r="G67" s="576">
        <f>(+F67*$J$52)/1000000</f>
        <v>4.2041820325329878E-4</v>
      </c>
      <c r="H67" s="562"/>
      <c r="I67" s="3"/>
      <c r="J67" s="3"/>
      <c r="K67" s="3"/>
      <c r="L67" s="3"/>
      <c r="M67" s="3"/>
    </row>
    <row r="68" spans="1:13" ht="15.75" customHeight="1">
      <c r="A68" s="3"/>
      <c r="B68" s="3"/>
      <c r="C68" s="539"/>
      <c r="D68" s="575"/>
      <c r="E68" s="560"/>
      <c r="F68" s="560"/>
      <c r="G68" s="576"/>
      <c r="H68" s="548"/>
      <c r="I68" s="3"/>
      <c r="J68" s="3"/>
      <c r="K68" s="3"/>
      <c r="L68" s="3"/>
      <c r="M68" s="3"/>
    </row>
    <row r="69" spans="1:13" ht="15.75" customHeight="1">
      <c r="A69" s="3"/>
      <c r="B69" s="3"/>
      <c r="C69" s="578" t="s">
        <v>88</v>
      </c>
      <c r="D69" s="579">
        <f t="shared" ref="D69:G69" si="21">SUM(D63:D68)</f>
        <v>5581554.6100000003</v>
      </c>
      <c r="E69" s="580">
        <f t="shared" si="21"/>
        <v>7.7699999999999987</v>
      </c>
      <c r="F69" s="580">
        <f t="shared" si="21"/>
        <v>7.0488196799999994</v>
      </c>
      <c r="G69" s="581">
        <f t="shared" si="21"/>
        <v>1.8679372151999998E-3</v>
      </c>
      <c r="H69" s="548"/>
      <c r="I69" s="3"/>
      <c r="J69" s="3"/>
      <c r="K69" s="3"/>
      <c r="L69" s="3"/>
      <c r="M69" s="3"/>
    </row>
    <row r="70" spans="1:13" ht="15.75" customHeight="1">
      <c r="A70" s="3"/>
      <c r="B70" s="3"/>
      <c r="C70" s="582"/>
      <c r="D70" s="583"/>
      <c r="E70" s="583"/>
      <c r="F70" s="583"/>
      <c r="G70" s="584"/>
      <c r="H70" s="556"/>
      <c r="I70" s="3"/>
      <c r="J70" s="3"/>
      <c r="K70" s="3"/>
      <c r="L70" s="3"/>
      <c r="M70" s="3"/>
    </row>
    <row r="71" spans="1:13" ht="15.75" customHeight="1">
      <c r="A71" s="3"/>
      <c r="B71" s="3"/>
      <c r="C71" s="3"/>
      <c r="D71" s="3"/>
      <c r="E71" s="3"/>
      <c r="F71" s="3"/>
      <c r="G71" s="557"/>
      <c r="H71" s="3"/>
      <c r="I71" s="3"/>
      <c r="J71" s="3"/>
      <c r="K71" s="3"/>
      <c r="L71" s="3"/>
      <c r="M71" s="3"/>
    </row>
    <row r="72" spans="1:13" ht="15.75" customHeight="1">
      <c r="A72" s="3"/>
      <c r="B72" s="3"/>
      <c r="C72" s="3"/>
      <c r="D72" s="3"/>
      <c r="E72" s="3"/>
      <c r="F72" s="3"/>
      <c r="G72" s="3"/>
      <c r="H72" s="3"/>
      <c r="I72" s="3"/>
      <c r="J72" s="3"/>
      <c r="K72" s="3"/>
      <c r="L72" s="3"/>
      <c r="M72" s="3"/>
    </row>
    <row r="73" spans="1:13" ht="15.75" customHeight="1">
      <c r="A73" s="3"/>
      <c r="B73" s="3"/>
      <c r="C73" s="3"/>
      <c r="D73" s="3"/>
      <c r="E73" s="3"/>
      <c r="F73" s="3"/>
      <c r="G73" s="3"/>
      <c r="H73" s="3"/>
      <c r="I73" s="3"/>
      <c r="J73" s="3"/>
      <c r="K73" s="3"/>
      <c r="L73" s="3"/>
      <c r="M73" s="3"/>
    </row>
    <row r="74" spans="1:13" ht="15.75" customHeight="1">
      <c r="A74" s="3"/>
      <c r="B74" s="3"/>
      <c r="C74" s="3"/>
      <c r="D74" s="3"/>
      <c r="E74" s="3"/>
      <c r="F74" s="3"/>
      <c r="G74" s="3"/>
      <c r="H74" s="3"/>
      <c r="I74" s="3"/>
      <c r="J74" s="3"/>
      <c r="K74" s="3"/>
      <c r="L74" s="3"/>
      <c r="M74" s="3"/>
    </row>
    <row r="75" spans="1:13" ht="15.75" customHeight="1"/>
    <row r="76" spans="1:13" ht="15.75" customHeight="1"/>
    <row r="77" spans="1:13" ht="15.75" customHeight="1"/>
    <row r="78" spans="1:13" ht="15.75" customHeight="1"/>
    <row r="79" spans="1:13" ht="15.75" customHeight="1"/>
    <row r="80" spans="1:13"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G3:J3"/>
    <mergeCell ref="D10:H10"/>
    <mergeCell ref="I48:J48"/>
  </mergeCells>
  <pageMargins left="0.75" right="0.75" top="1" bottom="1" header="0" footer="0"/>
  <pageSetup orientation="portrait"/>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1000"/>
  <sheetViews>
    <sheetView workbookViewId="0"/>
  </sheetViews>
  <sheetFormatPr defaultColWidth="16.85546875" defaultRowHeight="15" customHeight="1"/>
  <cols>
    <col min="1" max="1" width="3.85546875" customWidth="1"/>
    <col min="2" max="2" width="14.28515625" customWidth="1"/>
    <col min="3" max="3" width="38" customWidth="1"/>
    <col min="4" max="4" width="38.85546875" customWidth="1"/>
    <col min="5" max="5" width="17.28515625" customWidth="1"/>
    <col min="6" max="6" width="18.42578125" customWidth="1"/>
    <col min="7" max="7" width="13.42578125" customWidth="1"/>
    <col min="8" max="8" width="12.28515625" customWidth="1"/>
    <col min="9" max="9" width="24.7109375" customWidth="1"/>
    <col min="10" max="10" width="17.7109375" customWidth="1"/>
    <col min="11" max="11" width="21.28515625" customWidth="1"/>
    <col min="12" max="12" width="19.140625" customWidth="1"/>
    <col min="13" max="13" width="19.28515625" customWidth="1"/>
    <col min="14" max="14" width="12.140625" customWidth="1"/>
    <col min="15" max="15" width="20.28515625" customWidth="1"/>
    <col min="16" max="16" width="20" customWidth="1"/>
    <col min="17" max="17" width="18.85546875" customWidth="1"/>
    <col min="18" max="18" width="20.7109375" customWidth="1"/>
    <col min="19" max="19" width="22" customWidth="1"/>
    <col min="20" max="39" width="9.28515625" customWidth="1"/>
  </cols>
  <sheetData>
    <row r="1" spans="1:37" ht="12.75" customHeight="1">
      <c r="A1" s="144"/>
      <c r="B1" s="144"/>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row>
    <row r="2" spans="1:37" ht="12.75" customHeight="1">
      <c r="A2" s="144"/>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row>
    <row r="3" spans="1:37" ht="12.75" customHeight="1">
      <c r="A3" s="144"/>
      <c r="B3" s="145" t="s">
        <v>174</v>
      </c>
      <c r="C3" s="146" t="s">
        <v>175</v>
      </c>
      <c r="D3" s="146" t="s">
        <v>176</v>
      </c>
      <c r="E3" s="146" t="s">
        <v>177</v>
      </c>
      <c r="F3" s="146" t="s">
        <v>178</v>
      </c>
      <c r="G3" s="146" t="s">
        <v>178</v>
      </c>
      <c r="H3" s="146" t="s">
        <v>179</v>
      </c>
      <c r="I3" s="146" t="s">
        <v>180</v>
      </c>
      <c r="J3" s="147" t="s">
        <v>181</v>
      </c>
      <c r="K3" s="146" t="s">
        <v>637</v>
      </c>
      <c r="L3" s="146" t="s">
        <v>638</v>
      </c>
      <c r="M3" s="585" t="s">
        <v>639</v>
      </c>
      <c r="N3" s="144"/>
      <c r="O3" s="144"/>
      <c r="P3" s="144"/>
      <c r="Q3" s="144"/>
      <c r="R3" s="144"/>
      <c r="S3" s="144"/>
      <c r="T3" s="144"/>
      <c r="U3" s="144"/>
      <c r="V3" s="144"/>
      <c r="W3" s="144"/>
      <c r="X3" s="144"/>
      <c r="Y3" s="144"/>
      <c r="Z3" s="144"/>
      <c r="AA3" s="144"/>
      <c r="AB3" s="144"/>
      <c r="AC3" s="144"/>
      <c r="AD3" s="144"/>
      <c r="AE3" s="144"/>
      <c r="AF3" s="144"/>
      <c r="AG3" s="144"/>
      <c r="AH3" s="144"/>
      <c r="AI3" s="144"/>
      <c r="AJ3" s="144"/>
      <c r="AK3" s="144"/>
    </row>
    <row r="4" spans="1:37" ht="12.75" customHeight="1">
      <c r="A4" s="144"/>
      <c r="B4" s="148"/>
      <c r="C4" s="149"/>
      <c r="D4" s="149"/>
      <c r="E4" s="149"/>
      <c r="F4" s="149"/>
      <c r="G4" s="149" t="s">
        <v>185</v>
      </c>
      <c r="H4" s="149" t="s">
        <v>186</v>
      </c>
      <c r="I4" s="149" t="s">
        <v>187</v>
      </c>
      <c r="J4" s="149" t="s">
        <v>188</v>
      </c>
      <c r="K4" s="149" t="s">
        <v>189</v>
      </c>
      <c r="L4" s="149" t="s">
        <v>189</v>
      </c>
      <c r="M4" s="586" t="s">
        <v>189</v>
      </c>
      <c r="N4" s="144"/>
      <c r="O4" s="144"/>
      <c r="P4" s="144"/>
      <c r="Q4" s="144"/>
      <c r="R4" s="144"/>
      <c r="S4" s="144"/>
      <c r="T4" s="144"/>
      <c r="U4" s="144"/>
      <c r="V4" s="144"/>
      <c r="W4" s="144"/>
      <c r="X4" s="144"/>
      <c r="Y4" s="144"/>
      <c r="Z4" s="144"/>
      <c r="AA4" s="144"/>
      <c r="AB4" s="144"/>
      <c r="AC4" s="144"/>
      <c r="AD4" s="144"/>
      <c r="AE4" s="144"/>
      <c r="AF4" s="144"/>
      <c r="AG4" s="144"/>
      <c r="AH4" s="144"/>
      <c r="AI4" s="144"/>
      <c r="AJ4" s="144"/>
      <c r="AK4" s="144"/>
    </row>
    <row r="5" spans="1:37" ht="12.75" customHeight="1">
      <c r="A5" s="144"/>
      <c r="B5" s="150"/>
      <c r="C5" s="151"/>
      <c r="D5" s="151"/>
      <c r="E5" s="151"/>
      <c r="F5" s="151"/>
      <c r="G5" s="151"/>
      <c r="H5" s="151"/>
      <c r="I5" s="151"/>
      <c r="J5" s="151"/>
      <c r="K5" s="152"/>
      <c r="L5" s="151"/>
      <c r="M5" s="587"/>
      <c r="N5" s="144"/>
      <c r="O5" s="144"/>
      <c r="P5" s="144"/>
      <c r="Q5" s="144"/>
      <c r="R5" s="144"/>
      <c r="S5" s="144"/>
      <c r="T5" s="144"/>
      <c r="U5" s="144"/>
      <c r="V5" s="144"/>
      <c r="W5" s="144"/>
      <c r="X5" s="144"/>
      <c r="Y5" s="144"/>
      <c r="Z5" s="144"/>
      <c r="AA5" s="144"/>
      <c r="AB5" s="144"/>
      <c r="AC5" s="144"/>
      <c r="AD5" s="144"/>
      <c r="AE5" s="144"/>
      <c r="AF5" s="144"/>
      <c r="AG5" s="144"/>
      <c r="AH5" s="144"/>
      <c r="AI5" s="144"/>
      <c r="AJ5" s="144"/>
      <c r="AK5" s="144"/>
    </row>
    <row r="6" spans="1:37" ht="12.75" customHeight="1">
      <c r="A6" s="144"/>
      <c r="B6" s="153" t="s">
        <v>190</v>
      </c>
      <c r="C6" s="154" t="s">
        <v>191</v>
      </c>
      <c r="D6" s="155"/>
      <c r="E6" s="155"/>
      <c r="F6" s="156"/>
      <c r="G6" s="155"/>
      <c r="H6" s="155"/>
      <c r="I6" s="155"/>
      <c r="J6" s="157"/>
      <c r="K6" s="155"/>
      <c r="L6" s="155"/>
      <c r="M6" s="588"/>
      <c r="N6" s="144"/>
      <c r="O6" s="144"/>
      <c r="P6" s="144"/>
      <c r="Q6" s="144"/>
      <c r="R6" s="144"/>
      <c r="S6" s="144"/>
      <c r="T6" s="144"/>
      <c r="U6" s="144"/>
      <c r="V6" s="144"/>
      <c r="W6" s="144"/>
      <c r="X6" s="144"/>
      <c r="Y6" s="144"/>
      <c r="Z6" s="144"/>
      <c r="AA6" s="144"/>
      <c r="AB6" s="144"/>
      <c r="AC6" s="144"/>
      <c r="AD6" s="144"/>
      <c r="AE6" s="144"/>
      <c r="AF6" s="144"/>
      <c r="AG6" s="144"/>
      <c r="AH6" s="144"/>
      <c r="AI6" s="144"/>
      <c r="AJ6" s="144"/>
      <c r="AK6" s="144"/>
    </row>
    <row r="7" spans="1:37" ht="12.75" customHeight="1">
      <c r="A7" s="144"/>
      <c r="B7" s="150"/>
      <c r="C7" s="151" t="s">
        <v>192</v>
      </c>
      <c r="D7" s="151" t="s">
        <v>193</v>
      </c>
      <c r="E7" s="151" t="s">
        <v>194</v>
      </c>
      <c r="F7" s="152">
        <v>570254</v>
      </c>
      <c r="G7" s="151" t="s">
        <v>195</v>
      </c>
      <c r="H7" s="158">
        <v>11024</v>
      </c>
      <c r="I7" s="151" t="s">
        <v>196</v>
      </c>
      <c r="J7" s="159">
        <v>13150280</v>
      </c>
      <c r="K7" s="160">
        <f>+J7/(J7+J8)*K9</f>
        <v>1346069.7628695085</v>
      </c>
      <c r="L7" s="160">
        <f>+J7/(J7+J8)*L9</f>
        <v>159.22588972772317</v>
      </c>
      <c r="M7" s="589">
        <f>+J7/(J7+J8)*M9</f>
        <v>23.164302999752131</v>
      </c>
      <c r="N7" s="144"/>
      <c r="O7" s="144"/>
      <c r="P7" s="144"/>
      <c r="Q7" s="144"/>
      <c r="R7" s="144"/>
      <c r="S7" s="144"/>
      <c r="T7" s="144"/>
      <c r="U7" s="144"/>
      <c r="V7" s="144"/>
      <c r="W7" s="144"/>
      <c r="X7" s="144"/>
      <c r="Y7" s="144"/>
      <c r="Z7" s="144"/>
      <c r="AA7" s="144"/>
      <c r="AB7" s="144"/>
      <c r="AC7" s="144"/>
      <c r="AD7" s="144"/>
      <c r="AE7" s="144"/>
      <c r="AF7" s="144"/>
      <c r="AG7" s="144"/>
      <c r="AH7" s="144"/>
      <c r="AI7" s="144"/>
      <c r="AJ7" s="144"/>
      <c r="AK7" s="144"/>
    </row>
    <row r="8" spans="1:37" ht="12.75" customHeight="1">
      <c r="A8" s="144"/>
      <c r="B8" s="150"/>
      <c r="C8" s="151" t="s">
        <v>192</v>
      </c>
      <c r="D8" s="151" t="s">
        <v>193</v>
      </c>
      <c r="E8" s="151" t="s">
        <v>244</v>
      </c>
      <c r="F8" s="152">
        <v>185300</v>
      </c>
      <c r="G8" s="151" t="s">
        <v>245</v>
      </c>
      <c r="H8" s="158">
        <v>140000</v>
      </c>
      <c r="I8" s="151" t="s">
        <v>246</v>
      </c>
      <c r="J8" s="159">
        <v>25942</v>
      </c>
      <c r="K8" s="160">
        <f>+J8/(J8+J7)*K9</f>
        <v>2655.437130491578</v>
      </c>
      <c r="L8" s="160">
        <f>+J8/(J8+J7)*L9</f>
        <v>0.31411027227683325</v>
      </c>
      <c r="M8" s="589">
        <f>+J8/(J8+J7)*M9</f>
        <v>4.5697000247870753E-2</v>
      </c>
      <c r="N8" s="144"/>
      <c r="O8" s="144"/>
      <c r="P8" s="144"/>
      <c r="Q8" s="144"/>
      <c r="R8" s="144"/>
      <c r="S8" s="144"/>
      <c r="T8" s="144"/>
      <c r="U8" s="144"/>
      <c r="V8" s="144"/>
      <c r="W8" s="144"/>
      <c r="X8" s="144"/>
      <c r="Y8" s="144"/>
      <c r="Z8" s="144"/>
      <c r="AA8" s="144"/>
      <c r="AB8" s="144"/>
      <c r="AC8" s="144"/>
      <c r="AD8" s="144"/>
      <c r="AE8" s="144"/>
      <c r="AF8" s="144"/>
      <c r="AG8" s="144"/>
      <c r="AH8" s="144"/>
      <c r="AI8" s="144"/>
      <c r="AJ8" s="144"/>
      <c r="AK8" s="144"/>
    </row>
    <row r="9" spans="1:37" ht="12.75" customHeight="1">
      <c r="A9" s="144"/>
      <c r="B9" s="150"/>
      <c r="C9" s="151"/>
      <c r="D9" s="151"/>
      <c r="E9" s="151"/>
      <c r="F9" s="152"/>
      <c r="G9" s="151"/>
      <c r="H9" s="158"/>
      <c r="I9" s="151"/>
      <c r="J9" s="590">
        <f>SUM(J7:J8)</f>
        <v>13176222</v>
      </c>
      <c r="K9" s="180">
        <v>1348725.2</v>
      </c>
      <c r="L9" s="151">
        <v>159.54</v>
      </c>
      <c r="M9" s="587">
        <v>23.21</v>
      </c>
      <c r="N9" s="144"/>
      <c r="O9" s="144"/>
      <c r="P9" s="144"/>
      <c r="Q9" s="144"/>
      <c r="R9" s="144"/>
      <c r="S9" s="144"/>
      <c r="T9" s="144"/>
      <c r="U9" s="144"/>
      <c r="V9" s="144"/>
      <c r="W9" s="144"/>
      <c r="X9" s="144"/>
      <c r="Y9" s="144"/>
      <c r="Z9" s="144"/>
      <c r="AA9" s="144"/>
      <c r="AB9" s="144"/>
      <c r="AC9" s="144"/>
      <c r="AD9" s="144"/>
      <c r="AE9" s="144"/>
      <c r="AF9" s="144"/>
      <c r="AG9" s="144"/>
      <c r="AH9" s="144"/>
      <c r="AI9" s="144"/>
      <c r="AJ9" s="144"/>
      <c r="AK9" s="144"/>
    </row>
    <row r="10" spans="1:37" ht="12.75" customHeight="1">
      <c r="A10" s="144"/>
      <c r="B10" s="150"/>
      <c r="C10" s="151"/>
      <c r="D10" s="151"/>
      <c r="E10" s="151"/>
      <c r="F10" s="152"/>
      <c r="G10" s="151"/>
      <c r="H10" s="158"/>
      <c r="I10" s="151"/>
      <c r="J10" s="196"/>
      <c r="K10" s="151"/>
      <c r="L10" s="151"/>
      <c r="M10" s="591"/>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row>
    <row r="11" spans="1:37" ht="12.75" customHeight="1">
      <c r="A11" s="144"/>
      <c r="B11" s="150"/>
      <c r="C11" s="151" t="s">
        <v>247</v>
      </c>
      <c r="D11" s="151" t="s">
        <v>248</v>
      </c>
      <c r="E11" s="151" t="s">
        <v>244</v>
      </c>
      <c r="F11" s="152">
        <v>324</v>
      </c>
      <c r="G11" s="151" t="s">
        <v>245</v>
      </c>
      <c r="H11" s="158">
        <v>140000</v>
      </c>
      <c r="I11" s="151" t="s">
        <v>246</v>
      </c>
      <c r="J11" s="144">
        <f>(F11*H11)/1000000</f>
        <v>45.36</v>
      </c>
      <c r="K11" s="151">
        <v>3.65</v>
      </c>
      <c r="L11" s="188">
        <v>0</v>
      </c>
      <c r="M11" s="592">
        <v>0</v>
      </c>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row>
    <row r="12" spans="1:37" ht="12.75" customHeight="1">
      <c r="A12" s="144"/>
      <c r="B12" s="150"/>
      <c r="C12" s="151"/>
      <c r="D12" s="151"/>
      <c r="E12" s="151"/>
      <c r="F12" s="151"/>
      <c r="G12" s="151"/>
      <c r="H12" s="151"/>
      <c r="I12" s="151"/>
      <c r="J12" s="196"/>
      <c r="K12" s="151"/>
      <c r="L12" s="188"/>
      <c r="M12" s="592"/>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row>
    <row r="13" spans="1:37" ht="12.75" customHeight="1">
      <c r="A13" s="144"/>
      <c r="B13" s="150"/>
      <c r="C13" s="151" t="s">
        <v>454</v>
      </c>
      <c r="D13" s="151" t="s">
        <v>455</v>
      </c>
      <c r="E13" s="151" t="s">
        <v>456</v>
      </c>
      <c r="F13" s="152">
        <v>3414700</v>
      </c>
      <c r="G13" s="151" t="s">
        <v>457</v>
      </c>
      <c r="H13" s="158">
        <v>1020</v>
      </c>
      <c r="I13" s="151" t="s">
        <v>458</v>
      </c>
      <c r="J13" s="227">
        <f>(F13*H13)/1000000</f>
        <v>3482.9940000000001</v>
      </c>
      <c r="K13" s="151">
        <v>205.16</v>
      </c>
      <c r="L13" s="188">
        <v>0</v>
      </c>
      <c r="M13" s="592">
        <v>0</v>
      </c>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row>
    <row r="14" spans="1:37" ht="12.75" customHeight="1">
      <c r="A14" s="144"/>
      <c r="B14" s="161"/>
      <c r="C14" s="162"/>
      <c r="D14" s="162"/>
      <c r="E14" s="162"/>
      <c r="F14" s="163"/>
      <c r="G14" s="162"/>
      <c r="H14" s="164"/>
      <c r="I14" s="162"/>
      <c r="J14" s="165"/>
      <c r="K14" s="162"/>
      <c r="L14" s="166"/>
      <c r="M14" s="593"/>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row>
    <row r="15" spans="1:37" ht="12.75" customHeight="1">
      <c r="A15" s="144"/>
      <c r="B15" s="150"/>
      <c r="C15" s="151"/>
      <c r="D15" s="151"/>
      <c r="E15" s="151"/>
      <c r="F15" s="158"/>
      <c r="G15" s="151"/>
      <c r="H15" s="158"/>
      <c r="I15" s="151"/>
      <c r="J15" s="158"/>
      <c r="K15" s="156"/>
      <c r="L15" s="167"/>
      <c r="M15" s="587"/>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row>
    <row r="16" spans="1:37" ht="12.75" customHeight="1">
      <c r="A16" s="144"/>
      <c r="B16" s="150" t="s">
        <v>197</v>
      </c>
      <c r="C16" s="168" t="s">
        <v>198</v>
      </c>
      <c r="D16" s="151"/>
      <c r="E16" s="151"/>
      <c r="F16" s="158"/>
      <c r="G16" s="151"/>
      <c r="H16" s="158"/>
      <c r="I16" s="151"/>
      <c r="J16" s="151"/>
      <c r="K16" s="158"/>
      <c r="L16" s="167"/>
      <c r="M16" s="587"/>
      <c r="N16" s="144"/>
      <c r="O16" s="168" t="s">
        <v>640</v>
      </c>
      <c r="P16" s="144"/>
      <c r="Q16" s="144"/>
      <c r="R16" s="144"/>
      <c r="S16" s="144"/>
      <c r="T16" s="144"/>
      <c r="U16" s="144"/>
      <c r="V16" s="144"/>
      <c r="W16" s="144"/>
      <c r="X16" s="144"/>
      <c r="Y16" s="144"/>
      <c r="Z16" s="144"/>
      <c r="AA16" s="144"/>
      <c r="AB16" s="144"/>
      <c r="AC16" s="144"/>
      <c r="AD16" s="144"/>
      <c r="AE16" s="144"/>
      <c r="AF16" s="144"/>
      <c r="AG16" s="144"/>
      <c r="AH16" s="144"/>
      <c r="AI16" s="144"/>
      <c r="AJ16" s="144"/>
      <c r="AK16" s="144"/>
    </row>
    <row r="17" spans="1:39" ht="12.75" customHeight="1">
      <c r="A17" s="144"/>
      <c r="B17" s="150"/>
      <c r="C17" s="177"/>
      <c r="D17" s="151"/>
      <c r="E17" s="151"/>
      <c r="F17" s="158"/>
      <c r="G17" s="151"/>
      <c r="H17" s="158"/>
      <c r="I17" s="151"/>
      <c r="J17" s="151"/>
      <c r="K17" s="198"/>
      <c r="L17" s="167"/>
      <c r="M17" s="587"/>
      <c r="N17" s="144"/>
      <c r="O17" s="144" t="s">
        <v>3</v>
      </c>
      <c r="P17" s="144" t="s">
        <v>641</v>
      </c>
      <c r="Q17" s="144"/>
      <c r="R17" s="144"/>
      <c r="S17" s="144"/>
      <c r="T17" s="144"/>
      <c r="U17" s="144"/>
      <c r="V17" s="144"/>
      <c r="W17" s="144"/>
      <c r="X17" s="144"/>
      <c r="Y17" s="144"/>
      <c r="Z17" s="144"/>
      <c r="AA17" s="144"/>
      <c r="AB17" s="144"/>
      <c r="AC17" s="144"/>
      <c r="AD17" s="144"/>
      <c r="AE17" s="144"/>
      <c r="AF17" s="144"/>
      <c r="AG17" s="144"/>
      <c r="AH17" s="144"/>
      <c r="AI17" s="144"/>
      <c r="AJ17" s="144"/>
      <c r="AK17" s="144"/>
    </row>
    <row r="18" spans="1:39" ht="12.75" customHeight="1">
      <c r="A18" s="144"/>
      <c r="B18" s="150"/>
      <c r="C18" s="151" t="s">
        <v>199</v>
      </c>
      <c r="D18" s="169" t="s">
        <v>200</v>
      </c>
      <c r="E18" s="151" t="s">
        <v>249</v>
      </c>
      <c r="F18" s="152">
        <v>1204681</v>
      </c>
      <c r="G18" s="151" t="s">
        <v>245</v>
      </c>
      <c r="H18" s="197">
        <v>0.13800000000000001</v>
      </c>
      <c r="I18" s="151" t="s">
        <v>250</v>
      </c>
      <c r="J18" s="174">
        <f>F18*H18</f>
        <v>166245.978</v>
      </c>
      <c r="K18" s="170">
        <f>(+J18/(J18+J19))*K20</f>
        <v>17666.009736203665</v>
      </c>
      <c r="L18" s="171">
        <v>0.55300000000000005</v>
      </c>
      <c r="M18" s="594">
        <v>0.11</v>
      </c>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row>
    <row r="19" spans="1:39" ht="12.75" customHeight="1">
      <c r="A19" s="144"/>
      <c r="B19" s="150"/>
      <c r="C19" s="151"/>
      <c r="D19" s="169" t="s">
        <v>200</v>
      </c>
      <c r="E19" s="151" t="s">
        <v>201</v>
      </c>
      <c r="F19" s="152">
        <v>697617</v>
      </c>
      <c r="G19" s="151" t="s">
        <v>195</v>
      </c>
      <c r="H19" s="167">
        <v>26.03</v>
      </c>
      <c r="I19" s="151" t="s">
        <v>202</v>
      </c>
      <c r="J19" s="152">
        <f>(F19*H19)</f>
        <v>18158970.510000002</v>
      </c>
      <c r="K19" s="170">
        <f>(+J19/(J18+J19))*K20</f>
        <v>1929649.9902637964</v>
      </c>
      <c r="L19" s="171">
        <v>220.131</v>
      </c>
      <c r="M19" s="594">
        <v>32.027000000000001</v>
      </c>
      <c r="N19" s="144"/>
      <c r="O19" s="595"/>
      <c r="P19" s="144" t="s">
        <v>642</v>
      </c>
      <c r="Q19" s="144" t="s">
        <v>643</v>
      </c>
      <c r="R19" s="144"/>
      <c r="S19" s="144"/>
      <c r="T19" s="144"/>
      <c r="U19" s="144"/>
      <c r="V19" s="144"/>
      <c r="W19" s="144"/>
      <c r="X19" s="144"/>
      <c r="Y19" s="144"/>
      <c r="Z19" s="144"/>
      <c r="AA19" s="144"/>
      <c r="AB19" s="144"/>
      <c r="AC19" s="144"/>
      <c r="AD19" s="144"/>
      <c r="AE19" s="144"/>
      <c r="AF19" s="144"/>
      <c r="AG19" s="144"/>
      <c r="AH19" s="144"/>
      <c r="AI19" s="144"/>
      <c r="AJ19" s="144"/>
      <c r="AK19" s="144"/>
    </row>
    <row r="20" spans="1:39" ht="12.75" customHeight="1">
      <c r="A20" s="144"/>
      <c r="B20" s="150"/>
      <c r="C20" s="151"/>
      <c r="D20" s="169"/>
      <c r="E20" s="151"/>
      <c r="F20" s="158"/>
      <c r="G20" s="151"/>
      <c r="H20" s="158"/>
      <c r="I20" s="151"/>
      <c r="J20" s="173">
        <f>J18+J19</f>
        <v>18325216.488000002</v>
      </c>
      <c r="K20" s="179">
        <v>1947316</v>
      </c>
      <c r="L20" s="180">
        <f t="shared" ref="L20:M20" si="0">L18+L19</f>
        <v>220.684</v>
      </c>
      <c r="M20" s="596">
        <f t="shared" si="0"/>
        <v>32.137</v>
      </c>
      <c r="N20" s="144"/>
      <c r="O20" s="144" t="s">
        <v>194</v>
      </c>
      <c r="P20" s="597">
        <v>2.2000000000000001E-3</v>
      </c>
      <c r="Q20" s="597">
        <v>3.5200000000000001E-3</v>
      </c>
      <c r="R20" s="144"/>
      <c r="S20" s="144"/>
      <c r="T20" s="144"/>
      <c r="U20" s="144"/>
      <c r="V20" s="144"/>
      <c r="W20" s="144"/>
      <c r="X20" s="144"/>
      <c r="Y20" s="144"/>
      <c r="Z20" s="144"/>
      <c r="AA20" s="144"/>
      <c r="AB20" s="144"/>
      <c r="AC20" s="144"/>
      <c r="AD20" s="144"/>
      <c r="AE20" s="144"/>
      <c r="AF20" s="144"/>
      <c r="AG20" s="144"/>
      <c r="AH20" s="144"/>
      <c r="AI20" s="144"/>
      <c r="AJ20" s="144"/>
      <c r="AK20" s="144"/>
    </row>
    <row r="21" spans="1:39" ht="12.75" customHeight="1">
      <c r="A21" s="144"/>
      <c r="B21" s="150"/>
      <c r="C21" s="151"/>
      <c r="D21" s="169"/>
      <c r="E21" s="151"/>
      <c r="F21" s="158"/>
      <c r="G21" s="151"/>
      <c r="H21" s="158"/>
      <c r="I21" s="151"/>
      <c r="J21" s="173"/>
      <c r="K21" s="179"/>
      <c r="L21" s="183"/>
      <c r="M21" s="594"/>
      <c r="N21" s="144"/>
      <c r="O21" s="144" t="s">
        <v>306</v>
      </c>
      <c r="P21" s="597">
        <v>6.6E-3</v>
      </c>
      <c r="Q21" s="597">
        <v>1.32E-3</v>
      </c>
      <c r="R21" s="144"/>
      <c r="S21" s="144"/>
      <c r="T21" s="144"/>
      <c r="U21" s="144"/>
      <c r="V21" s="144"/>
      <c r="W21" s="144"/>
      <c r="X21" s="144"/>
      <c r="Y21" s="144"/>
      <c r="Z21" s="144"/>
      <c r="AA21" s="144"/>
      <c r="AB21" s="144"/>
      <c r="AC21" s="144"/>
      <c r="AD21" s="144"/>
      <c r="AE21" s="144"/>
      <c r="AF21" s="144"/>
      <c r="AG21" s="144"/>
      <c r="AH21" s="144"/>
      <c r="AI21" s="144"/>
      <c r="AJ21" s="144"/>
      <c r="AK21" s="144"/>
    </row>
    <row r="22" spans="1:39" ht="12.75" customHeight="1">
      <c r="A22" s="144"/>
      <c r="B22" s="150"/>
      <c r="C22" s="151" t="s">
        <v>203</v>
      </c>
      <c r="D22" s="169" t="s">
        <v>204</v>
      </c>
      <c r="E22" s="151" t="s">
        <v>249</v>
      </c>
      <c r="F22" s="152">
        <v>1214369</v>
      </c>
      <c r="G22" s="151" t="s">
        <v>245</v>
      </c>
      <c r="H22" s="198">
        <v>0.13800000000000001</v>
      </c>
      <c r="I22" s="151" t="s">
        <v>250</v>
      </c>
      <c r="J22" s="174">
        <f t="shared" ref="J22:J23" si="1">F22*H22</f>
        <v>167582.92200000002</v>
      </c>
      <c r="K22" s="173">
        <f t="shared" ref="K22:K23" si="2">(J22/(J$23+J$22))*K$24</f>
        <v>17298.243524650614</v>
      </c>
      <c r="L22" s="174">
        <v>0.55800000000000005</v>
      </c>
      <c r="M22" s="594">
        <v>0.111</v>
      </c>
      <c r="N22" s="144"/>
      <c r="O22" s="144" t="s">
        <v>433</v>
      </c>
      <c r="P22" s="597">
        <v>6.6E-3</v>
      </c>
      <c r="Q22" s="597">
        <v>1.32E-3</v>
      </c>
      <c r="R22" s="144"/>
      <c r="S22" s="144"/>
      <c r="T22" s="144"/>
      <c r="U22" s="144"/>
      <c r="V22" s="144"/>
      <c r="W22" s="144"/>
      <c r="X22" s="144"/>
      <c r="Y22" s="144"/>
      <c r="Z22" s="144"/>
      <c r="AA22" s="144"/>
      <c r="AB22" s="144"/>
      <c r="AC22" s="144"/>
      <c r="AD22" s="144"/>
      <c r="AE22" s="144"/>
      <c r="AF22" s="144"/>
      <c r="AG22" s="144"/>
      <c r="AH22" s="144"/>
      <c r="AI22" s="144"/>
      <c r="AJ22" s="144"/>
      <c r="AK22" s="144"/>
    </row>
    <row r="23" spans="1:39" ht="12.75" customHeight="1">
      <c r="A23" s="144"/>
      <c r="B23" s="150"/>
      <c r="C23" s="151"/>
      <c r="D23" s="169" t="s">
        <v>204</v>
      </c>
      <c r="E23" s="151" t="s">
        <v>201</v>
      </c>
      <c r="F23" s="152">
        <v>960444</v>
      </c>
      <c r="G23" s="151" t="s">
        <v>195</v>
      </c>
      <c r="H23" s="167">
        <v>26.03</v>
      </c>
      <c r="I23" s="151" t="s">
        <v>202</v>
      </c>
      <c r="J23" s="152">
        <f t="shared" si="1"/>
        <v>25000357.32</v>
      </c>
      <c r="K23" s="173">
        <f t="shared" si="2"/>
        <v>2580586.7564753494</v>
      </c>
      <c r="L23" s="174">
        <v>303.13499999999999</v>
      </c>
      <c r="M23" s="594">
        <v>44.094000000000001</v>
      </c>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row>
    <row r="24" spans="1:39" ht="12.75" customHeight="1">
      <c r="A24" s="144"/>
      <c r="B24" s="150"/>
      <c r="C24" s="151"/>
      <c r="D24" s="169"/>
      <c r="E24" s="151"/>
      <c r="F24" s="158"/>
      <c r="G24" s="151"/>
      <c r="H24" s="158"/>
      <c r="I24" s="151"/>
      <c r="J24" s="173">
        <f>J22+J23</f>
        <v>25167940.241999999</v>
      </c>
      <c r="K24" s="179">
        <v>2597885</v>
      </c>
      <c r="L24" s="180">
        <f t="shared" ref="L24:M24" si="3">L22+L23</f>
        <v>303.69299999999998</v>
      </c>
      <c r="M24" s="598">
        <f t="shared" si="3"/>
        <v>44.204999999999998</v>
      </c>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row>
    <row r="25" spans="1:39" ht="12.75" customHeight="1">
      <c r="A25" s="144"/>
      <c r="B25" s="150"/>
      <c r="C25" s="151"/>
      <c r="D25" s="169"/>
      <c r="E25" s="151"/>
      <c r="F25" s="158"/>
      <c r="G25" s="151"/>
      <c r="H25" s="158"/>
      <c r="I25" s="151"/>
      <c r="J25" s="151"/>
      <c r="K25" s="158"/>
      <c r="L25" s="167"/>
      <c r="M25" s="587"/>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row>
    <row r="26" spans="1:39" ht="12.75" customHeight="1">
      <c r="A26" s="144"/>
      <c r="B26" s="153"/>
      <c r="C26" s="155"/>
      <c r="D26" s="175"/>
      <c r="E26" s="155"/>
      <c r="F26" s="156"/>
      <c r="G26" s="155"/>
      <c r="H26" s="156"/>
      <c r="I26" s="155"/>
      <c r="J26" s="155"/>
      <c r="K26" s="156"/>
      <c r="L26" s="176"/>
      <c r="M26" s="588"/>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row>
    <row r="27" spans="1:39" ht="12.75" customHeight="1">
      <c r="A27" s="144"/>
      <c r="B27" s="150" t="s">
        <v>205</v>
      </c>
      <c r="C27" s="177" t="s">
        <v>206</v>
      </c>
      <c r="D27" s="169"/>
      <c r="E27" s="151"/>
      <c r="F27" s="158"/>
      <c r="G27" s="151"/>
      <c r="H27" s="158"/>
      <c r="I27" s="151"/>
      <c r="J27" s="151"/>
      <c r="K27" s="158"/>
      <c r="L27" s="167"/>
      <c r="M27" s="587"/>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row>
    <row r="28" spans="1:39" ht="12.75" customHeight="1">
      <c r="A28" s="144"/>
      <c r="B28" s="150"/>
      <c r="C28" s="151" t="s">
        <v>207</v>
      </c>
      <c r="D28" s="169" t="s">
        <v>208</v>
      </c>
      <c r="E28" s="151" t="s">
        <v>459</v>
      </c>
      <c r="F28" s="152">
        <v>20272000</v>
      </c>
      <c r="G28" s="151" t="s">
        <v>457</v>
      </c>
      <c r="H28" s="158">
        <v>1063</v>
      </c>
      <c r="I28" s="151" t="s">
        <v>460</v>
      </c>
      <c r="J28" s="152">
        <f>(F28*H28)/1000000</f>
        <v>21549.135999999999</v>
      </c>
      <c r="K28" s="158">
        <f>(+J28/(J28+J29+J30))*K31</f>
        <v>2268.3908720086761</v>
      </c>
      <c r="L28" s="167">
        <v>2.5999999999999999E-2</v>
      </c>
      <c r="M28" s="587">
        <v>3.0000000000000001E-3</v>
      </c>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row>
    <row r="29" spans="1:39" ht="12.75" customHeight="1">
      <c r="A29" s="144"/>
      <c r="B29" s="150"/>
      <c r="C29" s="151"/>
      <c r="D29" s="169" t="s">
        <v>208</v>
      </c>
      <c r="E29" s="151" t="s">
        <v>209</v>
      </c>
      <c r="F29" s="152">
        <v>15307</v>
      </c>
      <c r="G29" s="151" t="s">
        <v>195</v>
      </c>
      <c r="H29" s="167">
        <v>22.08</v>
      </c>
      <c r="I29" s="151" t="s">
        <v>210</v>
      </c>
      <c r="J29" s="152">
        <f t="shared" ref="J29:J30" si="4">F29*H29</f>
        <v>337978.56</v>
      </c>
      <c r="K29" s="158">
        <f>(+J29/(J28+J29+J30))*K31</f>
        <v>35577.643597341281</v>
      </c>
      <c r="L29" s="167">
        <v>0.41</v>
      </c>
      <c r="M29" s="587">
        <v>0.65600000000000003</v>
      </c>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row>
    <row r="30" spans="1:39" ht="12.75" customHeight="1">
      <c r="A30" s="144"/>
      <c r="B30" s="150"/>
      <c r="C30" s="151"/>
      <c r="D30" s="169" t="s">
        <v>208</v>
      </c>
      <c r="E30" s="151" t="s">
        <v>211</v>
      </c>
      <c r="F30" s="152">
        <v>47337</v>
      </c>
      <c r="G30" s="151" t="s">
        <v>195</v>
      </c>
      <c r="H30" s="167">
        <v>17.8</v>
      </c>
      <c r="I30" s="151" t="s">
        <v>210</v>
      </c>
      <c r="J30" s="152">
        <f t="shared" si="4"/>
        <v>842598.6</v>
      </c>
      <c r="K30" s="158">
        <f>(+J30/(J28+J29+J30))*K31</f>
        <v>88696.965530650021</v>
      </c>
      <c r="L30" s="167">
        <v>1.01</v>
      </c>
      <c r="M30" s="587">
        <v>1.6160000000000001</v>
      </c>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row>
    <row r="31" spans="1:39" ht="12.75" customHeight="1">
      <c r="A31" s="144"/>
      <c r="B31" s="150"/>
      <c r="C31" s="151"/>
      <c r="D31" s="169"/>
      <c r="E31" s="151"/>
      <c r="F31" s="158"/>
      <c r="G31" s="151"/>
      <c r="H31" s="158"/>
      <c r="I31" s="151"/>
      <c r="J31" s="173">
        <f>SUM(J28:J30)</f>
        <v>1202126.2960000001</v>
      </c>
      <c r="K31" s="179">
        <v>126543</v>
      </c>
      <c r="L31" s="199">
        <f t="shared" ref="L31:M31" si="5">SUM(L28:L30)</f>
        <v>1.446</v>
      </c>
      <c r="M31" s="598">
        <f t="shared" si="5"/>
        <v>2.2750000000000004</v>
      </c>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row>
    <row r="32" spans="1:39" ht="12.75" customHeight="1">
      <c r="A32" s="144"/>
      <c r="B32" s="150"/>
      <c r="C32" s="151"/>
      <c r="D32" s="169"/>
      <c r="E32" s="151"/>
      <c r="F32" s="158"/>
      <c r="G32" s="151"/>
      <c r="H32" s="158"/>
      <c r="I32" s="151"/>
      <c r="J32" s="173"/>
      <c r="K32" s="151"/>
      <c r="L32" s="151"/>
      <c r="M32" s="587"/>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row>
    <row r="33" spans="1:39" ht="12.75" customHeight="1">
      <c r="A33" s="144"/>
      <c r="B33" s="150"/>
      <c r="C33" s="151" t="s">
        <v>212</v>
      </c>
      <c r="D33" s="169" t="s">
        <v>213</v>
      </c>
      <c r="E33" s="151" t="s">
        <v>459</v>
      </c>
      <c r="F33" s="152">
        <v>31279</v>
      </c>
      <c r="G33" s="151" t="s">
        <v>457</v>
      </c>
      <c r="H33" s="158">
        <v>1054</v>
      </c>
      <c r="I33" s="151" t="s">
        <v>460</v>
      </c>
      <c r="J33" s="152">
        <f>(F33*H33)/1000000</f>
        <v>32.968066</v>
      </c>
      <c r="K33" s="158">
        <f>(+J33/(J33+J34+J35))*K36</f>
        <v>3.1297323889962043</v>
      </c>
      <c r="L33" s="167">
        <v>0.04</v>
      </c>
      <c r="M33" s="587">
        <v>4.0000000000000001E-3</v>
      </c>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row>
    <row r="34" spans="1:39" ht="12.75" customHeight="1">
      <c r="A34" s="144"/>
      <c r="B34" s="150"/>
      <c r="C34" s="151"/>
      <c r="D34" s="169"/>
      <c r="E34" s="151" t="s">
        <v>209</v>
      </c>
      <c r="F34" s="152">
        <v>24630</v>
      </c>
      <c r="G34" s="151"/>
      <c r="H34" s="167">
        <v>22.08</v>
      </c>
      <c r="I34" s="151" t="s">
        <v>210</v>
      </c>
      <c r="J34" s="152">
        <f t="shared" ref="J34:J35" si="6">F34*H34</f>
        <v>543830.39999999991</v>
      </c>
      <c r="K34" s="158">
        <f>(+J34/(J33+J34+J35))*K36</f>
        <v>51627.038631891875</v>
      </c>
      <c r="L34" s="167">
        <v>0.65900000000000003</v>
      </c>
      <c r="M34" s="587">
        <v>1.0549999999999999</v>
      </c>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row>
    <row r="35" spans="1:39" ht="12.75" customHeight="1">
      <c r="A35" s="144"/>
      <c r="B35" s="150"/>
      <c r="C35" s="151"/>
      <c r="D35" s="169" t="s">
        <v>213</v>
      </c>
      <c r="E35" s="151" t="s">
        <v>211</v>
      </c>
      <c r="F35" s="152">
        <v>62186</v>
      </c>
      <c r="G35" s="151" t="s">
        <v>195</v>
      </c>
      <c r="H35" s="167">
        <v>17.600000000000001</v>
      </c>
      <c r="I35" s="151" t="s">
        <v>210</v>
      </c>
      <c r="J35" s="152">
        <f t="shared" si="6"/>
        <v>1094473.6000000001</v>
      </c>
      <c r="K35" s="158">
        <f>(+J35/(J33+J34+J35))*K36</f>
        <v>103900.83163571914</v>
      </c>
      <c r="L35" s="167">
        <v>1.327</v>
      </c>
      <c r="M35" s="587">
        <v>2.1230000000000002</v>
      </c>
      <c r="N35" s="144"/>
      <c r="O35" s="168" t="s">
        <v>640</v>
      </c>
      <c r="P35" s="144" t="s">
        <v>644</v>
      </c>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row>
    <row r="36" spans="1:39" ht="12.75" customHeight="1">
      <c r="A36" s="144"/>
      <c r="B36" s="150"/>
      <c r="C36" s="151"/>
      <c r="D36" s="169"/>
      <c r="E36" s="151"/>
      <c r="F36" s="158"/>
      <c r="G36" s="151"/>
      <c r="H36" s="158"/>
      <c r="I36" s="151"/>
      <c r="J36" s="173">
        <f>SUM(J33:J35)</f>
        <v>1638336.9680659999</v>
      </c>
      <c r="K36" s="179">
        <v>155531</v>
      </c>
      <c r="L36" s="199">
        <f t="shared" ref="L36:M36" si="7">SUM(L33:L35)</f>
        <v>2.0259999999999998</v>
      </c>
      <c r="M36" s="598">
        <f t="shared" si="7"/>
        <v>3.1820000000000004</v>
      </c>
      <c r="N36" s="144"/>
      <c r="O36" s="144" t="s">
        <v>3</v>
      </c>
      <c r="P36" s="144" t="s">
        <v>645</v>
      </c>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row>
    <row r="37" spans="1:39" ht="12.75" customHeight="1">
      <c r="A37" s="144"/>
      <c r="B37" s="150"/>
      <c r="C37" s="151"/>
      <c r="D37" s="169"/>
      <c r="E37" s="151"/>
      <c r="F37" s="158"/>
      <c r="G37" s="151"/>
      <c r="H37" s="158"/>
      <c r="I37" s="151"/>
      <c r="J37" s="173"/>
      <c r="K37" s="173"/>
      <c r="L37" s="183"/>
      <c r="M37" s="587"/>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row>
    <row r="38" spans="1:39" ht="12.75" customHeight="1">
      <c r="A38" s="144"/>
      <c r="B38" s="150"/>
      <c r="C38" s="151" t="s">
        <v>251</v>
      </c>
      <c r="D38" s="169" t="s">
        <v>252</v>
      </c>
      <c r="E38" s="151" t="s">
        <v>249</v>
      </c>
      <c r="F38" s="152">
        <v>54</v>
      </c>
      <c r="G38" s="151" t="s">
        <v>245</v>
      </c>
      <c r="H38" s="158">
        <v>139</v>
      </c>
      <c r="I38" s="151" t="s">
        <v>253</v>
      </c>
      <c r="J38" s="173">
        <f>(F38*H38)/1000</f>
        <v>7.5060000000000002</v>
      </c>
      <c r="K38" s="179">
        <v>0.61</v>
      </c>
      <c r="L38" s="199">
        <f>0.0000248</f>
        <v>2.48E-5</v>
      </c>
      <c r="M38" s="598">
        <f>0.00000497</f>
        <v>4.9699999999999998E-6</v>
      </c>
      <c r="N38" s="144"/>
      <c r="O38" s="144" t="s">
        <v>646</v>
      </c>
      <c r="P38" s="168" t="s">
        <v>640</v>
      </c>
      <c r="Q38" s="144" t="s">
        <v>641</v>
      </c>
      <c r="R38" s="168" t="s">
        <v>640</v>
      </c>
      <c r="S38" s="168" t="s">
        <v>640</v>
      </c>
      <c r="T38" s="144"/>
      <c r="U38" s="144"/>
      <c r="V38" s="144"/>
      <c r="W38" s="144"/>
      <c r="X38" s="144"/>
      <c r="Y38" s="144"/>
      <c r="Z38" s="144"/>
      <c r="AA38" s="144"/>
      <c r="AB38" s="144"/>
      <c r="AC38" s="144"/>
      <c r="AD38" s="144"/>
      <c r="AE38" s="144"/>
      <c r="AF38" s="144"/>
      <c r="AG38" s="144"/>
      <c r="AH38" s="144"/>
      <c r="AI38" s="144"/>
      <c r="AJ38" s="144"/>
      <c r="AK38" s="144"/>
      <c r="AL38" s="144"/>
      <c r="AM38" s="144"/>
    </row>
    <row r="39" spans="1:39" ht="12.75" customHeight="1">
      <c r="A39" s="144"/>
      <c r="B39" s="150"/>
      <c r="C39" s="151"/>
      <c r="D39" s="169"/>
      <c r="E39" s="151"/>
      <c r="F39" s="158"/>
      <c r="G39" s="151"/>
      <c r="H39" s="158"/>
      <c r="I39" s="151"/>
      <c r="J39" s="158"/>
      <c r="K39" s="151"/>
      <c r="L39" s="198"/>
      <c r="M39" s="599"/>
      <c r="N39" s="144"/>
      <c r="O39" s="144"/>
      <c r="P39" s="144" t="s">
        <v>3</v>
      </c>
      <c r="Q39" s="144"/>
      <c r="R39" s="144" t="s">
        <v>647</v>
      </c>
      <c r="S39" s="144" t="s">
        <v>648</v>
      </c>
      <c r="T39" s="144"/>
      <c r="U39" s="144"/>
      <c r="V39" s="144"/>
      <c r="W39" s="144"/>
      <c r="X39" s="144"/>
      <c r="Y39" s="144"/>
      <c r="Z39" s="144"/>
      <c r="AA39" s="144"/>
      <c r="AB39" s="144"/>
      <c r="AC39" s="144"/>
      <c r="AD39" s="144"/>
      <c r="AE39" s="144"/>
      <c r="AF39" s="144"/>
      <c r="AG39" s="144"/>
      <c r="AH39" s="144"/>
      <c r="AI39" s="144"/>
      <c r="AJ39" s="144"/>
      <c r="AK39" s="144"/>
      <c r="AL39" s="144"/>
      <c r="AM39" s="144"/>
    </row>
    <row r="40" spans="1:39" ht="12.75" customHeight="1">
      <c r="A40" s="144"/>
      <c r="B40" s="150"/>
      <c r="C40" s="151" t="s">
        <v>254</v>
      </c>
      <c r="D40" s="169" t="s">
        <v>255</v>
      </c>
      <c r="E40" s="151" t="s">
        <v>249</v>
      </c>
      <c r="F40" s="152">
        <v>14210</v>
      </c>
      <c r="G40" s="151" t="s">
        <v>245</v>
      </c>
      <c r="H40" s="158">
        <v>139</v>
      </c>
      <c r="I40" s="151" t="s">
        <v>253</v>
      </c>
      <c r="J40" s="173">
        <f>(F40*H40)/1000</f>
        <v>1975.19</v>
      </c>
      <c r="K40" s="179">
        <v>898</v>
      </c>
      <c r="L40" s="180">
        <v>1.7000000000000001E-2</v>
      </c>
      <c r="M40" s="600">
        <v>1.6999999999999999E-3</v>
      </c>
      <c r="N40" s="144"/>
      <c r="O40" s="144" t="s">
        <v>646</v>
      </c>
      <c r="P40" s="144"/>
      <c r="Q40" s="144" t="s">
        <v>461</v>
      </c>
      <c r="R40" s="144">
        <v>2.2000000000000001E-3</v>
      </c>
      <c r="S40" s="144">
        <v>2.2000000000000001E-4</v>
      </c>
      <c r="T40" s="144"/>
      <c r="U40" s="144"/>
      <c r="V40" s="144"/>
      <c r="W40" s="144"/>
      <c r="X40" s="144"/>
      <c r="Y40" s="144"/>
      <c r="Z40" s="144"/>
      <c r="AA40" s="144"/>
      <c r="AB40" s="144"/>
      <c r="AC40" s="144"/>
      <c r="AD40" s="144"/>
      <c r="AE40" s="144"/>
      <c r="AF40" s="144"/>
      <c r="AG40" s="144"/>
      <c r="AH40" s="144"/>
      <c r="AI40" s="144"/>
      <c r="AJ40" s="144"/>
      <c r="AK40" s="144"/>
      <c r="AL40" s="144"/>
      <c r="AM40" s="144"/>
    </row>
    <row r="41" spans="1:39" ht="12.75" customHeight="1">
      <c r="A41" s="144"/>
      <c r="B41" s="150"/>
      <c r="C41" s="151"/>
      <c r="D41" s="169"/>
      <c r="E41" s="151"/>
      <c r="F41" s="152"/>
      <c r="G41" s="151"/>
      <c r="H41" s="158"/>
      <c r="I41" s="151"/>
      <c r="J41" s="158"/>
      <c r="K41" s="151"/>
      <c r="L41" s="151"/>
      <c r="M41" s="599"/>
      <c r="N41" s="144"/>
      <c r="O41" s="144"/>
      <c r="P41" s="142" t="s">
        <v>649</v>
      </c>
      <c r="Q41" s="144" t="s">
        <v>209</v>
      </c>
      <c r="R41" s="144">
        <v>2.2000000000000001E-3</v>
      </c>
      <c r="S41" s="144">
        <v>3.5200000000000001E-3</v>
      </c>
      <c r="T41" s="144"/>
      <c r="U41" s="144"/>
      <c r="V41" s="144"/>
      <c r="W41" s="144"/>
      <c r="X41" s="144"/>
      <c r="Y41" s="144"/>
      <c r="Z41" s="144"/>
      <c r="AA41" s="144"/>
      <c r="AB41" s="144"/>
      <c r="AC41" s="144"/>
      <c r="AD41" s="144"/>
      <c r="AE41" s="144"/>
      <c r="AF41" s="144"/>
      <c r="AG41" s="144"/>
      <c r="AH41" s="144"/>
      <c r="AI41" s="144"/>
      <c r="AJ41" s="144"/>
      <c r="AK41" s="144"/>
      <c r="AL41" s="144"/>
      <c r="AM41" s="144"/>
    </row>
    <row r="42" spans="1:39" ht="12.75" customHeight="1">
      <c r="A42" s="144"/>
      <c r="B42" s="150"/>
      <c r="C42" s="151" t="s">
        <v>256</v>
      </c>
      <c r="D42" s="169" t="s">
        <v>257</v>
      </c>
      <c r="E42" s="151" t="s">
        <v>249</v>
      </c>
      <c r="F42" s="152">
        <v>39986</v>
      </c>
      <c r="G42" s="151" t="s">
        <v>245</v>
      </c>
      <c r="H42" s="158">
        <v>139</v>
      </c>
      <c r="I42" s="151" t="s">
        <v>253</v>
      </c>
      <c r="J42" s="173">
        <f>(F42*H42)/1000</f>
        <v>5558.0540000000001</v>
      </c>
      <c r="K42" s="179">
        <v>453</v>
      </c>
      <c r="L42" s="180">
        <f>0.00000364</f>
        <v>3.6399999999999999E-6</v>
      </c>
      <c r="M42" s="600">
        <v>4.0000000000000001E-3</v>
      </c>
      <c r="N42" s="144"/>
      <c r="O42" s="144" t="s">
        <v>646</v>
      </c>
      <c r="P42" s="144"/>
      <c r="Q42" s="144" t="s">
        <v>650</v>
      </c>
      <c r="R42" s="144">
        <v>2.2000000000000001E-3</v>
      </c>
      <c r="S42" s="144">
        <v>3.5200000000000001E-3</v>
      </c>
      <c r="T42" s="144"/>
      <c r="U42" s="144"/>
      <c r="V42" s="144"/>
      <c r="W42" s="144"/>
      <c r="X42" s="144"/>
      <c r="Y42" s="144"/>
      <c r="Z42" s="144"/>
      <c r="AA42" s="144"/>
      <c r="AB42" s="144"/>
      <c r="AC42" s="144"/>
      <c r="AD42" s="144"/>
      <c r="AE42" s="144"/>
      <c r="AF42" s="144"/>
      <c r="AG42" s="144"/>
      <c r="AH42" s="144"/>
      <c r="AI42" s="144"/>
      <c r="AJ42" s="144"/>
      <c r="AK42" s="144"/>
      <c r="AL42" s="144"/>
      <c r="AM42" s="144"/>
    </row>
    <row r="43" spans="1:39" ht="12.75" customHeight="1">
      <c r="A43" s="144"/>
      <c r="B43" s="150"/>
      <c r="C43" s="151"/>
      <c r="D43" s="151"/>
      <c r="E43" s="151"/>
      <c r="F43" s="158"/>
      <c r="G43" s="151"/>
      <c r="H43" s="158"/>
      <c r="I43" s="151"/>
      <c r="J43" s="158"/>
      <c r="K43" s="158"/>
      <c r="L43" s="167"/>
      <c r="M43" s="587"/>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row>
    <row r="44" spans="1:39" ht="12.75" customHeight="1">
      <c r="A44" s="144"/>
      <c r="B44" s="153"/>
      <c r="C44" s="154"/>
      <c r="D44" s="155"/>
      <c r="E44" s="155"/>
      <c r="F44" s="156"/>
      <c r="G44" s="155"/>
      <c r="H44" s="156"/>
      <c r="I44" s="155"/>
      <c r="J44" s="156"/>
      <c r="K44" s="156"/>
      <c r="L44" s="176"/>
      <c r="M44" s="588"/>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row>
    <row r="45" spans="1:39" ht="12.75" customHeight="1">
      <c r="A45" s="144"/>
      <c r="B45" s="150" t="s">
        <v>214</v>
      </c>
      <c r="C45" s="168" t="s">
        <v>215</v>
      </c>
      <c r="D45" s="151"/>
      <c r="E45" s="151"/>
      <c r="F45" s="158"/>
      <c r="G45" s="151"/>
      <c r="H45" s="158"/>
      <c r="I45" s="151"/>
      <c r="J45" s="158"/>
      <c r="K45" s="158"/>
      <c r="L45" s="167"/>
      <c r="M45" s="601"/>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row>
    <row r="46" spans="1:39" ht="12.75" customHeight="1">
      <c r="A46" s="144"/>
      <c r="B46" s="150"/>
      <c r="C46" s="151" t="s">
        <v>216</v>
      </c>
      <c r="D46" s="169" t="s">
        <v>200</v>
      </c>
      <c r="E46" s="151" t="s">
        <v>194</v>
      </c>
      <c r="F46" s="152">
        <v>114840</v>
      </c>
      <c r="G46" s="151" t="s">
        <v>195</v>
      </c>
      <c r="H46" s="158">
        <v>12884</v>
      </c>
      <c r="I46" s="151" t="s">
        <v>217</v>
      </c>
      <c r="J46" s="158">
        <f>(F46*H46*2000)/1000000</f>
        <v>2959197.12</v>
      </c>
      <c r="K46" s="158">
        <f>(J46/(J$46+J$47+J$48+J$49))*K$50</f>
        <v>321589.47431884549</v>
      </c>
      <c r="L46" s="167">
        <f>J46*Q56*0.001102</f>
        <v>35.871387488639996</v>
      </c>
      <c r="M46" s="591">
        <f>J46*R57*0.001102</f>
        <v>5.217656361984</v>
      </c>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row>
    <row r="47" spans="1:39" ht="12.75" customHeight="1">
      <c r="A47" s="144"/>
      <c r="B47" s="150"/>
      <c r="C47" s="151"/>
      <c r="D47" s="151"/>
      <c r="E47" s="151" t="s">
        <v>258</v>
      </c>
      <c r="F47" s="152">
        <v>873983</v>
      </c>
      <c r="G47" s="151" t="s">
        <v>245</v>
      </c>
      <c r="H47" s="158">
        <v>136253</v>
      </c>
      <c r="I47" s="151" t="s">
        <v>246</v>
      </c>
      <c r="J47" s="158">
        <f t="shared" ref="J47:J48" si="8">(F47*H47)/1000000</f>
        <v>119082.805699</v>
      </c>
      <c r="K47" s="158">
        <f>(J47/(J$46+J$47+$J48+J$49))*K$50</f>
        <v>12941.272693978099</v>
      </c>
      <c r="L47" s="167">
        <f>J47*Q59*0.001102</f>
        <v>0.39368775564089398</v>
      </c>
      <c r="M47" s="591">
        <f>J47*R59*0.001102</f>
        <v>7.873755112817879E-2</v>
      </c>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row>
    <row r="48" spans="1:39" ht="12.75" customHeight="1">
      <c r="A48" s="144"/>
      <c r="B48" s="150"/>
      <c r="C48" s="151"/>
      <c r="D48" s="151"/>
      <c r="E48" s="151" t="s">
        <v>428</v>
      </c>
      <c r="F48" s="152">
        <v>4923</v>
      </c>
      <c r="G48" s="151" t="s">
        <v>245</v>
      </c>
      <c r="H48" s="158">
        <v>136253</v>
      </c>
      <c r="I48" s="151" t="s">
        <v>246</v>
      </c>
      <c r="J48" s="158">
        <f t="shared" si="8"/>
        <v>670.77351899999996</v>
      </c>
      <c r="K48" s="158">
        <f>(J48/(J$46+J$47+$J48+J$49))*K$50</f>
        <v>72.896023689767617</v>
      </c>
      <c r="L48" s="167">
        <f>J48*Q64*0.001102</f>
        <v>2.2175772538139994E-3</v>
      </c>
      <c r="M48" s="591">
        <f>J48*R64*0.001102</f>
        <v>4.4351545076279987E-4</v>
      </c>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row>
    <row r="49" spans="1:39" ht="12.75" customHeight="1">
      <c r="A49" s="144"/>
      <c r="B49" s="150"/>
      <c r="C49" s="151"/>
      <c r="D49" s="151"/>
      <c r="E49" s="151" t="s">
        <v>461</v>
      </c>
      <c r="F49" s="152">
        <v>53600</v>
      </c>
      <c r="G49" s="151" t="s">
        <v>457</v>
      </c>
      <c r="H49" s="158">
        <v>1057.7</v>
      </c>
      <c r="I49" s="151" t="s">
        <v>460</v>
      </c>
      <c r="J49" s="158">
        <f>(F49*H49)/1000</f>
        <v>56692.72</v>
      </c>
      <c r="K49" s="158">
        <f>(J49/(J$46+J$47+$J48+J$49))*K$50</f>
        <v>6161.0569634866024</v>
      </c>
      <c r="L49" s="167">
        <f>J49*Q58*0.001102</f>
        <v>6.2475377439999993E-2</v>
      </c>
      <c r="M49" s="591">
        <f>J49*R58*0.001102</f>
        <v>6.2475377439999997E-3</v>
      </c>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row>
    <row r="50" spans="1:39" ht="12.75" customHeight="1">
      <c r="A50" s="144"/>
      <c r="B50" s="150"/>
      <c r="C50" s="151"/>
      <c r="D50" s="151"/>
      <c r="E50" s="151"/>
      <c r="F50" s="158"/>
      <c r="G50" s="151"/>
      <c r="H50" s="158"/>
      <c r="I50" s="151"/>
      <c r="J50" s="173">
        <f>SUM(J46:J49)</f>
        <v>3135643.4192180005</v>
      </c>
      <c r="K50" s="179">
        <v>340764.7</v>
      </c>
      <c r="L50" s="180">
        <f t="shared" ref="L50:M50" si="9">SUM(L46:L49)</f>
        <v>36.329768198974712</v>
      </c>
      <c r="M50" s="602">
        <f t="shared" si="9"/>
        <v>5.3030849663069413</v>
      </c>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row>
    <row r="51" spans="1:39" ht="12.75" customHeight="1">
      <c r="A51" s="144"/>
      <c r="B51" s="150"/>
      <c r="C51" s="151"/>
      <c r="D51" s="151"/>
      <c r="E51" s="151"/>
      <c r="F51" s="158"/>
      <c r="G51" s="151"/>
      <c r="H51" s="158"/>
      <c r="I51" s="151"/>
      <c r="J51" s="173"/>
      <c r="K51" s="179"/>
      <c r="L51" s="180"/>
      <c r="M51" s="591"/>
      <c r="N51" s="144"/>
      <c r="O51" s="168"/>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row>
    <row r="52" spans="1:39" ht="12.75" customHeight="1">
      <c r="A52" s="144"/>
      <c r="B52" s="150"/>
      <c r="C52" s="151" t="s">
        <v>218</v>
      </c>
      <c r="D52" s="169" t="s">
        <v>204</v>
      </c>
      <c r="E52" s="151" t="s">
        <v>194</v>
      </c>
      <c r="F52" s="152">
        <v>84220</v>
      </c>
      <c r="G52" s="151" t="s">
        <v>195</v>
      </c>
      <c r="H52" s="158">
        <v>12855</v>
      </c>
      <c r="I52" s="151" t="s">
        <v>217</v>
      </c>
      <c r="J52" s="158">
        <f>(F52*H52*2000)/1000000</f>
        <v>2165296.2000000002</v>
      </c>
      <c r="K52" s="158">
        <f t="shared" ref="K52:K53" si="10">(J52/(J$52+J$53+J$54+J$55))*K$56</f>
        <v>235005.38371135606</v>
      </c>
      <c r="L52" s="167">
        <f>J52*Q57*0.001102</f>
        <v>26.247720536399999</v>
      </c>
      <c r="M52" s="591">
        <f>J52*R57*0.0011023</f>
        <v>3.8188896020160006</v>
      </c>
      <c r="N52" s="144"/>
      <c r="O52" s="168" t="s">
        <v>651</v>
      </c>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row>
    <row r="53" spans="1:39" ht="12.75" customHeight="1">
      <c r="A53" s="144"/>
      <c r="B53" s="150"/>
      <c r="C53" s="151"/>
      <c r="D53" s="169"/>
      <c r="E53" s="151" t="s">
        <v>258</v>
      </c>
      <c r="F53" s="152">
        <v>890693</v>
      </c>
      <c r="G53" s="151" t="s">
        <v>245</v>
      </c>
      <c r="H53" s="158">
        <v>136253</v>
      </c>
      <c r="I53" s="151" t="s">
        <v>246</v>
      </c>
      <c r="J53" s="158">
        <f t="shared" ref="J53:J54" si="11">(F53*H53)/1000000</f>
        <v>121359.593329</v>
      </c>
      <c r="K53" s="158">
        <f t="shared" si="10"/>
        <v>13171.481018317847</v>
      </c>
      <c r="L53" s="167">
        <f>J53*Q59*0.001102</f>
        <v>0.40121481554567401</v>
      </c>
      <c r="M53" s="591">
        <f>J53*R59*0.001102</f>
        <v>8.0242963109134785E-2</v>
      </c>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row>
    <row r="54" spans="1:39" ht="12.75" customHeight="1">
      <c r="A54" s="144"/>
      <c r="B54" s="150"/>
      <c r="C54" s="151"/>
      <c r="D54" s="169"/>
      <c r="E54" s="151" t="s">
        <v>428</v>
      </c>
      <c r="F54" s="152">
        <v>9873</v>
      </c>
      <c r="G54" s="151" t="s">
        <v>245</v>
      </c>
      <c r="H54" s="158">
        <v>140366</v>
      </c>
      <c r="I54" s="151" t="s">
        <v>246</v>
      </c>
      <c r="J54" s="158">
        <f t="shared" si="11"/>
        <v>1385.8335179999999</v>
      </c>
      <c r="K54" s="158">
        <f>(J54/(J$52+J$54+$J54+J$55))*K$56</f>
        <v>158.57728038937941</v>
      </c>
      <c r="L54" s="167">
        <f>J54*Q64*0.001102</f>
        <v>4.5815656105079993E-3</v>
      </c>
      <c r="M54" s="591">
        <f>J54*R64*0.001102</f>
        <v>9.1631312210159975E-4</v>
      </c>
      <c r="N54" s="144"/>
      <c r="O54" s="603" t="s">
        <v>652</v>
      </c>
      <c r="P54" s="604" t="s">
        <v>653</v>
      </c>
      <c r="Q54" s="604"/>
      <c r="R54" s="605"/>
      <c r="S54" s="144"/>
      <c r="T54" s="144"/>
      <c r="U54" s="144"/>
      <c r="V54" s="144"/>
      <c r="W54" s="144"/>
      <c r="X54" s="144"/>
      <c r="Y54" s="144"/>
      <c r="Z54" s="144"/>
      <c r="AA54" s="144"/>
      <c r="AB54" s="144"/>
      <c r="AC54" s="144"/>
      <c r="AD54" s="144"/>
      <c r="AE54" s="144"/>
      <c r="AF54" s="144"/>
      <c r="AG54" s="144"/>
      <c r="AH54" s="144"/>
      <c r="AI54" s="144"/>
      <c r="AJ54" s="144"/>
      <c r="AK54" s="144"/>
      <c r="AL54" s="144"/>
      <c r="AM54" s="144"/>
    </row>
    <row r="55" spans="1:39" ht="12.75" customHeight="1">
      <c r="A55" s="144"/>
      <c r="B55" s="150"/>
      <c r="C55" s="151"/>
      <c r="D55" s="169"/>
      <c r="E55" s="151" t="s">
        <v>461</v>
      </c>
      <c r="F55" s="152">
        <v>38650</v>
      </c>
      <c r="G55" s="151" t="s">
        <v>457</v>
      </c>
      <c r="H55" s="158">
        <v>1057.7</v>
      </c>
      <c r="I55" s="151" t="s">
        <v>460</v>
      </c>
      <c r="J55" s="158">
        <f>(F55*H55)/1000</f>
        <v>40880.105000000003</v>
      </c>
      <c r="K55" s="158">
        <f>(J55/(J$52+J$53+J$55))*K$56</f>
        <v>4439.4687771083809</v>
      </c>
      <c r="L55" s="167">
        <f>J55*Q58*0.001102</f>
        <v>4.5049875710000006E-2</v>
      </c>
      <c r="M55" s="591">
        <f>J55*R58*0.0011023</f>
        <v>4.5062139741500005E-3</v>
      </c>
      <c r="N55" s="144"/>
      <c r="O55" s="606"/>
      <c r="P55" s="607" t="s">
        <v>654</v>
      </c>
      <c r="Q55" s="607" t="s">
        <v>655</v>
      </c>
      <c r="R55" s="608" t="s">
        <v>656</v>
      </c>
      <c r="S55" s="144"/>
      <c r="T55" s="144"/>
      <c r="U55" s="144"/>
      <c r="V55" s="144"/>
      <c r="W55" s="144"/>
      <c r="X55" s="144"/>
      <c r="Y55" s="144"/>
      <c r="Z55" s="144"/>
      <c r="AA55" s="144"/>
      <c r="AB55" s="144"/>
      <c r="AC55" s="144"/>
      <c r="AD55" s="144"/>
      <c r="AE55" s="144"/>
      <c r="AF55" s="144"/>
      <c r="AG55" s="144"/>
      <c r="AH55" s="144"/>
      <c r="AI55" s="144"/>
      <c r="AJ55" s="144"/>
      <c r="AK55" s="144"/>
      <c r="AL55" s="144"/>
      <c r="AM55" s="144"/>
    </row>
    <row r="56" spans="1:39" ht="12.75" customHeight="1">
      <c r="A56" s="144"/>
      <c r="B56" s="150"/>
      <c r="C56" s="151"/>
      <c r="D56" s="169"/>
      <c r="E56" s="151"/>
      <c r="F56" s="158"/>
      <c r="G56" s="151"/>
      <c r="H56" s="158"/>
      <c r="I56" s="151"/>
      <c r="J56" s="173">
        <f>SUM(J52:J55)</f>
        <v>2328921.7318469998</v>
      </c>
      <c r="K56" s="179">
        <v>252764.1</v>
      </c>
      <c r="L56" s="180">
        <f t="shared" ref="L56:M56" si="12">SUM(L52:L55)</f>
        <v>26.698566793266181</v>
      </c>
      <c r="M56" s="602">
        <f t="shared" si="12"/>
        <v>3.9045550922213872</v>
      </c>
      <c r="N56" s="144"/>
      <c r="O56" s="609" t="s">
        <v>657</v>
      </c>
      <c r="P56" s="610">
        <v>93.28</v>
      </c>
      <c r="Q56" s="611">
        <v>1.0999999999999999E-2</v>
      </c>
      <c r="R56" s="612">
        <v>1.6000000000000001E-3</v>
      </c>
      <c r="S56" s="144"/>
      <c r="T56" s="144"/>
      <c r="U56" s="144"/>
      <c r="V56" s="144"/>
      <c r="W56" s="144"/>
      <c r="X56" s="144"/>
      <c r="Y56" s="144"/>
      <c r="Z56" s="144"/>
      <c r="AA56" s="144"/>
      <c r="AB56" s="144"/>
      <c r="AC56" s="144"/>
      <c r="AD56" s="144"/>
      <c r="AE56" s="144"/>
      <c r="AF56" s="144"/>
      <c r="AG56" s="144"/>
      <c r="AH56" s="144"/>
      <c r="AI56" s="144"/>
      <c r="AJ56" s="144"/>
      <c r="AK56" s="144"/>
      <c r="AL56" s="144"/>
      <c r="AM56" s="144"/>
    </row>
    <row r="57" spans="1:39" ht="12.75" customHeight="1">
      <c r="A57" s="144"/>
      <c r="B57" s="150"/>
      <c r="C57" s="151"/>
      <c r="D57" s="169"/>
      <c r="E57" s="151"/>
      <c r="F57" s="158"/>
      <c r="G57" s="151"/>
      <c r="H57" s="158"/>
      <c r="I57" s="151"/>
      <c r="J57" s="158"/>
      <c r="K57" s="158"/>
      <c r="L57" s="167"/>
      <c r="M57" s="591"/>
      <c r="N57" s="144"/>
      <c r="O57" s="613" t="s">
        <v>658</v>
      </c>
      <c r="P57" s="595">
        <v>97.17</v>
      </c>
      <c r="Q57" s="597">
        <v>1.0999999999999999E-2</v>
      </c>
      <c r="R57" s="614">
        <v>1.6000000000000001E-3</v>
      </c>
      <c r="S57" s="144"/>
      <c r="T57" s="144"/>
      <c r="U57" s="144"/>
      <c r="V57" s="144"/>
      <c r="W57" s="144"/>
      <c r="X57" s="144"/>
      <c r="Y57" s="144"/>
      <c r="Z57" s="144"/>
      <c r="AA57" s="144"/>
      <c r="AB57" s="144"/>
      <c r="AC57" s="144"/>
      <c r="AD57" s="144"/>
      <c r="AE57" s="144"/>
      <c r="AF57" s="144"/>
      <c r="AG57" s="144"/>
      <c r="AH57" s="144"/>
      <c r="AI57" s="144"/>
      <c r="AJ57" s="144"/>
      <c r="AK57" s="144"/>
      <c r="AL57" s="144"/>
      <c r="AM57" s="144"/>
    </row>
    <row r="58" spans="1:39" ht="12.75" customHeight="1">
      <c r="A58" s="144"/>
      <c r="B58" s="150"/>
      <c r="C58" s="151" t="s">
        <v>219</v>
      </c>
      <c r="D58" s="169" t="s">
        <v>220</v>
      </c>
      <c r="E58" s="151" t="s">
        <v>194</v>
      </c>
      <c r="F58" s="181">
        <v>0</v>
      </c>
      <c r="G58" s="151" t="s">
        <v>195</v>
      </c>
      <c r="H58" s="158">
        <v>12865</v>
      </c>
      <c r="I58" s="151" t="s">
        <v>217</v>
      </c>
      <c r="J58" s="158">
        <f>(F58*H58*2000)/1000000</f>
        <v>0</v>
      </c>
      <c r="K58" s="158">
        <f t="shared" ref="K58:K60" si="13">(J58/(J$58+J$59+J$60))*K$61</f>
        <v>0</v>
      </c>
      <c r="L58" s="167">
        <f>J58*Q57*0.0011023</f>
        <v>0</v>
      </c>
      <c r="M58" s="591">
        <f>J58*R57*0.001102</f>
        <v>0</v>
      </c>
      <c r="N58" s="144"/>
      <c r="O58" s="613" t="s">
        <v>456</v>
      </c>
      <c r="P58" s="595">
        <v>53.06</v>
      </c>
      <c r="Q58" s="597">
        <v>1E-3</v>
      </c>
      <c r="R58" s="614">
        <v>1E-4</v>
      </c>
      <c r="S58" s="144"/>
      <c r="T58" s="144"/>
      <c r="U58" s="144"/>
      <c r="V58" s="144"/>
      <c r="W58" s="144"/>
      <c r="X58" s="144"/>
      <c r="Y58" s="144"/>
      <c r="Z58" s="144"/>
      <c r="AA58" s="144"/>
      <c r="AB58" s="144"/>
      <c r="AC58" s="144"/>
      <c r="AD58" s="144"/>
      <c r="AE58" s="144"/>
      <c r="AF58" s="144"/>
      <c r="AG58" s="144"/>
      <c r="AH58" s="144"/>
      <c r="AI58" s="144"/>
      <c r="AJ58" s="144"/>
      <c r="AK58" s="144"/>
      <c r="AL58" s="144"/>
      <c r="AM58" s="144"/>
    </row>
    <row r="59" spans="1:39" ht="12.75" customHeight="1">
      <c r="A59" s="144"/>
      <c r="B59" s="150"/>
      <c r="C59" s="151"/>
      <c r="D59" s="169"/>
      <c r="E59" s="151" t="s">
        <v>258</v>
      </c>
      <c r="F59" s="152">
        <v>192360</v>
      </c>
      <c r="G59" s="151" t="s">
        <v>245</v>
      </c>
      <c r="H59" s="158">
        <v>136253</v>
      </c>
      <c r="I59" s="151" t="s">
        <v>246</v>
      </c>
      <c r="J59" s="158">
        <f>(F59*H59)/1000000</f>
        <v>26209.627079999998</v>
      </c>
      <c r="K59" s="158">
        <f t="shared" si="13"/>
        <v>1364.6843981801997</v>
      </c>
      <c r="L59" s="167">
        <f>J59*Q59*0.001102</f>
        <v>8.6649027126479997E-2</v>
      </c>
      <c r="M59" s="591">
        <f>J59*R59*0.001102</f>
        <v>1.7329805425295997E-2</v>
      </c>
      <c r="N59" s="144"/>
      <c r="O59" s="613" t="s">
        <v>659</v>
      </c>
      <c r="P59" s="595">
        <v>73.959999999999994</v>
      </c>
      <c r="Q59" s="597">
        <v>3.0000000000000001E-3</v>
      </c>
      <c r="R59" s="614">
        <v>5.9999999999999995E-4</v>
      </c>
      <c r="S59" s="144"/>
      <c r="T59" s="144"/>
      <c r="U59" s="144"/>
      <c r="V59" s="144"/>
      <c r="W59" s="144"/>
      <c r="X59" s="144"/>
      <c r="Y59" s="144"/>
      <c r="Z59" s="144"/>
      <c r="AA59" s="144"/>
      <c r="AB59" s="144"/>
      <c r="AC59" s="144"/>
      <c r="AD59" s="144"/>
      <c r="AE59" s="144"/>
      <c r="AF59" s="144"/>
      <c r="AG59" s="144"/>
      <c r="AH59" s="144"/>
      <c r="AI59" s="144"/>
      <c r="AJ59" s="144"/>
      <c r="AK59" s="144"/>
      <c r="AL59" s="144"/>
      <c r="AM59" s="144"/>
    </row>
    <row r="60" spans="1:39" ht="12.75" customHeight="1">
      <c r="A60" s="144"/>
      <c r="B60" s="150"/>
      <c r="C60" s="151"/>
      <c r="D60" s="169"/>
      <c r="E60" s="151" t="s">
        <v>461</v>
      </c>
      <c r="F60" s="152">
        <v>1079160</v>
      </c>
      <c r="G60" s="151" t="s">
        <v>457</v>
      </c>
      <c r="H60" s="158">
        <v>1057.7</v>
      </c>
      <c r="I60" s="151" t="s">
        <v>460</v>
      </c>
      <c r="J60" s="158">
        <f>(F60*H60)/1000</f>
        <v>1141427.5319999999</v>
      </c>
      <c r="K60" s="158">
        <f t="shared" si="13"/>
        <v>59431.915601819797</v>
      </c>
      <c r="L60" s="167">
        <f>J60*Q58*0.001102</f>
        <v>1.2578531402639999</v>
      </c>
      <c r="M60" s="591">
        <f>J60*R58*0.001102</f>
        <v>0.1257853140264</v>
      </c>
      <c r="N60" s="144"/>
      <c r="O60" s="613" t="s">
        <v>660</v>
      </c>
      <c r="P60" s="595">
        <v>75.099999999999994</v>
      </c>
      <c r="Q60" s="597">
        <v>3.0000000000000001E-3</v>
      </c>
      <c r="R60" s="614">
        <v>5.9999999999999995E-4</v>
      </c>
      <c r="S60" s="144"/>
      <c r="T60" s="144"/>
      <c r="U60" s="144"/>
      <c r="V60" s="144"/>
      <c r="W60" s="144"/>
      <c r="X60" s="144"/>
      <c r="Y60" s="144"/>
      <c r="Z60" s="144"/>
      <c r="AA60" s="144"/>
      <c r="AB60" s="144"/>
      <c r="AC60" s="144"/>
      <c r="AD60" s="144"/>
      <c r="AE60" s="144"/>
      <c r="AF60" s="144"/>
      <c r="AG60" s="144"/>
      <c r="AH60" s="144"/>
      <c r="AI60" s="144"/>
      <c r="AJ60" s="144"/>
      <c r="AK60" s="144"/>
      <c r="AL60" s="144"/>
      <c r="AM60" s="144"/>
    </row>
    <row r="61" spans="1:39" ht="12.75" customHeight="1">
      <c r="A61" s="144"/>
      <c r="B61" s="150"/>
      <c r="C61" s="151"/>
      <c r="D61" s="169"/>
      <c r="E61" s="151"/>
      <c r="F61" s="158"/>
      <c r="G61" s="151"/>
      <c r="H61" s="158"/>
      <c r="I61" s="151"/>
      <c r="J61" s="173">
        <f>SUM(J58:J60)</f>
        <v>1167637.1590799999</v>
      </c>
      <c r="K61" s="179">
        <v>60796.6</v>
      </c>
      <c r="L61" s="180">
        <f t="shared" ref="L61:M61" si="14">SUM(L58:L60)</f>
        <v>1.3445021673904798</v>
      </c>
      <c r="M61" s="602">
        <f t="shared" si="14"/>
        <v>0.143115119451696</v>
      </c>
      <c r="N61" s="144"/>
      <c r="O61" s="613" t="s">
        <v>661</v>
      </c>
      <c r="P61" s="595">
        <v>75.2</v>
      </c>
      <c r="Q61" s="597">
        <v>3.0000000000000001E-3</v>
      </c>
      <c r="R61" s="614">
        <v>5.9999999999999995E-4</v>
      </c>
      <c r="S61" s="144"/>
      <c r="T61" s="144"/>
      <c r="U61" s="144"/>
      <c r="V61" s="144"/>
      <c r="W61" s="144"/>
      <c r="X61" s="144"/>
      <c r="Y61" s="144"/>
      <c r="Z61" s="144"/>
      <c r="AA61" s="144"/>
      <c r="AB61" s="144"/>
      <c r="AC61" s="144"/>
      <c r="AD61" s="144"/>
      <c r="AE61" s="144"/>
      <c r="AF61" s="144"/>
      <c r="AG61" s="144"/>
      <c r="AH61" s="144"/>
      <c r="AI61" s="144"/>
      <c r="AJ61" s="144"/>
      <c r="AK61" s="144"/>
      <c r="AL61" s="144"/>
      <c r="AM61" s="144"/>
    </row>
    <row r="62" spans="1:39" ht="12.75" customHeight="1">
      <c r="A62" s="144"/>
      <c r="B62" s="150"/>
      <c r="C62" s="151"/>
      <c r="D62" s="169"/>
      <c r="E62" s="151"/>
      <c r="F62" s="158"/>
      <c r="G62" s="151"/>
      <c r="H62" s="158"/>
      <c r="I62" s="151"/>
      <c r="J62" s="158"/>
      <c r="K62" s="158"/>
      <c r="L62" s="167"/>
      <c r="M62" s="591"/>
      <c r="N62" s="144"/>
      <c r="O62" s="613" t="s">
        <v>511</v>
      </c>
      <c r="P62" s="595">
        <v>62.87</v>
      </c>
      <c r="Q62" s="597">
        <v>3.0000000000000001E-3</v>
      </c>
      <c r="R62" s="614">
        <v>5.9999999999999995E-4</v>
      </c>
      <c r="S62" s="144"/>
      <c r="T62" s="144"/>
      <c r="U62" s="144"/>
      <c r="V62" s="144"/>
      <c r="W62" s="144"/>
      <c r="X62" s="144"/>
      <c r="Y62" s="144"/>
      <c r="Z62" s="144"/>
      <c r="AA62" s="144"/>
      <c r="AB62" s="144"/>
      <c r="AC62" s="144"/>
      <c r="AD62" s="144"/>
      <c r="AE62" s="144"/>
      <c r="AF62" s="144"/>
      <c r="AG62" s="144"/>
      <c r="AH62" s="144"/>
      <c r="AI62" s="144"/>
      <c r="AJ62" s="144"/>
      <c r="AK62" s="144"/>
      <c r="AL62" s="144"/>
      <c r="AM62" s="144"/>
    </row>
    <row r="63" spans="1:39" ht="12.75" customHeight="1">
      <c r="A63" s="144"/>
      <c r="B63" s="150"/>
      <c r="C63" s="151" t="s">
        <v>221</v>
      </c>
      <c r="D63" s="169" t="s">
        <v>222</v>
      </c>
      <c r="E63" s="151" t="s">
        <v>194</v>
      </c>
      <c r="F63" s="181">
        <v>0</v>
      </c>
      <c r="G63" s="151" t="s">
        <v>195</v>
      </c>
      <c r="H63" s="158">
        <v>12865</v>
      </c>
      <c r="I63" s="151" t="s">
        <v>217</v>
      </c>
      <c r="J63" s="158">
        <f>(F63*H63*2000)/1000000</f>
        <v>0</v>
      </c>
      <c r="K63" s="158">
        <f t="shared" ref="K63:K65" si="15">(J63/(J$63+J$64+J$65))*K$66</f>
        <v>0</v>
      </c>
      <c r="L63" s="167">
        <f>J63*Q57*0.001102</f>
        <v>0</v>
      </c>
      <c r="M63" s="591">
        <f>J63*R57*0.001102</f>
        <v>0</v>
      </c>
      <c r="N63" s="144"/>
      <c r="O63" s="613" t="s">
        <v>662</v>
      </c>
      <c r="P63" s="595">
        <v>66.88</v>
      </c>
      <c r="Q63" s="597">
        <v>3.0000000000000001E-3</v>
      </c>
      <c r="R63" s="614">
        <v>5.9999999999999995E-4</v>
      </c>
      <c r="S63" s="144"/>
      <c r="T63" s="144"/>
      <c r="U63" s="144"/>
      <c r="V63" s="144"/>
      <c r="W63" s="144"/>
      <c r="X63" s="144"/>
      <c r="Y63" s="144"/>
      <c r="Z63" s="144"/>
      <c r="AA63" s="144"/>
      <c r="AB63" s="144"/>
      <c r="AC63" s="144"/>
      <c r="AD63" s="144"/>
      <c r="AE63" s="144"/>
      <c r="AF63" s="144"/>
      <c r="AG63" s="144"/>
      <c r="AH63" s="144"/>
      <c r="AI63" s="144"/>
      <c r="AJ63" s="144"/>
      <c r="AK63" s="144"/>
      <c r="AL63" s="144"/>
      <c r="AM63" s="144"/>
    </row>
    <row r="64" spans="1:39" ht="12.75" customHeight="1">
      <c r="A64" s="144"/>
      <c r="B64" s="150"/>
      <c r="C64" s="151"/>
      <c r="D64" s="169"/>
      <c r="E64" s="151" t="s">
        <v>258</v>
      </c>
      <c r="F64" s="152">
        <v>616980</v>
      </c>
      <c r="G64" s="151" t="s">
        <v>245</v>
      </c>
      <c r="H64" s="158">
        <v>136253</v>
      </c>
      <c r="I64" s="151" t="s">
        <v>246</v>
      </c>
      <c r="J64" s="158">
        <f>(F64*H64)/1000000</f>
        <v>84065.375939999998</v>
      </c>
      <c r="K64" s="158">
        <f t="shared" si="15"/>
        <v>4660.8644791135912</v>
      </c>
      <c r="L64" s="167">
        <f>J64*Q59*0.001102</f>
        <v>0.27792013285763995</v>
      </c>
      <c r="M64" s="591">
        <f>J64*R59*0.001102</f>
        <v>5.5584026571527993E-2</v>
      </c>
      <c r="N64" s="144"/>
      <c r="O64" s="606" t="s">
        <v>428</v>
      </c>
      <c r="P64" s="615">
        <v>74</v>
      </c>
      <c r="Q64" s="616">
        <v>3.0000000000000001E-3</v>
      </c>
      <c r="R64" s="617">
        <v>5.9999999999999995E-4</v>
      </c>
      <c r="S64" s="144"/>
      <c r="T64" s="144"/>
      <c r="U64" s="144"/>
      <c r="V64" s="144"/>
      <c r="W64" s="144"/>
      <c r="X64" s="144"/>
      <c r="Y64" s="144"/>
      <c r="Z64" s="144"/>
      <c r="AA64" s="144"/>
      <c r="AB64" s="144"/>
      <c r="AC64" s="144"/>
      <c r="AD64" s="144"/>
      <c r="AE64" s="144"/>
      <c r="AF64" s="144"/>
      <c r="AG64" s="144"/>
      <c r="AH64" s="144"/>
      <c r="AI64" s="144"/>
      <c r="AJ64" s="144"/>
      <c r="AK64" s="144"/>
      <c r="AL64" s="144"/>
      <c r="AM64" s="144"/>
    </row>
    <row r="65" spans="1:39" ht="12.75" customHeight="1">
      <c r="A65" s="144"/>
      <c r="B65" s="150"/>
      <c r="C65" s="151"/>
      <c r="D65" s="169"/>
      <c r="E65" s="151" t="s">
        <v>461</v>
      </c>
      <c r="F65" s="152">
        <v>3583460</v>
      </c>
      <c r="G65" s="151" t="s">
        <v>457</v>
      </c>
      <c r="H65" s="158">
        <v>1057.7</v>
      </c>
      <c r="I65" s="151" t="s">
        <v>460</v>
      </c>
      <c r="J65" s="158">
        <f>(F65*H65)/1000</f>
        <v>3790225.642</v>
      </c>
      <c r="K65" s="158">
        <f t="shared" si="15"/>
        <v>210142.7355208864</v>
      </c>
      <c r="L65" s="167">
        <f>J65*Q58*0.001102</f>
        <v>4.1768286574839992</v>
      </c>
      <c r="M65" s="591">
        <f>J65*R58*0.001102</f>
        <v>0.41768286574840002</v>
      </c>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row>
    <row r="66" spans="1:39" ht="12.75" customHeight="1">
      <c r="A66" s="144"/>
      <c r="B66" s="150"/>
      <c r="C66" s="151"/>
      <c r="D66" s="169"/>
      <c r="E66" s="151"/>
      <c r="F66" s="158"/>
      <c r="G66" s="151"/>
      <c r="H66" s="158"/>
      <c r="I66" s="151"/>
      <c r="J66" s="173">
        <f>SUM(J63:J65)</f>
        <v>3874291.0179400002</v>
      </c>
      <c r="K66" s="179">
        <v>214803.6</v>
      </c>
      <c r="L66" s="180">
        <f t="shared" ref="L66:M66" si="16">SUM(L63:L65)</f>
        <v>4.4547487903416396</v>
      </c>
      <c r="M66" s="602">
        <f t="shared" si="16"/>
        <v>0.47326689231992802</v>
      </c>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row>
    <row r="67" spans="1:39" ht="12.75" customHeight="1">
      <c r="A67" s="144"/>
      <c r="B67" s="150"/>
      <c r="C67" s="151"/>
      <c r="D67" s="169"/>
      <c r="E67" s="151"/>
      <c r="F67" s="158"/>
      <c r="G67" s="151"/>
      <c r="H67" s="158"/>
      <c r="I67" s="151"/>
      <c r="J67" s="173"/>
      <c r="K67" s="158"/>
      <c r="L67" s="167"/>
      <c r="M67" s="591"/>
      <c r="N67" s="144"/>
      <c r="O67" s="2865"/>
      <c r="P67" s="2866"/>
      <c r="Q67" s="2866"/>
      <c r="R67" s="144"/>
      <c r="S67" s="144"/>
      <c r="T67" s="144"/>
      <c r="U67" s="144"/>
      <c r="V67" s="144"/>
      <c r="W67" s="144"/>
      <c r="X67" s="144"/>
      <c r="Y67" s="144"/>
      <c r="Z67" s="144"/>
      <c r="AA67" s="144"/>
      <c r="AB67" s="144"/>
      <c r="AC67" s="144"/>
      <c r="AD67" s="144"/>
      <c r="AE67" s="144"/>
      <c r="AF67" s="144"/>
      <c r="AG67" s="144"/>
      <c r="AH67" s="144"/>
      <c r="AI67" s="144"/>
      <c r="AJ67" s="144"/>
      <c r="AK67" s="144"/>
      <c r="AL67" s="144"/>
      <c r="AM67" s="144"/>
    </row>
    <row r="68" spans="1:39" ht="12.75" customHeight="1">
      <c r="A68" s="144"/>
      <c r="B68" s="150"/>
      <c r="C68" s="151" t="s">
        <v>259</v>
      </c>
      <c r="D68" s="200" t="s">
        <v>260</v>
      </c>
      <c r="E68" s="151" t="s">
        <v>258</v>
      </c>
      <c r="F68" s="152">
        <v>42000</v>
      </c>
      <c r="G68" s="151" t="s">
        <v>245</v>
      </c>
      <c r="H68" s="158">
        <v>136253</v>
      </c>
      <c r="I68" s="151" t="s">
        <v>246</v>
      </c>
      <c r="J68" s="173">
        <f>(F68*H68)/1000000</f>
        <v>5722.6260000000002</v>
      </c>
      <c r="K68" s="179">
        <v>466.54</v>
      </c>
      <c r="L68" s="201">
        <f>J68*Q59*0.001102</f>
        <v>1.8919001556000001E-2</v>
      </c>
      <c r="M68" s="602">
        <f>J68*R59*0.001102</f>
        <v>3.7838003111999993E-3</v>
      </c>
      <c r="N68" s="144"/>
      <c r="O68" s="2847"/>
      <c r="P68" s="2847"/>
      <c r="Q68" s="2847"/>
      <c r="R68" s="144"/>
      <c r="S68" s="144"/>
      <c r="T68" s="144"/>
      <c r="U68" s="144"/>
      <c r="V68" s="144"/>
      <c r="W68" s="144"/>
      <c r="X68" s="144"/>
      <c r="Y68" s="144"/>
      <c r="Z68" s="144"/>
      <c r="AA68" s="144"/>
      <c r="AB68" s="144"/>
      <c r="AC68" s="144"/>
      <c r="AD68" s="144"/>
      <c r="AE68" s="144"/>
      <c r="AF68" s="144"/>
      <c r="AG68" s="144"/>
      <c r="AH68" s="144"/>
      <c r="AI68" s="144"/>
      <c r="AJ68" s="144"/>
      <c r="AK68" s="144"/>
      <c r="AL68" s="144"/>
      <c r="AM68" s="144"/>
    </row>
    <row r="69" spans="1:39" ht="12.75" customHeight="1">
      <c r="A69" s="144"/>
      <c r="B69" s="150"/>
      <c r="C69" s="151"/>
      <c r="D69" s="169"/>
      <c r="E69" s="151"/>
      <c r="F69" s="158"/>
      <c r="G69" s="151"/>
      <c r="H69" s="158"/>
      <c r="I69" s="151"/>
      <c r="J69" s="158"/>
      <c r="K69" s="158"/>
      <c r="L69" s="167"/>
      <c r="M69" s="591"/>
      <c r="N69" s="144"/>
      <c r="O69" s="2847"/>
      <c r="P69" s="2847"/>
      <c r="Q69" s="2847"/>
      <c r="R69" s="144"/>
      <c r="S69" s="144"/>
      <c r="T69" s="144"/>
      <c r="U69" s="144"/>
      <c r="V69" s="144"/>
      <c r="W69" s="144"/>
      <c r="X69" s="144"/>
      <c r="Y69" s="144"/>
      <c r="Z69" s="144"/>
      <c r="AA69" s="144"/>
      <c r="AB69" s="144"/>
      <c r="AC69" s="144"/>
      <c r="AD69" s="144"/>
      <c r="AE69" s="144"/>
      <c r="AF69" s="144"/>
      <c r="AG69" s="144"/>
      <c r="AH69" s="144"/>
      <c r="AI69" s="144"/>
      <c r="AJ69" s="144"/>
      <c r="AK69" s="144"/>
      <c r="AL69" s="144"/>
      <c r="AM69" s="144"/>
    </row>
    <row r="70" spans="1:39" ht="12.75" customHeight="1">
      <c r="A70" s="144"/>
      <c r="B70" s="150"/>
      <c r="C70" s="151" t="s">
        <v>261</v>
      </c>
      <c r="D70" s="169" t="s">
        <v>262</v>
      </c>
      <c r="E70" s="151" t="s">
        <v>258</v>
      </c>
      <c r="F70" s="152">
        <v>18060</v>
      </c>
      <c r="G70" s="151" t="s">
        <v>245</v>
      </c>
      <c r="H70" s="158">
        <v>136253</v>
      </c>
      <c r="I70" s="151" t="s">
        <v>246</v>
      </c>
      <c r="J70" s="173">
        <v>10527</v>
      </c>
      <c r="K70" s="179">
        <v>199.3</v>
      </c>
      <c r="L70" s="201">
        <f>J70*Q59*0.001102</f>
        <v>3.4802261999999994E-2</v>
      </c>
      <c r="M70" s="602">
        <f>J70*R59*0.001102</f>
        <v>6.9604523999999991E-3</v>
      </c>
      <c r="N70" s="144"/>
      <c r="O70" s="2847"/>
      <c r="P70" s="2847"/>
      <c r="Q70" s="2847"/>
      <c r="R70" s="144"/>
      <c r="S70" s="144"/>
      <c r="T70" s="144"/>
      <c r="U70" s="144"/>
      <c r="V70" s="144"/>
      <c r="W70" s="144"/>
      <c r="X70" s="144"/>
      <c r="Y70" s="144"/>
      <c r="Z70" s="144"/>
      <c r="AA70" s="144"/>
      <c r="AB70" s="144"/>
      <c r="AC70" s="144"/>
      <c r="AD70" s="144"/>
      <c r="AE70" s="144"/>
      <c r="AF70" s="144"/>
      <c r="AG70" s="144"/>
      <c r="AH70" s="144"/>
      <c r="AI70" s="144"/>
      <c r="AJ70" s="144"/>
      <c r="AK70" s="144"/>
      <c r="AL70" s="144"/>
      <c r="AM70" s="144"/>
    </row>
    <row r="71" spans="1:39" ht="12.75" customHeight="1">
      <c r="A71" s="144"/>
      <c r="B71" s="150"/>
      <c r="C71" s="151"/>
      <c r="D71" s="169"/>
      <c r="E71" s="151"/>
      <c r="F71" s="158"/>
      <c r="G71" s="151"/>
      <c r="H71" s="158"/>
      <c r="I71" s="151"/>
      <c r="J71" s="158"/>
      <c r="K71" s="158"/>
      <c r="L71" s="167"/>
      <c r="M71" s="591"/>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row>
    <row r="72" spans="1:39" ht="12.75" customHeight="1">
      <c r="A72" s="144"/>
      <c r="B72" s="150"/>
      <c r="C72" s="151" t="s">
        <v>263</v>
      </c>
      <c r="D72" s="200" t="s">
        <v>264</v>
      </c>
      <c r="E72" s="151" t="s">
        <v>258</v>
      </c>
      <c r="F72" s="152">
        <v>110040</v>
      </c>
      <c r="G72" s="151" t="s">
        <v>245</v>
      </c>
      <c r="H72" s="158">
        <v>136253</v>
      </c>
      <c r="I72" s="151" t="s">
        <v>246</v>
      </c>
      <c r="J72" s="158">
        <f>(F72*H72)/1000000</f>
        <v>14993.280119999999</v>
      </c>
      <c r="K72" s="173">
        <f t="shared" ref="K72:K73" si="17">(J72/(J$72+J$73))*K$74</f>
        <v>1116.8197852797623</v>
      </c>
      <c r="L72" s="167">
        <f>J72*Q59*0.001102</f>
        <v>4.9567784076719995E-2</v>
      </c>
      <c r="M72" s="591">
        <f>J72*R59*0.001102</f>
        <v>9.9135568153439976E-3</v>
      </c>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row>
    <row r="73" spans="1:39" ht="12.75" customHeight="1">
      <c r="A73" s="144"/>
      <c r="B73" s="150"/>
      <c r="C73" s="151"/>
      <c r="D73" s="169"/>
      <c r="E73" s="151" t="s">
        <v>461</v>
      </c>
      <c r="F73" s="152">
        <v>8830</v>
      </c>
      <c r="G73" s="151" t="s">
        <v>457</v>
      </c>
      <c r="H73" s="158">
        <v>1057.7</v>
      </c>
      <c r="I73" s="151" t="s">
        <v>460</v>
      </c>
      <c r="J73" s="158">
        <f>(F73*H73)/1000</f>
        <v>9339.491</v>
      </c>
      <c r="K73" s="173">
        <f t="shared" si="17"/>
        <v>695.68021472023781</v>
      </c>
      <c r="L73" s="167">
        <f>J73*Q58*0.001102</f>
        <v>1.0292119081999999E-2</v>
      </c>
      <c r="M73" s="591">
        <f>J73*R58*0.001102</f>
        <v>1.0292119081999999E-3</v>
      </c>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row>
    <row r="74" spans="1:39" ht="12.75" customHeight="1">
      <c r="A74" s="144"/>
      <c r="B74" s="150"/>
      <c r="C74" s="151"/>
      <c r="D74" s="169"/>
      <c r="E74" s="151"/>
      <c r="F74" s="158"/>
      <c r="G74" s="151"/>
      <c r="H74" s="158"/>
      <c r="I74" s="151"/>
      <c r="J74" s="173">
        <f>SUM(J72:J73)</f>
        <v>24332.771119999998</v>
      </c>
      <c r="K74" s="179">
        <v>1812.5</v>
      </c>
      <c r="L74" s="180">
        <f t="shared" ref="L74:M74" si="18">SUM(L72:L73)</f>
        <v>5.9859903158719995E-2</v>
      </c>
      <c r="M74" s="602">
        <f t="shared" si="18"/>
        <v>1.0942768723543998E-2</v>
      </c>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row>
    <row r="75" spans="1:39" ht="12.75" customHeight="1">
      <c r="A75" s="144"/>
      <c r="B75" s="150"/>
      <c r="C75" s="151"/>
      <c r="D75" s="169"/>
      <c r="E75" s="151"/>
      <c r="F75" s="158"/>
      <c r="G75" s="151"/>
      <c r="H75" s="158"/>
      <c r="I75" s="151"/>
      <c r="J75" s="173"/>
      <c r="K75" s="173"/>
      <c r="L75" s="183"/>
      <c r="M75" s="591"/>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row>
    <row r="76" spans="1:39" ht="12.75" customHeight="1">
      <c r="A76" s="144"/>
      <c r="B76" s="150"/>
      <c r="C76" s="151" t="s">
        <v>265</v>
      </c>
      <c r="D76" s="200" t="s">
        <v>266</v>
      </c>
      <c r="E76" s="151" t="s">
        <v>258</v>
      </c>
      <c r="F76" s="152">
        <v>92400</v>
      </c>
      <c r="G76" s="151" t="s">
        <v>245</v>
      </c>
      <c r="H76" s="158">
        <v>136253</v>
      </c>
      <c r="I76" s="151" t="s">
        <v>246</v>
      </c>
      <c r="J76" s="158">
        <f>(F76*H76)/1000000</f>
        <v>12589.7772</v>
      </c>
      <c r="K76" s="173">
        <f t="shared" ref="K76:K77" si="19">(J76/(J$76+J$77))*K$78</f>
        <v>889.65296379482027</v>
      </c>
      <c r="L76" s="167">
        <f>J76*Q59*0.001102</f>
        <v>4.1621803423199995E-2</v>
      </c>
      <c r="M76" s="591">
        <f>J76*R59*0.001102</f>
        <v>8.3243606846399986E-3</v>
      </c>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row>
    <row r="77" spans="1:39" ht="12.75" customHeight="1">
      <c r="A77" s="144"/>
      <c r="B77" s="150"/>
      <c r="C77" s="151"/>
      <c r="D77" s="169"/>
      <c r="E77" s="151" t="s">
        <v>461</v>
      </c>
      <c r="F77" s="152">
        <v>12030</v>
      </c>
      <c r="G77" s="151" t="s">
        <v>457</v>
      </c>
      <c r="H77" s="158">
        <v>1057.7</v>
      </c>
      <c r="I77" s="151" t="s">
        <v>460</v>
      </c>
      <c r="J77" s="158">
        <f>(F77*H77)/1000</f>
        <v>12724.130999999999</v>
      </c>
      <c r="K77" s="173">
        <f t="shared" si="19"/>
        <v>899.14703620517992</v>
      </c>
      <c r="L77" s="167">
        <f>J77*Q58*0.001102</f>
        <v>1.4021992361999998E-2</v>
      </c>
      <c r="M77" s="591">
        <f>J77*R58*0.001102</f>
        <v>1.4021992361999999E-3</v>
      </c>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row>
    <row r="78" spans="1:39" ht="12.75" customHeight="1">
      <c r="A78" s="144"/>
      <c r="B78" s="150"/>
      <c r="C78" s="151"/>
      <c r="D78" s="169"/>
      <c r="E78" s="151"/>
      <c r="F78" s="152"/>
      <c r="G78" s="151"/>
      <c r="H78" s="158"/>
      <c r="I78" s="151"/>
      <c r="J78" s="173">
        <f>SUM(J76:J77)</f>
        <v>25313.908199999998</v>
      </c>
      <c r="K78" s="179">
        <v>1788.8</v>
      </c>
      <c r="L78" s="180">
        <f t="shared" ref="L78:M78" si="20">SUM(L76:L77)</f>
        <v>5.5643795785199991E-2</v>
      </c>
      <c r="M78" s="602">
        <f t="shared" si="20"/>
        <v>9.7265599208399989E-3</v>
      </c>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row>
    <row r="79" spans="1:39" ht="12.75" customHeight="1">
      <c r="A79" s="144"/>
      <c r="B79" s="150"/>
      <c r="C79" s="151"/>
      <c r="D79" s="169"/>
      <c r="E79" s="151"/>
      <c r="F79" s="152"/>
      <c r="G79" s="151"/>
      <c r="H79" s="158"/>
      <c r="I79" s="151"/>
      <c r="J79" s="173"/>
      <c r="K79" s="173"/>
      <c r="L79" s="183"/>
      <c r="M79" s="591"/>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row>
    <row r="80" spans="1:39" ht="12.75" customHeight="1">
      <c r="A80" s="144"/>
      <c r="B80" s="150"/>
      <c r="C80" s="151"/>
      <c r="D80" s="200" t="s">
        <v>267</v>
      </c>
      <c r="E80" s="151" t="s">
        <v>258</v>
      </c>
      <c r="F80" s="152">
        <v>222180</v>
      </c>
      <c r="G80" s="151" t="s">
        <v>245</v>
      </c>
      <c r="H80" s="158">
        <v>136253</v>
      </c>
      <c r="I80" s="151" t="s">
        <v>246</v>
      </c>
      <c r="J80" s="158">
        <f>(F80*H80)/1000000</f>
        <v>30272.69154</v>
      </c>
      <c r="K80" s="173">
        <f t="shared" ref="K80:K81" si="21">(J80/(J$76+J$77))*K$78</f>
        <v>2139.2109902157267</v>
      </c>
      <c r="L80" s="167">
        <f>J80*Q59*0.001102</f>
        <v>0.10008151823123999</v>
      </c>
      <c r="M80" s="591">
        <f>J80*R59*0.001102</f>
        <v>2.0016303646247995E-2</v>
      </c>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row>
    <row r="81" spans="1:39" ht="12.75" customHeight="1">
      <c r="A81" s="144"/>
      <c r="B81" s="150"/>
      <c r="C81" s="151"/>
      <c r="D81" s="169"/>
      <c r="E81" s="151" t="s">
        <v>461</v>
      </c>
      <c r="F81" s="152">
        <v>15520</v>
      </c>
      <c r="G81" s="151" t="s">
        <v>457</v>
      </c>
      <c r="H81" s="158">
        <v>1057.7</v>
      </c>
      <c r="I81" s="151" t="s">
        <v>460</v>
      </c>
      <c r="J81" s="158">
        <f>(F81*H81)/1000</f>
        <v>16415.504000000001</v>
      </c>
      <c r="K81" s="173">
        <f t="shared" si="21"/>
        <v>1159.9968413885613</v>
      </c>
      <c r="L81" s="167">
        <f>J81*Q58*0.001102</f>
        <v>1.8089885408000002E-2</v>
      </c>
      <c r="M81" s="591">
        <f>J81*R58*0.001102</f>
        <v>1.8089885407999999E-3</v>
      </c>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row>
    <row r="82" spans="1:39" ht="12.75" customHeight="1">
      <c r="A82" s="144"/>
      <c r="B82" s="150"/>
      <c r="C82" s="151"/>
      <c r="D82" s="169"/>
      <c r="E82" s="151"/>
      <c r="F82" s="152"/>
      <c r="G82" s="151"/>
      <c r="H82" s="158"/>
      <c r="I82" s="151"/>
      <c r="J82" s="173">
        <f>SUM(J80:J81)</f>
        <v>46688.195540000001</v>
      </c>
      <c r="K82" s="179">
        <v>3473.2</v>
      </c>
      <c r="L82" s="180">
        <f t="shared" ref="L82:M82" si="22">SUM(L80:L81)</f>
        <v>0.11817140363924</v>
      </c>
      <c r="M82" s="602">
        <f t="shared" si="22"/>
        <v>2.1825292187047995E-2</v>
      </c>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row>
    <row r="83" spans="1:39" ht="12.75" customHeight="1">
      <c r="A83" s="144"/>
      <c r="B83" s="150"/>
      <c r="C83" s="151"/>
      <c r="D83" s="169"/>
      <c r="E83" s="151"/>
      <c r="F83" s="158"/>
      <c r="G83" s="151"/>
      <c r="H83" s="158"/>
      <c r="I83" s="151"/>
      <c r="J83" s="173"/>
      <c r="K83" s="173"/>
      <c r="L83" s="183"/>
      <c r="M83" s="591"/>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row>
    <row r="84" spans="1:39" ht="12.75" customHeight="1">
      <c r="A84" s="144"/>
      <c r="B84" s="150"/>
      <c r="C84" s="151" t="s">
        <v>268</v>
      </c>
      <c r="D84" s="200" t="s">
        <v>269</v>
      </c>
      <c r="E84" s="151" t="s">
        <v>258</v>
      </c>
      <c r="F84" s="152">
        <v>136418</v>
      </c>
      <c r="G84" s="151" t="s">
        <v>245</v>
      </c>
      <c r="H84" s="158">
        <v>136253</v>
      </c>
      <c r="I84" s="151" t="s">
        <v>246</v>
      </c>
      <c r="J84" s="158">
        <f>(F84*H84)/1000000</f>
        <v>18587.361754000001</v>
      </c>
      <c r="K84" s="173">
        <f t="shared" ref="K84:K85" si="23">(J84/(J$84+J$85))*K$86</f>
        <v>1416.8324559762209</v>
      </c>
      <c r="L84" s="167">
        <f>J84*Q59*0.001102</f>
        <v>6.1449817958724E-2</v>
      </c>
      <c r="M84" s="591">
        <f>J84*R59*0.001102</f>
        <v>1.22899635917448E-2</v>
      </c>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row>
    <row r="85" spans="1:39" ht="12.75" customHeight="1">
      <c r="A85" s="144"/>
      <c r="B85" s="150"/>
      <c r="C85" s="151"/>
      <c r="D85" s="151"/>
      <c r="E85" s="151" t="s">
        <v>461</v>
      </c>
      <c r="F85" s="152">
        <v>6200</v>
      </c>
      <c r="G85" s="151" t="s">
        <v>457</v>
      </c>
      <c r="H85" s="158">
        <v>1057.7</v>
      </c>
      <c r="I85" s="151" t="s">
        <v>460</v>
      </c>
      <c r="J85" s="158">
        <f>(F85*H85)/1000</f>
        <v>6557.74</v>
      </c>
      <c r="K85" s="173">
        <f t="shared" si="23"/>
        <v>499.86754402377903</v>
      </c>
      <c r="L85" s="167">
        <f t="shared" ref="L85:M85" si="24">J85*Q58*0.001102</f>
        <v>7.226629479999999E-3</v>
      </c>
      <c r="M85" s="591">
        <f t="shared" si="24"/>
        <v>5.5085403351420445E-5</v>
      </c>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row>
    <row r="86" spans="1:39" ht="12.75" customHeight="1">
      <c r="A86" s="144"/>
      <c r="B86" s="150"/>
      <c r="C86" s="151"/>
      <c r="D86" s="169"/>
      <c r="E86" s="151"/>
      <c r="F86" s="158"/>
      <c r="G86" s="151"/>
      <c r="H86" s="158"/>
      <c r="I86" s="151"/>
      <c r="J86" s="173">
        <f>SUM(J84:J85)</f>
        <v>25145.101754000003</v>
      </c>
      <c r="K86" s="179">
        <v>1916.7</v>
      </c>
      <c r="L86" s="180">
        <f t="shared" ref="L86:M86" si="25">SUM(L84:L85)</f>
        <v>6.8676447438724003E-2</v>
      </c>
      <c r="M86" s="602">
        <f t="shared" si="25"/>
        <v>1.234504899509622E-2</v>
      </c>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row>
    <row r="87" spans="1:39" ht="12.75" customHeight="1">
      <c r="A87" s="144"/>
      <c r="B87" s="150"/>
      <c r="C87" s="151"/>
      <c r="D87" s="169"/>
      <c r="E87" s="151"/>
      <c r="F87" s="158"/>
      <c r="G87" s="151"/>
      <c r="H87" s="158"/>
      <c r="I87" s="151"/>
      <c r="J87" s="173"/>
      <c r="K87" s="158"/>
      <c r="L87" s="167"/>
      <c r="M87" s="591"/>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row>
    <row r="88" spans="1:39" ht="12.75" customHeight="1">
      <c r="A88" s="144"/>
      <c r="B88" s="150"/>
      <c r="C88" s="151" t="s">
        <v>270</v>
      </c>
      <c r="D88" s="169" t="s">
        <v>271</v>
      </c>
      <c r="E88" s="151" t="s">
        <v>258</v>
      </c>
      <c r="F88" s="152">
        <v>886209</v>
      </c>
      <c r="G88" s="151" t="s">
        <v>245</v>
      </c>
      <c r="H88" s="158">
        <v>136253</v>
      </c>
      <c r="I88" s="151" t="s">
        <v>246</v>
      </c>
      <c r="J88" s="173">
        <f t="shared" ref="J88:J90" si="26">(F88*H88)/1000000</f>
        <v>120748.634877</v>
      </c>
      <c r="K88" s="179">
        <v>7622.5</v>
      </c>
      <c r="L88" s="180">
        <f>J88*Q59*0.001102</f>
        <v>0.39919498690336197</v>
      </c>
      <c r="M88" s="602">
        <f>J88*R59*0.001102</f>
        <v>7.9838997380672391E-2</v>
      </c>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row>
    <row r="89" spans="1:39" ht="12.75" customHeight="1">
      <c r="A89" s="144"/>
      <c r="B89" s="150"/>
      <c r="C89" s="151" t="s">
        <v>272</v>
      </c>
      <c r="D89" s="169" t="s">
        <v>273</v>
      </c>
      <c r="E89" s="151" t="s">
        <v>258</v>
      </c>
      <c r="F89" s="152">
        <v>59976</v>
      </c>
      <c r="G89" s="151" t="s">
        <v>245</v>
      </c>
      <c r="H89" s="158">
        <v>136253</v>
      </c>
      <c r="I89" s="151" t="s">
        <v>246</v>
      </c>
      <c r="J89" s="173">
        <f t="shared" si="26"/>
        <v>8171.909928</v>
      </c>
      <c r="K89" s="179">
        <v>6609.1</v>
      </c>
      <c r="L89" s="180">
        <f>J89*Q59*0.001102</f>
        <v>2.7016334221967999E-2</v>
      </c>
      <c r="M89" s="602">
        <f>J89*R59*0.001102</f>
        <v>5.4032668443935988E-3</v>
      </c>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row>
    <row r="90" spans="1:39" ht="12.75" customHeight="1">
      <c r="A90" s="144"/>
      <c r="B90" s="150"/>
      <c r="C90" s="151" t="s">
        <v>274</v>
      </c>
      <c r="D90" s="169" t="s">
        <v>275</v>
      </c>
      <c r="E90" s="151" t="s">
        <v>258</v>
      </c>
      <c r="F90" s="152">
        <v>468737</v>
      </c>
      <c r="G90" s="151" t="s">
        <v>245</v>
      </c>
      <c r="H90" s="158">
        <v>136253</v>
      </c>
      <c r="I90" s="151" t="s">
        <v>246</v>
      </c>
      <c r="J90" s="173">
        <f t="shared" si="26"/>
        <v>63866.822461000003</v>
      </c>
      <c r="K90" s="179">
        <v>5206.8</v>
      </c>
      <c r="L90" s="180">
        <f>J90*Q59*0.001102</f>
        <v>0.21114371505606599</v>
      </c>
      <c r="M90" s="602">
        <f>J90*R59*0.001102</f>
        <v>4.2228743011213196E-2</v>
      </c>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row>
    <row r="91" spans="1:39" ht="12.75" customHeight="1">
      <c r="A91" s="144"/>
      <c r="B91" s="150"/>
      <c r="C91" s="151"/>
      <c r="D91" s="151"/>
      <c r="E91" s="151"/>
      <c r="F91" s="158"/>
      <c r="G91" s="151"/>
      <c r="H91" s="158"/>
      <c r="I91" s="151"/>
      <c r="J91" s="158"/>
      <c r="K91" s="158"/>
      <c r="L91" s="167"/>
      <c r="M91" s="587"/>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row>
    <row r="92" spans="1:39" ht="12.75" customHeight="1">
      <c r="A92" s="144"/>
      <c r="B92" s="153"/>
      <c r="C92" s="155"/>
      <c r="D92" s="155"/>
      <c r="E92" s="155"/>
      <c r="F92" s="156"/>
      <c r="G92" s="155"/>
      <c r="H92" s="156"/>
      <c r="I92" s="155"/>
      <c r="J92" s="156"/>
      <c r="K92" s="156"/>
      <c r="L92" s="176"/>
      <c r="M92" s="588"/>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row>
    <row r="93" spans="1:39" ht="12.75" customHeight="1">
      <c r="A93" s="144"/>
      <c r="B93" s="150"/>
      <c r="C93" s="151"/>
      <c r="D93" s="151"/>
      <c r="E93" s="151"/>
      <c r="F93" s="158"/>
      <c r="G93" s="151"/>
      <c r="H93" s="158"/>
      <c r="I93" s="151"/>
      <c r="J93" s="158"/>
      <c r="K93" s="158"/>
      <c r="L93" s="167"/>
      <c r="M93" s="587"/>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row>
    <row r="94" spans="1:39" ht="12.75" customHeight="1">
      <c r="A94" s="144"/>
      <c r="B94" s="150" t="s">
        <v>276</v>
      </c>
      <c r="C94" s="168" t="s">
        <v>277</v>
      </c>
      <c r="D94" s="151"/>
      <c r="E94" s="151"/>
      <c r="F94" s="158"/>
      <c r="G94" s="151"/>
      <c r="H94" s="158"/>
      <c r="I94" s="151"/>
      <c r="J94" s="158"/>
      <c r="K94" s="158"/>
      <c r="L94" s="167"/>
      <c r="M94" s="587"/>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row>
    <row r="95" spans="1:39" ht="12.75" customHeight="1">
      <c r="A95" s="144"/>
      <c r="B95" s="150"/>
      <c r="C95" s="151" t="s">
        <v>278</v>
      </c>
      <c r="D95" s="151" t="s">
        <v>279</v>
      </c>
      <c r="E95" s="151" t="s">
        <v>461</v>
      </c>
      <c r="F95" s="152">
        <v>4900</v>
      </c>
      <c r="G95" s="151" t="s">
        <v>457</v>
      </c>
      <c r="H95" s="158">
        <v>1057.7</v>
      </c>
      <c r="I95" s="151" t="s">
        <v>458</v>
      </c>
      <c r="J95" s="158">
        <f>(F95*H95)/1000</f>
        <v>5182.7299999999996</v>
      </c>
      <c r="K95" s="152">
        <f t="shared" ref="K95:K96" si="27">+J95/(J$95+J$96)*K$97</f>
        <v>330.85078492139968</v>
      </c>
      <c r="L95" s="174">
        <f t="shared" ref="L95:L96" si="28">J95*Q58*0.001102</f>
        <v>5.7113684599999987E-3</v>
      </c>
      <c r="M95" s="618">
        <f t="shared" ref="M95:M96" si="29">J95*R58*0.001102</f>
        <v>5.7113684599999996E-4</v>
      </c>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row>
    <row r="96" spans="1:39" ht="12.75" customHeight="1">
      <c r="A96" s="144"/>
      <c r="B96" s="150"/>
      <c r="C96" s="151"/>
      <c r="D96" s="151"/>
      <c r="E96" s="151" t="s">
        <v>258</v>
      </c>
      <c r="F96" s="152">
        <v>26460</v>
      </c>
      <c r="G96" s="151" t="s">
        <v>245</v>
      </c>
      <c r="H96" s="158">
        <v>136253</v>
      </c>
      <c r="I96" s="151" t="s">
        <v>246</v>
      </c>
      <c r="J96" s="158">
        <f>(F96*H96)/1000000</f>
        <v>3605.2543799999999</v>
      </c>
      <c r="K96" s="152">
        <f t="shared" si="27"/>
        <v>230.14921507860029</v>
      </c>
      <c r="L96" s="174">
        <f t="shared" si="28"/>
        <v>1.1918970980279999E-2</v>
      </c>
      <c r="M96" s="618">
        <f t="shared" si="29"/>
        <v>2.3837941960559994E-3</v>
      </c>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row>
    <row r="97" spans="1:39" ht="12.75" customHeight="1">
      <c r="A97" s="144"/>
      <c r="B97" s="150"/>
      <c r="C97" s="151"/>
      <c r="D97" s="151"/>
      <c r="E97" s="151"/>
      <c r="F97" s="152"/>
      <c r="G97" s="151"/>
      <c r="H97" s="158"/>
      <c r="I97" s="151"/>
      <c r="J97" s="173">
        <f>SUM(J95:J96)</f>
        <v>8787.9843799999999</v>
      </c>
      <c r="K97" s="179">
        <v>561</v>
      </c>
      <c r="L97" s="180">
        <f t="shared" ref="L97:M97" si="30">SUM(L95:L96)</f>
        <v>1.7630339440279998E-2</v>
      </c>
      <c r="M97" s="602">
        <f t="shared" si="30"/>
        <v>2.9549310420559994E-3</v>
      </c>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row>
    <row r="98" spans="1:39" ht="12.75" customHeight="1">
      <c r="A98" s="144"/>
      <c r="B98" s="150"/>
      <c r="C98" s="151"/>
      <c r="D98" s="151"/>
      <c r="E98" s="151"/>
      <c r="F98" s="152"/>
      <c r="G98" s="151"/>
      <c r="H98" s="158"/>
      <c r="I98" s="151"/>
      <c r="J98" s="151"/>
      <c r="K98" s="151"/>
      <c r="L98" s="151"/>
      <c r="M98" s="587"/>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row>
    <row r="99" spans="1:39" ht="12.75" customHeight="1">
      <c r="A99" s="144"/>
      <c r="B99" s="153"/>
      <c r="C99" s="155"/>
      <c r="D99" s="155"/>
      <c r="E99" s="155"/>
      <c r="F99" s="182"/>
      <c r="G99" s="155"/>
      <c r="H99" s="156"/>
      <c r="I99" s="155"/>
      <c r="J99" s="155"/>
      <c r="K99" s="155"/>
      <c r="L99" s="155"/>
      <c r="M99" s="588"/>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row>
    <row r="100" spans="1:39" ht="12.75" customHeight="1">
      <c r="A100" s="144"/>
      <c r="B100" s="150"/>
      <c r="C100" s="151"/>
      <c r="D100" s="151"/>
      <c r="E100" s="151"/>
      <c r="F100" s="158"/>
      <c r="G100" s="151"/>
      <c r="H100" s="158"/>
      <c r="I100" s="151"/>
      <c r="J100" s="151"/>
      <c r="K100" s="151"/>
      <c r="L100" s="151"/>
      <c r="M100" s="587"/>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row>
    <row r="101" spans="1:39" ht="12.75" customHeight="1">
      <c r="A101" s="144"/>
      <c r="B101" s="150" t="s">
        <v>223</v>
      </c>
      <c r="C101" s="168" t="s">
        <v>224</v>
      </c>
      <c r="D101" s="151"/>
      <c r="E101" s="151"/>
      <c r="F101" s="158"/>
      <c r="G101" s="151"/>
      <c r="H101" s="158"/>
      <c r="I101" s="151"/>
      <c r="J101" s="158"/>
      <c r="K101" s="158"/>
      <c r="L101" s="167"/>
      <c r="M101" s="587"/>
      <c r="N101" s="144"/>
      <c r="O101" s="168" t="s">
        <v>640</v>
      </c>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row>
    <row r="102" spans="1:39" ht="12.75" customHeight="1">
      <c r="A102" s="144"/>
      <c r="B102" s="150"/>
      <c r="C102" s="151" t="s">
        <v>429</v>
      </c>
      <c r="D102" s="151" t="s">
        <v>200</v>
      </c>
      <c r="E102" s="151" t="s">
        <v>461</v>
      </c>
      <c r="F102" s="152">
        <v>137890000</v>
      </c>
      <c r="G102" s="151" t="s">
        <v>462</v>
      </c>
      <c r="H102" s="204">
        <v>1.083</v>
      </c>
      <c r="I102" s="151" t="s">
        <v>463</v>
      </c>
      <c r="J102" s="152">
        <f t="shared" ref="J102:J103" si="31">F102*H102</f>
        <v>149334870</v>
      </c>
      <c r="K102" s="170">
        <f>(+J102/(J102+J103))*K104</f>
        <v>8546.5688901669037</v>
      </c>
      <c r="L102" s="204">
        <v>0.16200000000000001</v>
      </c>
      <c r="M102" s="619">
        <v>1.7000000000000001E-2</v>
      </c>
      <c r="N102" s="144"/>
      <c r="O102" s="144" t="s">
        <v>3</v>
      </c>
      <c r="P102" s="144" t="s">
        <v>641</v>
      </c>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row>
    <row r="103" spans="1:39" ht="12.75" customHeight="1">
      <c r="A103" s="144"/>
      <c r="B103" s="150"/>
      <c r="C103" s="151"/>
      <c r="D103" s="151" t="s">
        <v>200</v>
      </c>
      <c r="E103" s="151" t="s">
        <v>430</v>
      </c>
      <c r="F103" s="152">
        <v>49558</v>
      </c>
      <c r="G103" s="151" t="s">
        <v>245</v>
      </c>
      <c r="H103" s="204">
        <v>0.152</v>
      </c>
      <c r="I103" s="151" t="s">
        <v>283</v>
      </c>
      <c r="J103" s="174">
        <f t="shared" si="31"/>
        <v>7532.8159999999998</v>
      </c>
      <c r="K103" s="170">
        <f>(+J103/(J103+J104))*K104</f>
        <v>0.4310880890544232</v>
      </c>
      <c r="L103" s="204">
        <v>2.4E-2</v>
      </c>
      <c r="M103" s="619">
        <v>4.0000000000000001E-3</v>
      </c>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row>
    <row r="104" spans="1:39" ht="12.75" customHeight="1">
      <c r="A104" s="144"/>
      <c r="B104" s="150"/>
      <c r="C104" s="151"/>
      <c r="D104" s="151"/>
      <c r="E104" s="151"/>
      <c r="F104" s="158"/>
      <c r="G104" s="151"/>
      <c r="H104" s="158"/>
      <c r="I104" s="151"/>
      <c r="J104" s="173">
        <f>J102+J103</f>
        <v>149342402.81600001</v>
      </c>
      <c r="K104" s="179">
        <v>8547</v>
      </c>
      <c r="L104" s="180">
        <f t="shared" ref="L104:M104" si="32">L102+L103</f>
        <v>0.186</v>
      </c>
      <c r="M104" s="598">
        <f t="shared" si="32"/>
        <v>2.1000000000000001E-2</v>
      </c>
      <c r="N104" s="144"/>
      <c r="O104" s="595"/>
      <c r="P104" s="144" t="s">
        <v>663</v>
      </c>
      <c r="Q104" s="144" t="s">
        <v>664</v>
      </c>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row>
    <row r="105" spans="1:39" ht="12.75" customHeight="1">
      <c r="A105" s="144"/>
      <c r="B105" s="150"/>
      <c r="C105" s="151"/>
      <c r="D105" s="151"/>
      <c r="E105" s="151"/>
      <c r="F105" s="158"/>
      <c r="G105" s="151"/>
      <c r="H105" s="158"/>
      <c r="I105" s="151"/>
      <c r="J105" s="173"/>
      <c r="K105" s="179"/>
      <c r="L105" s="183"/>
      <c r="M105" s="587"/>
      <c r="N105" s="144"/>
      <c r="O105" s="144" t="s">
        <v>194</v>
      </c>
      <c r="P105" s="597">
        <v>2.2000000000000001E-3</v>
      </c>
      <c r="Q105" s="597">
        <v>3.5200000000000001E-3</v>
      </c>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row>
    <row r="106" spans="1:39" ht="12.75" customHeight="1">
      <c r="A106" s="144"/>
      <c r="B106" s="150"/>
      <c r="C106" s="151" t="s">
        <v>225</v>
      </c>
      <c r="D106" s="151" t="s">
        <v>204</v>
      </c>
      <c r="E106" s="151" t="s">
        <v>459</v>
      </c>
      <c r="F106" s="152">
        <v>152620000</v>
      </c>
      <c r="G106" s="151" t="s">
        <v>462</v>
      </c>
      <c r="H106" s="151">
        <v>1.079</v>
      </c>
      <c r="I106" s="151" t="s">
        <v>463</v>
      </c>
      <c r="J106" s="152">
        <f t="shared" ref="J106:J107" si="33">(F106*H106)</f>
        <v>164676980</v>
      </c>
      <c r="K106" s="173">
        <f t="shared" ref="K106:K107" si="34">(J106/(J$106+J$107))*K$108</f>
        <v>34972.701542857976</v>
      </c>
      <c r="L106" s="174">
        <v>0.18</v>
      </c>
      <c r="M106" s="619">
        <v>1.7999999999999999E-2</v>
      </c>
      <c r="N106" s="144"/>
      <c r="O106" s="144" t="s">
        <v>306</v>
      </c>
      <c r="P106" s="597">
        <v>6.6E-3</v>
      </c>
      <c r="Q106" s="597">
        <v>1.32E-3</v>
      </c>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row>
    <row r="107" spans="1:39" ht="12.75" customHeight="1">
      <c r="A107" s="144"/>
      <c r="B107" s="150"/>
      <c r="C107" s="151"/>
      <c r="D107" s="151" t="s">
        <v>204</v>
      </c>
      <c r="E107" s="151" t="s">
        <v>201</v>
      </c>
      <c r="F107" s="152">
        <v>10457</v>
      </c>
      <c r="G107" s="151" t="s">
        <v>195</v>
      </c>
      <c r="H107" s="151">
        <v>24</v>
      </c>
      <c r="I107" s="151" t="s">
        <v>226</v>
      </c>
      <c r="J107" s="152">
        <f t="shared" si="33"/>
        <v>250968</v>
      </c>
      <c r="K107" s="173">
        <f t="shared" si="34"/>
        <v>53.298457142024226</v>
      </c>
      <c r="L107" s="174">
        <v>2.859</v>
      </c>
      <c r="M107" s="619">
        <v>0.41599999999999998</v>
      </c>
      <c r="N107" s="144"/>
      <c r="O107" s="144" t="s">
        <v>433</v>
      </c>
      <c r="P107" s="597">
        <v>6.6E-3</v>
      </c>
      <c r="Q107" s="597">
        <v>1.32E-3</v>
      </c>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4"/>
    </row>
    <row r="108" spans="1:39" ht="12.75" customHeight="1">
      <c r="A108" s="144"/>
      <c r="B108" s="150"/>
      <c r="C108" s="151"/>
      <c r="D108" s="151"/>
      <c r="E108" s="151"/>
      <c r="F108" s="158"/>
      <c r="G108" s="151"/>
      <c r="H108" s="158"/>
      <c r="I108" s="151"/>
      <c r="J108" s="173">
        <f>J106+J107</f>
        <v>164927948</v>
      </c>
      <c r="K108" s="179">
        <v>35026</v>
      </c>
      <c r="L108" s="180">
        <f t="shared" ref="L108:M108" si="35">L106+L107</f>
        <v>3.0390000000000001</v>
      </c>
      <c r="M108" s="598">
        <f t="shared" si="35"/>
        <v>0.434</v>
      </c>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row>
    <row r="109" spans="1:39" ht="12.75" customHeight="1">
      <c r="A109" s="144"/>
      <c r="B109" s="150"/>
      <c r="C109" s="151"/>
      <c r="D109" s="151"/>
      <c r="E109" s="151"/>
      <c r="F109" s="158"/>
      <c r="G109" s="151"/>
      <c r="H109" s="158"/>
      <c r="I109" s="151"/>
      <c r="J109" s="173"/>
      <c r="K109" s="179"/>
      <c r="L109" s="183"/>
      <c r="M109" s="587"/>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row>
    <row r="110" spans="1:39" ht="12.75" customHeight="1">
      <c r="A110" s="144"/>
      <c r="B110" s="150"/>
      <c r="C110" s="151" t="s">
        <v>227</v>
      </c>
      <c r="D110" s="151" t="s">
        <v>220</v>
      </c>
      <c r="E110" s="151" t="s">
        <v>459</v>
      </c>
      <c r="F110" s="152">
        <v>44820000</v>
      </c>
      <c r="G110" s="151" t="s">
        <v>462</v>
      </c>
      <c r="H110" s="204">
        <v>1.0780000000000001</v>
      </c>
      <c r="I110" s="151" t="s">
        <v>463</v>
      </c>
      <c r="J110" s="152">
        <f t="shared" ref="J110:J111" si="36">(F110*H110)</f>
        <v>48315960</v>
      </c>
      <c r="K110" s="173">
        <f t="shared" ref="K110:K111" si="37">J110/(J$110+J$111)*K$112</f>
        <v>195843.74436401241</v>
      </c>
      <c r="L110" s="204">
        <v>5.2999999999999999E-2</v>
      </c>
      <c r="M110" s="619">
        <v>6.0000000000000001E-3</v>
      </c>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row>
    <row r="111" spans="1:39" ht="12.75" customHeight="1">
      <c r="A111" s="144"/>
      <c r="B111" s="150"/>
      <c r="C111" s="151"/>
      <c r="D111" s="151" t="s">
        <v>220</v>
      </c>
      <c r="E111" s="151" t="s">
        <v>201</v>
      </c>
      <c r="F111" s="152">
        <v>81675</v>
      </c>
      <c r="G111" s="151" t="s">
        <v>195</v>
      </c>
      <c r="H111" s="174">
        <v>23.8</v>
      </c>
      <c r="I111" s="151" t="s">
        <v>226</v>
      </c>
      <c r="J111" s="152">
        <f t="shared" si="36"/>
        <v>1943865</v>
      </c>
      <c r="K111" s="173">
        <f t="shared" si="37"/>
        <v>7879.2556359875898</v>
      </c>
      <c r="L111" s="184">
        <v>23.738</v>
      </c>
      <c r="M111" s="619">
        <v>3.452</v>
      </c>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row>
    <row r="112" spans="1:39" ht="12.75" customHeight="1">
      <c r="A112" s="144"/>
      <c r="B112" s="150"/>
      <c r="C112" s="151"/>
      <c r="D112" s="151"/>
      <c r="E112" s="151"/>
      <c r="F112" s="158"/>
      <c r="G112" s="151"/>
      <c r="H112" s="158"/>
      <c r="I112" s="151"/>
      <c r="J112" s="173">
        <f>J110+J111</f>
        <v>50259825</v>
      </c>
      <c r="K112" s="179">
        <v>203723</v>
      </c>
      <c r="L112" s="180">
        <f t="shared" ref="L112:M112" si="38">L110+L111</f>
        <v>23.791</v>
      </c>
      <c r="M112" s="598">
        <f t="shared" si="38"/>
        <v>3.4579999999999997</v>
      </c>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row>
    <row r="113" spans="1:39" ht="12.75" customHeight="1">
      <c r="A113" s="144"/>
      <c r="B113" s="150"/>
      <c r="C113" s="151"/>
      <c r="D113" s="151"/>
      <c r="E113" s="151"/>
      <c r="F113" s="158"/>
      <c r="G113" s="151"/>
      <c r="H113" s="158"/>
      <c r="I113" s="151"/>
      <c r="J113" s="173"/>
      <c r="K113" s="179"/>
      <c r="L113" s="183"/>
      <c r="M113" s="587"/>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row>
    <row r="114" spans="1:39" ht="12.75" customHeight="1">
      <c r="A114" s="144"/>
      <c r="B114" s="150"/>
      <c r="C114" s="151" t="s">
        <v>414</v>
      </c>
      <c r="D114" s="151" t="s">
        <v>431</v>
      </c>
      <c r="E114" s="151" t="s">
        <v>459</v>
      </c>
      <c r="F114" s="152">
        <v>32710000</v>
      </c>
      <c r="G114" s="151" t="s">
        <v>462</v>
      </c>
      <c r="H114" s="204">
        <v>1.0880000000000001</v>
      </c>
      <c r="I114" s="151" t="s">
        <v>463</v>
      </c>
      <c r="J114" s="152">
        <f t="shared" ref="J114:J115" si="39">(F114*H114)</f>
        <v>35588480</v>
      </c>
      <c r="K114" s="167">
        <f>(J114/(J114+J115))*K116</f>
        <v>15193.468458815614</v>
      </c>
      <c r="L114" s="204">
        <v>3.9E-2</v>
      </c>
      <c r="M114" s="619">
        <v>3.0000000000000001E-3</v>
      </c>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row>
    <row r="115" spans="1:39" ht="12.75" customHeight="1">
      <c r="A115" s="144"/>
      <c r="B115" s="150"/>
      <c r="C115" s="151"/>
      <c r="D115" s="151" t="s">
        <v>431</v>
      </c>
      <c r="E115" s="151" t="s">
        <v>430</v>
      </c>
      <c r="F115" s="152">
        <v>1102317</v>
      </c>
      <c r="G115" s="151" t="s">
        <v>245</v>
      </c>
      <c r="H115" s="204">
        <v>0.152</v>
      </c>
      <c r="I115" s="151" t="s">
        <v>432</v>
      </c>
      <c r="J115" s="152">
        <f t="shared" si="39"/>
        <v>167552.18400000001</v>
      </c>
      <c r="K115" s="158">
        <f>(J115/(J114+J115))*K116</f>
        <v>71.531541184385247</v>
      </c>
      <c r="L115" s="174">
        <v>0.55000000000000004</v>
      </c>
      <c r="M115" s="619">
        <v>0.11</v>
      </c>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row>
    <row r="116" spans="1:39" ht="12.75" customHeight="1">
      <c r="A116" s="144"/>
      <c r="B116" s="150"/>
      <c r="C116" s="151"/>
      <c r="D116" s="151"/>
      <c r="E116" s="151"/>
      <c r="F116" s="158"/>
      <c r="G116" s="151"/>
      <c r="H116" s="158"/>
      <c r="I116" s="151"/>
      <c r="J116" s="173">
        <f>J114+J115</f>
        <v>35756032.184</v>
      </c>
      <c r="K116" s="179">
        <v>15265</v>
      </c>
      <c r="L116" s="180">
        <f t="shared" ref="L116:M116" si="40">L114+L115</f>
        <v>0.58900000000000008</v>
      </c>
      <c r="M116" s="598">
        <f t="shared" si="40"/>
        <v>0.113</v>
      </c>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4"/>
    </row>
    <row r="117" spans="1:39" ht="12.75" customHeight="1">
      <c r="A117" s="144"/>
      <c r="B117" s="150"/>
      <c r="C117" s="151"/>
      <c r="D117" s="151"/>
      <c r="E117" s="151"/>
      <c r="F117" s="158"/>
      <c r="G117" s="151"/>
      <c r="H117" s="158"/>
      <c r="I117" s="151"/>
      <c r="J117" s="158"/>
      <c r="K117" s="158"/>
      <c r="L117" s="167"/>
      <c r="M117" s="601"/>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4"/>
    </row>
    <row r="118" spans="1:39" ht="12.75" customHeight="1">
      <c r="A118" s="144"/>
      <c r="B118" s="150"/>
      <c r="C118" s="151" t="s">
        <v>280</v>
      </c>
      <c r="D118" s="151" t="s">
        <v>281</v>
      </c>
      <c r="E118" s="151" t="s">
        <v>282</v>
      </c>
      <c r="F118" s="152">
        <v>22785</v>
      </c>
      <c r="G118" s="151" t="s">
        <v>245</v>
      </c>
      <c r="H118" s="204">
        <v>0.13700000000000001</v>
      </c>
      <c r="I118" s="151" t="s">
        <v>283</v>
      </c>
      <c r="J118" s="173">
        <f>F118*H118</f>
        <v>3121.5450000000001</v>
      </c>
      <c r="K118" s="179">
        <v>234</v>
      </c>
      <c r="L118" s="205">
        <v>1.0999999999999999E-2</v>
      </c>
      <c r="M118" s="598">
        <v>2.2000000000000001E-3</v>
      </c>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row>
    <row r="119" spans="1:39" ht="12.75" customHeight="1">
      <c r="A119" s="144"/>
      <c r="B119" s="150"/>
      <c r="C119" s="151"/>
      <c r="D119" s="151"/>
      <c r="E119" s="151"/>
      <c r="F119" s="152"/>
      <c r="G119" s="151"/>
      <c r="H119" s="204"/>
      <c r="I119" s="151"/>
      <c r="J119" s="173"/>
      <c r="K119" s="179"/>
      <c r="L119" s="205"/>
      <c r="M119" s="587"/>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row>
    <row r="120" spans="1:39" ht="12.75" customHeight="1">
      <c r="A120" s="144"/>
      <c r="B120" s="153"/>
      <c r="C120" s="155"/>
      <c r="D120" s="155"/>
      <c r="E120" s="155"/>
      <c r="F120" s="182"/>
      <c r="G120" s="155"/>
      <c r="H120" s="206"/>
      <c r="I120" s="155"/>
      <c r="J120" s="207"/>
      <c r="K120" s="208"/>
      <c r="L120" s="209"/>
      <c r="M120" s="588"/>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4"/>
    </row>
    <row r="121" spans="1:39" ht="12.75" customHeight="1">
      <c r="A121" s="144"/>
      <c r="B121" s="150"/>
      <c r="C121" s="151"/>
      <c r="D121" s="151"/>
      <c r="E121" s="151"/>
      <c r="F121" s="158"/>
      <c r="G121" s="151"/>
      <c r="H121" s="158"/>
      <c r="I121" s="151"/>
      <c r="J121" s="151"/>
      <c r="K121" s="158"/>
      <c r="L121" s="167"/>
      <c r="M121" s="587"/>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row>
    <row r="122" spans="1:39" ht="12.75" customHeight="1">
      <c r="A122" s="144"/>
      <c r="B122" s="150" t="s">
        <v>284</v>
      </c>
      <c r="C122" s="177" t="s">
        <v>285</v>
      </c>
      <c r="D122" s="151"/>
      <c r="E122" s="151"/>
      <c r="F122" s="158"/>
      <c r="G122" s="151"/>
      <c r="H122" s="158"/>
      <c r="I122" s="151"/>
      <c r="J122" s="158"/>
      <c r="K122" s="158"/>
      <c r="L122" s="167"/>
      <c r="M122" s="587"/>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row>
    <row r="123" spans="1:39" ht="12.75" customHeight="1">
      <c r="A123" s="144"/>
      <c r="B123" s="150"/>
      <c r="C123" s="151" t="s">
        <v>286</v>
      </c>
      <c r="D123" s="151" t="s">
        <v>287</v>
      </c>
      <c r="E123" s="151" t="s">
        <v>461</v>
      </c>
      <c r="F123" s="152">
        <f>822*1000000</f>
        <v>822000000</v>
      </c>
      <c r="G123" s="151" t="s">
        <v>457</v>
      </c>
      <c r="H123" s="158">
        <v>1040</v>
      </c>
      <c r="I123" s="151" t="s">
        <v>464</v>
      </c>
      <c r="J123" s="158">
        <f>(F123*H123)/1000000</f>
        <v>854880</v>
      </c>
      <c r="K123" s="158">
        <f t="shared" ref="K123:K124" si="41">(+J123/(J$123+J$124))*K$125</f>
        <v>51445.784017912389</v>
      </c>
      <c r="L123" s="167">
        <f t="shared" ref="L123:L124" si="42">(+J123/(J$123+J$124))*L$125</f>
        <v>1.1088432857243098</v>
      </c>
      <c r="M123" s="592">
        <f t="shared" ref="M123:M124" si="43">(+J123/(J$123+J$124))*M$125</f>
        <v>0.13633319086774301</v>
      </c>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row>
    <row r="124" spans="1:39" ht="12.75" customHeight="1">
      <c r="A124" s="144"/>
      <c r="B124" s="150"/>
      <c r="C124" s="151"/>
      <c r="D124" s="151" t="s">
        <v>287</v>
      </c>
      <c r="E124" s="151" t="s">
        <v>282</v>
      </c>
      <c r="F124" s="152">
        <f>621*1000</f>
        <v>621000</v>
      </c>
      <c r="G124" s="151" t="s">
        <v>245</v>
      </c>
      <c r="H124" s="158">
        <v>138</v>
      </c>
      <c r="I124" s="151" t="s">
        <v>288</v>
      </c>
      <c r="J124" s="158">
        <f>(F124*H124)/1000</f>
        <v>85698</v>
      </c>
      <c r="K124" s="158">
        <f t="shared" si="41"/>
        <v>5157.2159820876095</v>
      </c>
      <c r="L124" s="167">
        <f t="shared" si="42"/>
        <v>0.11115671427569004</v>
      </c>
      <c r="M124" s="592">
        <f t="shared" si="43"/>
        <v>1.3666809132256973E-2</v>
      </c>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4"/>
    </row>
    <row r="125" spans="1:39" ht="12.75" customHeight="1">
      <c r="A125" s="144"/>
      <c r="B125" s="150"/>
      <c r="C125" s="151"/>
      <c r="D125" s="151"/>
      <c r="E125" s="151"/>
      <c r="F125" s="152"/>
      <c r="G125" s="151"/>
      <c r="H125" s="158"/>
      <c r="I125" s="151"/>
      <c r="J125" s="173">
        <f>J123+J124</f>
        <v>940578</v>
      </c>
      <c r="K125" s="179">
        <v>56603</v>
      </c>
      <c r="L125" s="180">
        <v>1.22</v>
      </c>
      <c r="M125" s="600">
        <v>0.15</v>
      </c>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4"/>
    </row>
    <row r="126" spans="1:39" ht="12.75" customHeight="1">
      <c r="A126" s="144"/>
      <c r="B126" s="150"/>
      <c r="C126" s="151"/>
      <c r="D126" s="151"/>
      <c r="E126" s="151"/>
      <c r="F126" s="152"/>
      <c r="G126" s="151"/>
      <c r="H126" s="158"/>
      <c r="I126" s="151"/>
      <c r="J126" s="158"/>
      <c r="K126" s="158"/>
      <c r="L126" s="167"/>
      <c r="M126" s="601"/>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4"/>
    </row>
    <row r="127" spans="1:39" ht="12.75" customHeight="1">
      <c r="A127" s="144"/>
      <c r="B127" s="150"/>
      <c r="C127" s="151" t="s">
        <v>289</v>
      </c>
      <c r="D127" s="151" t="s">
        <v>290</v>
      </c>
      <c r="E127" s="151" t="s">
        <v>282</v>
      </c>
      <c r="F127" s="152">
        <f>408*1000</f>
        <v>408000</v>
      </c>
      <c r="G127" s="151" t="s">
        <v>245</v>
      </c>
      <c r="H127" s="158">
        <v>138.07300000000001</v>
      </c>
      <c r="I127" s="151" t="s">
        <v>288</v>
      </c>
      <c r="J127" s="173">
        <f>(F127*H127)/1000</f>
        <v>56333.784</v>
      </c>
      <c r="K127" s="179">
        <v>4015</v>
      </c>
      <c r="L127" s="210">
        <v>0.19</v>
      </c>
      <c r="M127" s="620">
        <v>0.04</v>
      </c>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4"/>
    </row>
    <row r="128" spans="1:39" ht="12.75" customHeight="1">
      <c r="A128" s="144"/>
      <c r="B128" s="150"/>
      <c r="C128" s="151"/>
      <c r="D128" s="151"/>
      <c r="E128" s="151"/>
      <c r="F128" s="152"/>
      <c r="G128" s="151"/>
      <c r="H128" s="158"/>
      <c r="I128" s="151"/>
      <c r="J128" s="158"/>
      <c r="K128" s="179"/>
      <c r="L128" s="210"/>
      <c r="M128" s="620"/>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4"/>
    </row>
    <row r="129" spans="1:39" ht="12.75" customHeight="1">
      <c r="A129" s="144"/>
      <c r="B129" s="150"/>
      <c r="C129" s="151" t="s">
        <v>291</v>
      </c>
      <c r="D129" s="151" t="s">
        <v>292</v>
      </c>
      <c r="E129" s="151" t="s">
        <v>282</v>
      </c>
      <c r="F129" s="152">
        <f>0*1000</f>
        <v>0</v>
      </c>
      <c r="G129" s="151" t="s">
        <v>245</v>
      </c>
      <c r="H129" s="158">
        <v>138.07300000000001</v>
      </c>
      <c r="I129" s="151" t="s">
        <v>288</v>
      </c>
      <c r="J129" s="211">
        <f>(F129*H129)/1000</f>
        <v>0</v>
      </c>
      <c r="K129" s="212">
        <v>0</v>
      </c>
      <c r="L129" s="210">
        <v>0</v>
      </c>
      <c r="M129" s="620">
        <v>0</v>
      </c>
      <c r="N129" s="144"/>
      <c r="O129" s="144"/>
      <c r="P129" s="144"/>
      <c r="Q129" s="144"/>
      <c r="R129" s="144"/>
      <c r="S129" s="144"/>
      <c r="T129" s="144"/>
      <c r="U129" s="144"/>
      <c r="V129" s="144"/>
      <c r="W129" s="144"/>
      <c r="X129" s="144"/>
      <c r="Y129" s="144"/>
      <c r="Z129" s="144"/>
      <c r="AA129" s="144"/>
      <c r="AB129" s="144"/>
      <c r="AC129" s="144"/>
      <c r="AD129" s="144"/>
      <c r="AE129" s="144"/>
      <c r="AF129" s="144"/>
      <c r="AG129" s="144"/>
      <c r="AH129" s="144"/>
      <c r="AI129" s="144"/>
      <c r="AJ129" s="144"/>
      <c r="AK129" s="144"/>
      <c r="AL129" s="144"/>
      <c r="AM129" s="144"/>
    </row>
    <row r="130" spans="1:39" ht="12.75" customHeight="1">
      <c r="A130" s="144"/>
      <c r="B130" s="150"/>
      <c r="C130" s="151"/>
      <c r="D130" s="151"/>
      <c r="E130" s="151"/>
      <c r="F130" s="152"/>
      <c r="G130" s="151"/>
      <c r="H130" s="158"/>
      <c r="I130" s="151"/>
      <c r="J130" s="158"/>
      <c r="K130" s="179"/>
      <c r="L130" s="210"/>
      <c r="M130" s="620"/>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4"/>
    </row>
    <row r="131" spans="1:39" ht="12.75" customHeight="1">
      <c r="A131" s="144"/>
      <c r="B131" s="150"/>
      <c r="C131" s="151" t="s">
        <v>293</v>
      </c>
      <c r="D131" s="151" t="s">
        <v>294</v>
      </c>
      <c r="E131" s="151" t="s">
        <v>282</v>
      </c>
      <c r="F131" s="152">
        <f>233*1000</f>
        <v>233000</v>
      </c>
      <c r="G131" s="151" t="s">
        <v>245</v>
      </c>
      <c r="H131" s="158">
        <v>138.07300000000001</v>
      </c>
      <c r="I131" s="151" t="s">
        <v>288</v>
      </c>
      <c r="J131" s="173">
        <f>(F131*H131)/1000</f>
        <v>32171.008999999998</v>
      </c>
      <c r="K131" s="179">
        <v>2083</v>
      </c>
      <c r="L131" s="210">
        <v>0.11</v>
      </c>
      <c r="M131" s="620">
        <v>0.02</v>
      </c>
      <c r="N131" s="144"/>
      <c r="O131" s="144"/>
      <c r="P131" s="144"/>
      <c r="Q131" s="144"/>
      <c r="R131" s="144"/>
      <c r="S131" s="144"/>
      <c r="T131" s="144"/>
      <c r="U131" s="144"/>
      <c r="V131" s="144"/>
      <c r="W131" s="144"/>
      <c r="X131" s="144"/>
      <c r="Y131" s="144"/>
      <c r="Z131" s="144"/>
      <c r="AA131" s="144"/>
      <c r="AB131" s="144"/>
      <c r="AC131" s="144"/>
      <c r="AD131" s="144"/>
      <c r="AE131" s="144"/>
      <c r="AF131" s="144"/>
      <c r="AG131" s="144"/>
      <c r="AH131" s="144"/>
      <c r="AI131" s="144"/>
      <c r="AJ131" s="144"/>
      <c r="AK131" s="144"/>
      <c r="AL131" s="144"/>
      <c r="AM131" s="144"/>
    </row>
    <row r="132" spans="1:39" ht="12.75" customHeight="1">
      <c r="A132" s="144"/>
      <c r="B132" s="150"/>
      <c r="C132" s="151"/>
      <c r="D132" s="151"/>
      <c r="E132" s="151"/>
      <c r="F132" s="152"/>
      <c r="G132" s="151"/>
      <c r="H132" s="158"/>
      <c r="I132" s="151"/>
      <c r="J132" s="158"/>
      <c r="K132" s="179"/>
      <c r="L132" s="210"/>
      <c r="M132" s="620"/>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4"/>
    </row>
    <row r="133" spans="1:39" ht="12.75" customHeight="1">
      <c r="A133" s="144"/>
      <c r="B133" s="150"/>
      <c r="C133" s="151" t="s">
        <v>295</v>
      </c>
      <c r="D133" s="151" t="s">
        <v>296</v>
      </c>
      <c r="E133" s="151" t="s">
        <v>282</v>
      </c>
      <c r="F133" s="152">
        <f>224*1000</f>
        <v>224000</v>
      </c>
      <c r="G133" s="151" t="s">
        <v>245</v>
      </c>
      <c r="H133" s="158">
        <v>138.07300000000001</v>
      </c>
      <c r="I133" s="151" t="s">
        <v>288</v>
      </c>
      <c r="J133" s="173">
        <f>(F133*H133)/1000</f>
        <v>30928.351999999999</v>
      </c>
      <c r="K133" s="179">
        <v>2018</v>
      </c>
      <c r="L133" s="210">
        <v>0.1</v>
      </c>
      <c r="M133" s="620" t="s">
        <v>297</v>
      </c>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c r="AL133" s="144"/>
      <c r="AM133" s="144"/>
    </row>
    <row r="134" spans="1:39" ht="12.75" customHeight="1">
      <c r="A134" s="144"/>
      <c r="B134" s="150"/>
      <c r="C134" s="151"/>
      <c r="D134" s="151"/>
      <c r="E134" s="151"/>
      <c r="F134" s="152"/>
      <c r="G134" s="151"/>
      <c r="H134" s="158"/>
      <c r="I134" s="151"/>
      <c r="J134" s="173"/>
      <c r="K134" s="179"/>
      <c r="L134" s="210"/>
      <c r="M134" s="620"/>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c r="AL134" s="144"/>
      <c r="AM134" s="144"/>
    </row>
    <row r="135" spans="1:39" ht="12.75" customHeight="1">
      <c r="A135" s="144"/>
      <c r="B135" s="150"/>
      <c r="C135" s="151" t="s">
        <v>298</v>
      </c>
      <c r="D135" s="151" t="s">
        <v>465</v>
      </c>
      <c r="E135" s="151" t="s">
        <v>461</v>
      </c>
      <c r="F135" s="152">
        <f>750*1000000</f>
        <v>750000000</v>
      </c>
      <c r="G135" s="151" t="s">
        <v>457</v>
      </c>
      <c r="H135" s="158">
        <v>1049</v>
      </c>
      <c r="I135" s="151" t="s">
        <v>464</v>
      </c>
      <c r="J135" s="158">
        <f>(F135*H135)/1000000</f>
        <v>786750</v>
      </c>
      <c r="K135" s="158">
        <f t="shared" ref="K135:K136" si="44">(+J135/(J$123+J$124))*K$125</f>
        <v>47345.791896046903</v>
      </c>
      <c r="L135" s="167">
        <f t="shared" ref="L135:L136" si="45">(+J135/(J$135+J$136))*L$137</f>
        <v>0.90755425398904499</v>
      </c>
      <c r="M135" s="592">
        <f t="shared" ref="M135:M136" si="46">(+J135/(J$135+J$136))*M$137</f>
        <v>9.7586478923553224E-2</v>
      </c>
      <c r="N135" s="144"/>
      <c r="O135" s="144"/>
      <c r="P135" s="144"/>
      <c r="Q135" s="144"/>
      <c r="R135" s="144"/>
      <c r="S135" s="144"/>
      <c r="T135" s="144"/>
      <c r="U135" s="144"/>
      <c r="V135" s="144"/>
      <c r="W135" s="144"/>
      <c r="X135" s="144"/>
      <c r="Y135" s="144"/>
      <c r="Z135" s="144"/>
      <c r="AA135" s="144"/>
      <c r="AB135" s="144"/>
      <c r="AC135" s="144"/>
      <c r="AD135" s="144"/>
      <c r="AE135" s="144"/>
      <c r="AF135" s="144"/>
      <c r="AG135" s="144"/>
      <c r="AH135" s="144"/>
      <c r="AI135" s="144"/>
      <c r="AJ135" s="144"/>
      <c r="AK135" s="144"/>
      <c r="AL135" s="144"/>
      <c r="AM135" s="144"/>
    </row>
    <row r="136" spans="1:39" ht="12.75" customHeight="1">
      <c r="A136" s="144"/>
      <c r="B136" s="150"/>
      <c r="C136" s="151"/>
      <c r="D136" s="151" t="s">
        <v>299</v>
      </c>
      <c r="E136" s="151" t="s">
        <v>282</v>
      </c>
      <c r="F136" s="152">
        <f>141*1000</f>
        <v>141000</v>
      </c>
      <c r="G136" s="151" t="s">
        <v>245</v>
      </c>
      <c r="H136" s="158">
        <v>138</v>
      </c>
      <c r="I136" s="151" t="s">
        <v>288</v>
      </c>
      <c r="J136" s="158">
        <f>(F136*H136)/1000</f>
        <v>19458</v>
      </c>
      <c r="K136" s="158">
        <f t="shared" si="44"/>
        <v>1170.9620828894574</v>
      </c>
      <c r="L136" s="167">
        <f t="shared" si="45"/>
        <v>2.2445746010954989E-2</v>
      </c>
      <c r="M136" s="592">
        <f t="shared" si="46"/>
        <v>2.413521076446773E-3</v>
      </c>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c r="AL136" s="144"/>
      <c r="AM136" s="144"/>
    </row>
    <row r="137" spans="1:39" ht="12.75" customHeight="1">
      <c r="A137" s="144"/>
      <c r="B137" s="150"/>
      <c r="C137" s="151"/>
      <c r="D137" s="151"/>
      <c r="E137" s="151"/>
      <c r="F137" s="152"/>
      <c r="G137" s="151"/>
      <c r="H137" s="158"/>
      <c r="I137" s="151"/>
      <c r="J137" s="173">
        <f>J135+J136</f>
        <v>806208</v>
      </c>
      <c r="K137" s="179">
        <v>45574</v>
      </c>
      <c r="L137" s="180">
        <v>0.93</v>
      </c>
      <c r="M137" s="600">
        <v>0.1</v>
      </c>
      <c r="N137" s="144"/>
      <c r="O137" s="144"/>
      <c r="P137" s="144"/>
      <c r="Q137" s="144"/>
      <c r="R137" s="144"/>
      <c r="S137" s="144"/>
      <c r="T137" s="144"/>
      <c r="U137" s="144"/>
      <c r="V137" s="144"/>
      <c r="W137" s="144"/>
      <c r="X137" s="144"/>
      <c r="Y137" s="144"/>
      <c r="Z137" s="144"/>
      <c r="AA137" s="144"/>
      <c r="AB137" s="144"/>
      <c r="AC137" s="144"/>
      <c r="AD137" s="144"/>
      <c r="AE137" s="144"/>
      <c r="AF137" s="144"/>
      <c r="AG137" s="144"/>
      <c r="AH137" s="144"/>
      <c r="AI137" s="144"/>
      <c r="AJ137" s="144"/>
      <c r="AK137" s="144"/>
      <c r="AL137" s="144"/>
      <c r="AM137" s="144"/>
    </row>
    <row r="138" spans="1:39" ht="12.75" customHeight="1">
      <c r="A138" s="144"/>
      <c r="B138" s="150"/>
      <c r="C138" s="151"/>
      <c r="D138" s="151"/>
      <c r="E138" s="151"/>
      <c r="F138" s="152"/>
      <c r="G138" s="151"/>
      <c r="H138" s="158"/>
      <c r="I138" s="151"/>
      <c r="J138" s="173"/>
      <c r="K138" s="179"/>
      <c r="L138" s="210"/>
      <c r="M138" s="620"/>
      <c r="N138" s="144"/>
      <c r="O138" s="144"/>
      <c r="P138" s="144"/>
      <c r="Q138" s="144"/>
      <c r="R138" s="144"/>
      <c r="S138" s="144"/>
      <c r="T138" s="144"/>
      <c r="U138" s="144"/>
      <c r="V138" s="144"/>
      <c r="W138" s="144"/>
      <c r="X138" s="144"/>
      <c r="Y138" s="144"/>
      <c r="Z138" s="144"/>
      <c r="AA138" s="144"/>
      <c r="AB138" s="144"/>
      <c r="AC138" s="144"/>
      <c r="AD138" s="144"/>
      <c r="AE138" s="144"/>
      <c r="AF138" s="144"/>
      <c r="AG138" s="144"/>
      <c r="AH138" s="144"/>
      <c r="AI138" s="144"/>
      <c r="AJ138" s="144"/>
      <c r="AK138" s="144"/>
      <c r="AL138" s="144"/>
      <c r="AM138" s="144"/>
    </row>
    <row r="139" spans="1:39" ht="12.75" customHeight="1">
      <c r="A139" s="144"/>
      <c r="B139" s="150"/>
      <c r="C139" s="151" t="s">
        <v>300</v>
      </c>
      <c r="D139" s="151" t="s">
        <v>466</v>
      </c>
      <c r="E139" s="151" t="s">
        <v>461</v>
      </c>
      <c r="F139" s="152">
        <f>722*1000000</f>
        <v>722000000</v>
      </c>
      <c r="G139" s="151" t="s">
        <v>457</v>
      </c>
      <c r="H139" s="158">
        <v>1049</v>
      </c>
      <c r="I139" s="151" t="s">
        <v>464</v>
      </c>
      <c r="J139" s="158">
        <f>(F139*H139)/1000000</f>
        <v>757378</v>
      </c>
      <c r="K139" s="158">
        <f t="shared" ref="K139:K140" si="47">(+J139/(J$139+J$140))*K$141</f>
        <v>42785.202390389029</v>
      </c>
      <c r="L139" s="167">
        <f t="shared" ref="L139:L140" si="48">(+J139/(J$139+J$140))*L$141</f>
        <v>0.87714537930182523</v>
      </c>
      <c r="M139" s="592">
        <f t="shared" ref="M139:M140" si="49">(+J139/(J$139+J$140))*M$141</f>
        <v>9.7460597700202808E-2</v>
      </c>
      <c r="N139" s="144"/>
      <c r="O139" s="144"/>
      <c r="P139" s="144"/>
      <c r="Q139" s="144"/>
      <c r="R139" s="144"/>
      <c r="S139" s="144"/>
      <c r="T139" s="144"/>
      <c r="U139" s="144"/>
      <c r="V139" s="144"/>
      <c r="W139" s="144"/>
      <c r="X139" s="144"/>
      <c r="Y139" s="144"/>
      <c r="Z139" s="144"/>
      <c r="AA139" s="144"/>
      <c r="AB139" s="144"/>
      <c r="AC139" s="144"/>
      <c r="AD139" s="144"/>
      <c r="AE139" s="144"/>
      <c r="AF139" s="144"/>
      <c r="AG139" s="144"/>
      <c r="AH139" s="144"/>
      <c r="AI139" s="144"/>
      <c r="AJ139" s="144"/>
      <c r="AK139" s="144"/>
      <c r="AL139" s="144"/>
      <c r="AM139" s="144"/>
    </row>
    <row r="140" spans="1:39" ht="12.75" customHeight="1">
      <c r="A140" s="144"/>
      <c r="B140" s="150"/>
      <c r="C140" s="151"/>
      <c r="D140" s="151" t="s">
        <v>301</v>
      </c>
      <c r="E140" s="151" t="s">
        <v>282</v>
      </c>
      <c r="F140" s="152">
        <f>143*1000</f>
        <v>143000</v>
      </c>
      <c r="G140" s="151" t="s">
        <v>245</v>
      </c>
      <c r="H140" s="158">
        <v>138</v>
      </c>
      <c r="I140" s="151" t="s">
        <v>288</v>
      </c>
      <c r="J140" s="158">
        <f>(F140*H140)/1000</f>
        <v>19734</v>
      </c>
      <c r="K140" s="158">
        <f t="shared" si="47"/>
        <v>1114.7976096109699</v>
      </c>
      <c r="L140" s="167">
        <f t="shared" si="48"/>
        <v>2.2854620698174781E-2</v>
      </c>
      <c r="M140" s="592">
        <f t="shared" si="49"/>
        <v>2.539402299797198E-3</v>
      </c>
      <c r="N140" s="144"/>
      <c r="O140" s="144"/>
      <c r="P140" s="144"/>
      <c r="Q140" s="144"/>
      <c r="R140" s="144"/>
      <c r="S140" s="144"/>
      <c r="T140" s="144"/>
      <c r="U140" s="144"/>
      <c r="V140" s="144"/>
      <c r="W140" s="144"/>
      <c r="X140" s="144"/>
      <c r="Y140" s="144"/>
      <c r="Z140" s="144"/>
      <c r="AA140" s="144"/>
      <c r="AB140" s="144"/>
      <c r="AC140" s="144"/>
      <c r="AD140" s="144"/>
      <c r="AE140" s="144"/>
      <c r="AF140" s="144"/>
      <c r="AG140" s="144"/>
      <c r="AH140" s="144"/>
      <c r="AI140" s="144"/>
      <c r="AJ140" s="144"/>
      <c r="AK140" s="144"/>
      <c r="AL140" s="144"/>
      <c r="AM140" s="144"/>
    </row>
    <row r="141" spans="1:39" ht="12.75" customHeight="1">
      <c r="A141" s="144"/>
      <c r="B141" s="150"/>
      <c r="C141" s="151"/>
      <c r="D141" s="151"/>
      <c r="E141" s="151"/>
      <c r="F141" s="152"/>
      <c r="G141" s="151"/>
      <c r="H141" s="158"/>
      <c r="I141" s="151"/>
      <c r="J141" s="173">
        <f>J139+J140</f>
        <v>777112</v>
      </c>
      <c r="K141" s="179">
        <v>43900</v>
      </c>
      <c r="L141" s="180">
        <v>0.9</v>
      </c>
      <c r="M141" s="600">
        <v>0.1</v>
      </c>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4"/>
    </row>
    <row r="142" spans="1:39" ht="12.75" customHeight="1">
      <c r="A142" s="144"/>
      <c r="B142" s="150"/>
      <c r="C142" s="151"/>
      <c r="D142" s="151"/>
      <c r="E142" s="151"/>
      <c r="F142" s="158"/>
      <c r="G142" s="151"/>
      <c r="H142" s="158"/>
      <c r="I142" s="151"/>
      <c r="J142" s="158"/>
      <c r="K142" s="158"/>
      <c r="L142" s="167"/>
      <c r="M142" s="587"/>
      <c r="N142" s="144"/>
      <c r="O142" s="144"/>
      <c r="P142" s="144"/>
      <c r="Q142" s="144"/>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4"/>
    </row>
    <row r="143" spans="1:39" ht="12.75" customHeight="1">
      <c r="A143" s="144"/>
      <c r="B143" s="150"/>
      <c r="C143" s="151"/>
      <c r="D143" s="151"/>
      <c r="E143" s="151"/>
      <c r="F143" s="152"/>
      <c r="G143" s="151"/>
      <c r="H143" s="158"/>
      <c r="I143" s="151"/>
      <c r="J143" s="158"/>
      <c r="K143" s="173"/>
      <c r="L143" s="183"/>
      <c r="M143" s="587"/>
      <c r="N143" s="144"/>
      <c r="O143" s="144"/>
      <c r="P143" s="144"/>
      <c r="Q143" s="144"/>
      <c r="R143" s="144"/>
      <c r="S143" s="144"/>
      <c r="T143" s="144"/>
      <c r="U143" s="144"/>
      <c r="V143" s="144"/>
      <c r="W143" s="144"/>
      <c r="X143" s="144"/>
      <c r="Y143" s="144"/>
      <c r="Z143" s="144"/>
      <c r="AA143" s="144"/>
      <c r="AB143" s="144"/>
      <c r="AC143" s="144"/>
      <c r="AD143" s="144"/>
      <c r="AE143" s="144"/>
      <c r="AF143" s="144"/>
      <c r="AG143" s="144"/>
      <c r="AH143" s="144"/>
      <c r="AI143" s="144"/>
      <c r="AJ143" s="144"/>
      <c r="AK143" s="144"/>
      <c r="AL143" s="144"/>
      <c r="AM143" s="144"/>
    </row>
    <row r="144" spans="1:39" ht="12.75" customHeight="1">
      <c r="A144" s="144"/>
      <c r="B144" s="153"/>
      <c r="C144" s="155"/>
      <c r="D144" s="155"/>
      <c r="E144" s="155"/>
      <c r="F144" s="182"/>
      <c r="G144" s="155"/>
      <c r="H144" s="156"/>
      <c r="I144" s="155"/>
      <c r="J144" s="156"/>
      <c r="K144" s="207"/>
      <c r="L144" s="213"/>
      <c r="M144" s="588"/>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4"/>
    </row>
    <row r="145" spans="1:39" ht="12.75" customHeight="1">
      <c r="A145" s="144"/>
      <c r="B145" s="150"/>
      <c r="C145" s="151"/>
      <c r="D145" s="151"/>
      <c r="E145" s="151"/>
      <c r="F145" s="152"/>
      <c r="G145" s="151"/>
      <c r="H145" s="158"/>
      <c r="I145" s="151"/>
      <c r="J145" s="158"/>
      <c r="K145" s="173"/>
      <c r="L145" s="167"/>
      <c r="M145" s="587"/>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4"/>
    </row>
    <row r="146" spans="1:39" ht="12.75" customHeight="1">
      <c r="A146" s="144"/>
      <c r="B146" s="150" t="s">
        <v>302</v>
      </c>
      <c r="C146" s="168" t="s">
        <v>303</v>
      </c>
      <c r="D146" s="151"/>
      <c r="E146" s="151"/>
      <c r="F146" s="158"/>
      <c r="G146" s="151"/>
      <c r="H146" s="158"/>
      <c r="I146" s="151"/>
      <c r="J146" s="151"/>
      <c r="K146" s="158"/>
      <c r="L146" s="167"/>
      <c r="M146" s="587"/>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4"/>
      <c r="AM146" s="144"/>
    </row>
    <row r="147" spans="1:39" ht="12.75" customHeight="1">
      <c r="A147" s="144"/>
      <c r="B147" s="150"/>
      <c r="C147" s="151" t="s">
        <v>304</v>
      </c>
      <c r="D147" s="151" t="s">
        <v>305</v>
      </c>
      <c r="E147" s="151" t="s">
        <v>306</v>
      </c>
      <c r="F147" s="144">
        <f>0*1000</f>
        <v>0</v>
      </c>
      <c r="G147" s="151" t="s">
        <v>245</v>
      </c>
      <c r="H147" s="158">
        <v>138.774</v>
      </c>
      <c r="I147" s="151" t="s">
        <v>307</v>
      </c>
      <c r="J147" s="173">
        <f>(F147*H147)/1000</f>
        <v>0</v>
      </c>
      <c r="K147" s="144">
        <v>0</v>
      </c>
      <c r="L147" s="199">
        <v>0</v>
      </c>
      <c r="M147" s="621">
        <v>0</v>
      </c>
      <c r="N147" s="144"/>
      <c r="O147" s="144"/>
      <c r="P147" s="144"/>
      <c r="Q147" s="144"/>
      <c r="R147" s="144"/>
      <c r="S147" s="144"/>
      <c r="T147" s="144"/>
      <c r="U147" s="144"/>
      <c r="V147" s="144"/>
      <c r="W147" s="144"/>
      <c r="X147" s="144"/>
      <c r="Y147" s="144"/>
      <c r="Z147" s="144"/>
      <c r="AA147" s="144"/>
      <c r="AB147" s="144"/>
      <c r="AC147" s="144"/>
      <c r="AD147" s="144"/>
      <c r="AE147" s="144"/>
      <c r="AF147" s="144"/>
      <c r="AG147" s="144"/>
      <c r="AH147" s="144"/>
      <c r="AI147" s="144"/>
      <c r="AJ147" s="144"/>
      <c r="AK147" s="144"/>
      <c r="AL147" s="144"/>
      <c r="AM147" s="144"/>
    </row>
    <row r="148" spans="1:39" ht="12.75" customHeight="1">
      <c r="A148" s="144"/>
      <c r="B148" s="150"/>
      <c r="C148" s="151"/>
      <c r="D148" s="151"/>
      <c r="E148" s="215"/>
      <c r="F148" s="144"/>
      <c r="G148" s="215"/>
      <c r="H148" s="158"/>
      <c r="I148" s="215"/>
      <c r="J148" s="158"/>
      <c r="K148" s="179"/>
      <c r="L148" s="199"/>
      <c r="M148" s="621"/>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144"/>
      <c r="AJ148" s="144"/>
      <c r="AK148" s="144"/>
      <c r="AL148" s="144"/>
      <c r="AM148" s="144"/>
    </row>
    <row r="149" spans="1:39" ht="12.75" customHeight="1">
      <c r="A149" s="144"/>
      <c r="B149" s="150"/>
      <c r="C149" s="151" t="s">
        <v>467</v>
      </c>
      <c r="D149" s="151" t="s">
        <v>468</v>
      </c>
      <c r="E149" s="151" t="s">
        <v>461</v>
      </c>
      <c r="F149" s="144">
        <f>0*1000000</f>
        <v>0</v>
      </c>
      <c r="G149" s="151" t="s">
        <v>457</v>
      </c>
      <c r="H149" s="158">
        <v>1020</v>
      </c>
      <c r="I149" s="151" t="s">
        <v>307</v>
      </c>
      <c r="J149" s="173">
        <f>(F149*H149)/1000000</f>
        <v>0</v>
      </c>
      <c r="K149" s="144">
        <v>0</v>
      </c>
      <c r="L149" s="199">
        <v>0</v>
      </c>
      <c r="M149" s="621">
        <v>0</v>
      </c>
      <c r="N149" s="144"/>
      <c r="O149" s="144"/>
      <c r="P149" s="144"/>
      <c r="Q149" s="144"/>
      <c r="R149" s="144"/>
      <c r="S149" s="144"/>
      <c r="T149" s="144"/>
      <c r="U149" s="144"/>
      <c r="V149" s="144"/>
      <c r="W149" s="144"/>
      <c r="X149" s="144"/>
      <c r="Y149" s="144"/>
      <c r="Z149" s="144"/>
      <c r="AA149" s="144"/>
      <c r="AB149" s="144"/>
      <c r="AC149" s="144"/>
      <c r="AD149" s="144"/>
      <c r="AE149" s="144"/>
      <c r="AF149" s="144"/>
      <c r="AG149" s="144"/>
      <c r="AH149" s="144"/>
      <c r="AI149" s="144"/>
      <c r="AJ149" s="144"/>
      <c r="AK149" s="144"/>
      <c r="AL149" s="144"/>
      <c r="AM149" s="144"/>
    </row>
    <row r="150" spans="1:39" ht="12.75" customHeight="1">
      <c r="A150" s="144"/>
      <c r="B150" s="150"/>
      <c r="C150" s="151"/>
      <c r="D150" s="151"/>
      <c r="E150" s="215"/>
      <c r="F150" s="152"/>
      <c r="G150" s="215"/>
      <c r="H150" s="158"/>
      <c r="I150" s="215"/>
      <c r="J150" s="158"/>
      <c r="K150" s="179"/>
      <c r="L150" s="199"/>
      <c r="M150" s="621"/>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144"/>
      <c r="AL150" s="144"/>
      <c r="AM150" s="144"/>
    </row>
    <row r="151" spans="1:39" ht="12.75" customHeight="1">
      <c r="A151" s="144"/>
      <c r="B151" s="150"/>
      <c r="C151" s="151" t="s">
        <v>308</v>
      </c>
      <c r="D151" s="151" t="s">
        <v>309</v>
      </c>
      <c r="E151" s="151" t="s">
        <v>306</v>
      </c>
      <c r="F151" s="152">
        <f>33*1000</f>
        <v>33000</v>
      </c>
      <c r="G151" s="151" t="s">
        <v>245</v>
      </c>
      <c r="H151" s="158">
        <v>137</v>
      </c>
      <c r="I151" s="215" t="s">
        <v>288</v>
      </c>
      <c r="J151" s="173">
        <f>(F151*H151)/1000</f>
        <v>4521</v>
      </c>
      <c r="K151" s="179">
        <v>364</v>
      </c>
      <c r="L151" s="199">
        <v>7.4</v>
      </c>
      <c r="M151" s="621">
        <v>0</v>
      </c>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144"/>
      <c r="AL151" s="144"/>
      <c r="AM151" s="144"/>
    </row>
    <row r="152" spans="1:39" ht="12.75" customHeight="1">
      <c r="A152" s="144"/>
      <c r="B152" s="150"/>
      <c r="C152" s="151"/>
      <c r="D152" s="151"/>
      <c r="E152" s="215"/>
      <c r="F152" s="152"/>
      <c r="G152" s="215"/>
      <c r="H152" s="158"/>
      <c r="I152" s="215"/>
      <c r="J152" s="158"/>
      <c r="K152" s="179"/>
      <c r="L152" s="199"/>
      <c r="M152" s="621"/>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c r="AL152" s="144"/>
      <c r="AM152" s="144"/>
    </row>
    <row r="153" spans="1:39" ht="12.75" customHeight="1">
      <c r="A153" s="144"/>
      <c r="B153" s="150"/>
      <c r="C153" s="151" t="s">
        <v>310</v>
      </c>
      <c r="D153" s="151" t="s">
        <v>311</v>
      </c>
      <c r="E153" s="151" t="s">
        <v>306</v>
      </c>
      <c r="F153" s="152">
        <f>27*1000</f>
        <v>27000</v>
      </c>
      <c r="G153" s="151" t="s">
        <v>245</v>
      </c>
      <c r="H153" s="158">
        <v>137</v>
      </c>
      <c r="I153" s="215" t="s">
        <v>288</v>
      </c>
      <c r="J153" s="173">
        <f>(F153*H153)/1000</f>
        <v>3699</v>
      </c>
      <c r="K153" s="179">
        <v>297</v>
      </c>
      <c r="L153" s="199">
        <v>4.8</v>
      </c>
      <c r="M153" s="621">
        <v>0</v>
      </c>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c r="AI153" s="144"/>
      <c r="AJ153" s="144"/>
      <c r="AK153" s="144"/>
      <c r="AL153" s="144"/>
      <c r="AM153" s="144"/>
    </row>
    <row r="154" spans="1:39" ht="12.75" customHeight="1">
      <c r="A154" s="144"/>
      <c r="B154" s="150"/>
      <c r="C154" s="151"/>
      <c r="D154" s="151"/>
      <c r="E154" s="151"/>
      <c r="F154" s="152"/>
      <c r="G154" s="151"/>
      <c r="H154" s="158"/>
      <c r="I154" s="215"/>
      <c r="J154" s="173"/>
      <c r="K154" s="151"/>
      <c r="L154" s="151"/>
      <c r="M154" s="587"/>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c r="AI154" s="144"/>
      <c r="AJ154" s="144"/>
      <c r="AK154" s="144"/>
      <c r="AL154" s="144"/>
      <c r="AM154" s="144"/>
    </row>
    <row r="155" spans="1:39" ht="12.75" customHeight="1">
      <c r="A155" s="144"/>
      <c r="B155" s="153"/>
      <c r="C155" s="155"/>
      <c r="D155" s="155"/>
      <c r="E155" s="155"/>
      <c r="F155" s="182"/>
      <c r="G155" s="155"/>
      <c r="H155" s="156"/>
      <c r="I155" s="216"/>
      <c r="J155" s="207"/>
      <c r="K155" s="155"/>
      <c r="L155" s="155"/>
      <c r="M155" s="588"/>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4"/>
    </row>
    <row r="156" spans="1:39" ht="12.75" customHeight="1">
      <c r="A156" s="144"/>
      <c r="B156" s="150"/>
      <c r="C156" s="151"/>
      <c r="D156" s="151"/>
      <c r="E156" s="215"/>
      <c r="F156" s="158"/>
      <c r="G156" s="215"/>
      <c r="H156" s="158"/>
      <c r="I156" s="151"/>
      <c r="J156" s="151"/>
      <c r="K156" s="151"/>
      <c r="L156" s="151"/>
      <c r="M156" s="587"/>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c r="AL156" s="144"/>
      <c r="AM156" s="144"/>
    </row>
    <row r="157" spans="1:39" ht="12.75" customHeight="1">
      <c r="A157" s="144"/>
      <c r="B157" s="150" t="s">
        <v>312</v>
      </c>
      <c r="C157" s="168" t="s">
        <v>313</v>
      </c>
      <c r="D157" s="151"/>
      <c r="E157" s="151"/>
      <c r="F157" s="151"/>
      <c r="G157" s="151"/>
      <c r="H157" s="151"/>
      <c r="I157" s="151"/>
      <c r="J157" s="151"/>
      <c r="K157" s="151"/>
      <c r="L157" s="151"/>
      <c r="M157" s="587"/>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4"/>
    </row>
    <row r="158" spans="1:39" ht="12.75" customHeight="1">
      <c r="A158" s="144"/>
      <c r="B158" s="150"/>
      <c r="C158" s="151" t="s">
        <v>314</v>
      </c>
      <c r="D158" s="151" t="s">
        <v>315</v>
      </c>
      <c r="E158" s="151" t="s">
        <v>433</v>
      </c>
      <c r="F158" s="187">
        <v>249656</v>
      </c>
      <c r="G158" s="151" t="s">
        <v>245</v>
      </c>
      <c r="H158" s="187">
        <v>152802</v>
      </c>
      <c r="I158" s="151" t="s">
        <v>316</v>
      </c>
      <c r="J158" s="186">
        <f t="shared" ref="J158:J159" si="50">F158*H158/1000000</f>
        <v>38147.936112000003</v>
      </c>
      <c r="K158" s="186">
        <f>J158/J160*K160</f>
        <v>2790.5670959514705</v>
      </c>
      <c r="L158" s="184">
        <v>0.11</v>
      </c>
      <c r="M158" s="619">
        <v>0</v>
      </c>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c r="AL158" s="144"/>
      <c r="AM158" s="144"/>
    </row>
    <row r="159" spans="1:39" ht="12.75" customHeight="1">
      <c r="A159" s="144"/>
      <c r="B159" s="150"/>
      <c r="C159" s="151"/>
      <c r="D159" s="151"/>
      <c r="E159" s="151" t="s">
        <v>306</v>
      </c>
      <c r="F159" s="187">
        <v>33212</v>
      </c>
      <c r="G159" s="151" t="s">
        <v>245</v>
      </c>
      <c r="H159" s="187">
        <v>138890</v>
      </c>
      <c r="I159" s="151" t="s">
        <v>316</v>
      </c>
      <c r="J159" s="186">
        <f t="shared" si="50"/>
        <v>4612.8146800000004</v>
      </c>
      <c r="K159" s="217">
        <f>J159/J160*K160</f>
        <v>337.43290404852905</v>
      </c>
      <c r="L159" s="184">
        <v>1E-3</v>
      </c>
      <c r="M159" s="619">
        <v>0</v>
      </c>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c r="AI159" s="144"/>
      <c r="AJ159" s="144"/>
      <c r="AK159" s="144"/>
      <c r="AL159" s="144"/>
      <c r="AM159" s="144"/>
    </row>
    <row r="160" spans="1:39" ht="12.75" customHeight="1">
      <c r="A160" s="144"/>
      <c r="B160" s="150"/>
      <c r="C160" s="151"/>
      <c r="D160" s="151"/>
      <c r="E160" s="151"/>
      <c r="F160" s="151"/>
      <c r="G160" s="177"/>
      <c r="H160" s="177"/>
      <c r="I160" s="177"/>
      <c r="J160" s="622">
        <f>SUM(J158:J159)</f>
        <v>42760.750792000006</v>
      </c>
      <c r="K160" s="219">
        <v>3128</v>
      </c>
      <c r="L160" s="199">
        <f t="shared" ref="L160:M160" si="51">SUM(L158:L159)</f>
        <v>0.111</v>
      </c>
      <c r="M160" s="598">
        <f t="shared" si="51"/>
        <v>0</v>
      </c>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4"/>
    </row>
    <row r="161" spans="1:39" ht="12.75" customHeight="1">
      <c r="A161" s="144"/>
      <c r="B161" s="150"/>
      <c r="C161" s="151"/>
      <c r="D161" s="151"/>
      <c r="E161" s="151"/>
      <c r="F161" s="151"/>
      <c r="G161" s="151"/>
      <c r="H161" s="151"/>
      <c r="I161" s="151"/>
      <c r="J161" s="151"/>
      <c r="K161" s="151"/>
      <c r="L161" s="151"/>
      <c r="M161" s="619"/>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4"/>
    </row>
    <row r="162" spans="1:39" ht="12.75" customHeight="1">
      <c r="A162" s="144"/>
      <c r="B162" s="150"/>
      <c r="C162" s="151" t="s">
        <v>317</v>
      </c>
      <c r="D162" s="151" t="s">
        <v>318</v>
      </c>
      <c r="E162" s="151" t="s">
        <v>306</v>
      </c>
      <c r="F162" s="187">
        <v>12118</v>
      </c>
      <c r="G162" s="151" t="s">
        <v>245</v>
      </c>
      <c r="H162" s="187">
        <v>138890</v>
      </c>
      <c r="I162" s="151" t="s">
        <v>316</v>
      </c>
      <c r="J162" s="173">
        <f>F162*H162/1000000</f>
        <v>1683.0690199999999</v>
      </c>
      <c r="K162" s="218">
        <v>137.21</v>
      </c>
      <c r="L162" s="218">
        <v>6.0000000000000001E-3</v>
      </c>
      <c r="M162" s="598">
        <v>1E-3</v>
      </c>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4"/>
    </row>
    <row r="163" spans="1:39" ht="12.75" customHeight="1">
      <c r="A163" s="144"/>
      <c r="B163" s="150"/>
      <c r="C163" s="151"/>
      <c r="D163" s="151"/>
      <c r="E163" s="151"/>
      <c r="F163" s="151"/>
      <c r="G163" s="151"/>
      <c r="H163" s="151"/>
      <c r="I163" s="151"/>
      <c r="J163" s="167"/>
      <c r="K163" s="151"/>
      <c r="L163" s="218"/>
      <c r="M163" s="619"/>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4"/>
    </row>
    <row r="164" spans="1:39" ht="12.75" customHeight="1">
      <c r="A164" s="144"/>
      <c r="B164" s="150"/>
      <c r="C164" s="151" t="s">
        <v>319</v>
      </c>
      <c r="D164" s="151" t="s">
        <v>320</v>
      </c>
      <c r="E164" s="151" t="s">
        <v>306</v>
      </c>
      <c r="F164" s="187">
        <v>19739</v>
      </c>
      <c r="G164" s="151" t="s">
        <v>245</v>
      </c>
      <c r="H164" s="187">
        <v>138890</v>
      </c>
      <c r="I164" s="151" t="s">
        <v>316</v>
      </c>
      <c r="J164" s="173">
        <f>F164*H164/1000000</f>
        <v>2741.5497099999998</v>
      </c>
      <c r="K164" s="179">
        <v>223.51</v>
      </c>
      <c r="L164" s="218">
        <v>8.9999999999999993E-3</v>
      </c>
      <c r="M164" s="598">
        <v>2E-3</v>
      </c>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4"/>
    </row>
    <row r="165" spans="1:39" ht="12.75" customHeight="1">
      <c r="A165" s="144"/>
      <c r="B165" s="150"/>
      <c r="C165" s="151"/>
      <c r="D165" s="151"/>
      <c r="E165" s="151"/>
      <c r="F165" s="186"/>
      <c r="G165" s="151"/>
      <c r="H165" s="186"/>
      <c r="I165" s="151"/>
      <c r="J165" s="158"/>
      <c r="K165" s="218"/>
      <c r="L165" s="151"/>
      <c r="M165" s="587"/>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4"/>
    </row>
    <row r="166" spans="1:39" ht="12.75" customHeight="1">
      <c r="A166" s="144"/>
      <c r="B166" s="153"/>
      <c r="C166" s="155"/>
      <c r="D166" s="155"/>
      <c r="E166" s="155"/>
      <c r="F166" s="155"/>
      <c r="G166" s="155"/>
      <c r="H166" s="155"/>
      <c r="I166" s="155"/>
      <c r="J166" s="155"/>
      <c r="K166" s="155"/>
      <c r="L166" s="155"/>
      <c r="M166" s="588"/>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4"/>
    </row>
    <row r="167" spans="1:39" ht="12.75" customHeight="1">
      <c r="A167" s="144"/>
      <c r="B167" s="150"/>
      <c r="C167" s="151"/>
      <c r="D167" s="151"/>
      <c r="E167" s="151"/>
      <c r="F167" s="151"/>
      <c r="G167" s="151"/>
      <c r="H167" s="151"/>
      <c r="I167" s="151"/>
      <c r="J167" s="151"/>
      <c r="K167" s="151"/>
      <c r="L167" s="151"/>
      <c r="M167" s="587"/>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4"/>
    </row>
    <row r="168" spans="1:39" ht="12.75" customHeight="1">
      <c r="A168" s="144"/>
      <c r="B168" s="150" t="s">
        <v>469</v>
      </c>
      <c r="C168" s="168" t="s">
        <v>470</v>
      </c>
      <c r="D168" s="151"/>
      <c r="E168" s="151"/>
      <c r="F168" s="151"/>
      <c r="G168" s="151"/>
      <c r="H168" s="151"/>
      <c r="I168" s="151"/>
      <c r="J168" s="151"/>
      <c r="K168" s="151"/>
      <c r="L168" s="151"/>
      <c r="M168" s="587"/>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4"/>
    </row>
    <row r="169" spans="1:39" ht="12.75" customHeight="1">
      <c r="A169" s="144"/>
      <c r="B169" s="150"/>
      <c r="C169" s="151" t="s">
        <v>471</v>
      </c>
      <c r="D169" s="151" t="s">
        <v>472</v>
      </c>
      <c r="E169" s="151" t="s">
        <v>461</v>
      </c>
      <c r="F169" s="152">
        <f>389*1000000</f>
        <v>389000000</v>
      </c>
      <c r="G169" s="151" t="s">
        <v>457</v>
      </c>
      <c r="H169" s="186">
        <v>1041</v>
      </c>
      <c r="I169" s="151" t="s">
        <v>473</v>
      </c>
      <c r="J169" s="173">
        <f>F169*H169/1000000</f>
        <v>404949</v>
      </c>
      <c r="K169" s="179">
        <v>19898</v>
      </c>
      <c r="L169" s="199">
        <v>0.45</v>
      </c>
      <c r="M169" s="596">
        <v>0.04</v>
      </c>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4"/>
    </row>
    <row r="170" spans="1:39" ht="12.75" customHeight="1">
      <c r="A170" s="144"/>
      <c r="B170" s="150"/>
      <c r="C170" s="151"/>
      <c r="D170" s="151"/>
      <c r="E170" s="151"/>
      <c r="F170" s="185"/>
      <c r="G170" s="151"/>
      <c r="H170" s="186"/>
      <c r="I170" s="151"/>
      <c r="J170" s="186"/>
      <c r="K170" s="151"/>
      <c r="L170" s="151"/>
      <c r="M170" s="587"/>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row>
    <row r="171" spans="1:39" ht="12.75" customHeight="1">
      <c r="A171" s="144"/>
      <c r="B171" s="153"/>
      <c r="C171" s="155"/>
      <c r="D171" s="155"/>
      <c r="E171" s="155"/>
      <c r="F171" s="155"/>
      <c r="G171" s="155"/>
      <c r="H171" s="155"/>
      <c r="I171" s="155"/>
      <c r="J171" s="155"/>
      <c r="K171" s="155"/>
      <c r="L171" s="155"/>
      <c r="M171" s="588"/>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row>
    <row r="172" spans="1:39" ht="12.75" customHeight="1">
      <c r="A172" s="144"/>
      <c r="B172" s="150"/>
      <c r="C172" s="151"/>
      <c r="D172" s="151"/>
      <c r="E172" s="151"/>
      <c r="F172" s="151"/>
      <c r="G172" s="151"/>
      <c r="H172" s="151"/>
      <c r="I172" s="151"/>
      <c r="J172" s="151"/>
      <c r="K172" s="151"/>
      <c r="L172" s="151"/>
      <c r="M172" s="587"/>
      <c r="N172" s="144"/>
      <c r="O172" s="144"/>
      <c r="P172" s="144"/>
      <c r="Q172" s="144"/>
      <c r="R172" s="144"/>
      <c r="S172" s="144"/>
      <c r="T172" s="144"/>
      <c r="U172" s="144"/>
      <c r="V172" s="144"/>
      <c r="W172" s="144"/>
      <c r="X172" s="144"/>
      <c r="Y172" s="144"/>
      <c r="Z172" s="144"/>
      <c r="AA172" s="144"/>
      <c r="AB172" s="144"/>
      <c r="AC172" s="144"/>
      <c r="AD172" s="144"/>
      <c r="AE172" s="144"/>
      <c r="AF172" s="144"/>
      <c r="AG172" s="144"/>
      <c r="AH172" s="144"/>
      <c r="AI172" s="144"/>
      <c r="AJ172" s="144"/>
      <c r="AK172" s="144"/>
      <c r="AL172" s="144"/>
      <c r="AM172" s="144"/>
    </row>
    <row r="173" spans="1:39" ht="12.75" customHeight="1">
      <c r="A173" s="144"/>
      <c r="B173" s="150" t="s">
        <v>228</v>
      </c>
      <c r="C173" s="177" t="s">
        <v>229</v>
      </c>
      <c r="D173" s="151"/>
      <c r="E173" s="151"/>
      <c r="F173" s="151"/>
      <c r="G173" s="151"/>
      <c r="H173" s="151"/>
      <c r="I173" s="151"/>
      <c r="J173" s="151"/>
      <c r="K173" s="151"/>
      <c r="L173" s="151"/>
      <c r="M173" s="587"/>
      <c r="N173" s="144"/>
      <c r="O173" s="168" t="s">
        <v>651</v>
      </c>
      <c r="P173" s="144"/>
      <c r="Q173" s="144"/>
      <c r="R173" s="144"/>
      <c r="S173" s="144"/>
      <c r="T173" s="144"/>
      <c r="U173" s="144"/>
      <c r="V173" s="144"/>
      <c r="W173" s="144"/>
      <c r="X173" s="144"/>
      <c r="Y173" s="144"/>
      <c r="Z173" s="144"/>
      <c r="AA173" s="144"/>
      <c r="AB173" s="144"/>
      <c r="AC173" s="144"/>
      <c r="AD173" s="144"/>
      <c r="AE173" s="144"/>
      <c r="AF173" s="144"/>
      <c r="AG173" s="144"/>
      <c r="AH173" s="144"/>
      <c r="AI173" s="144"/>
      <c r="AJ173" s="144"/>
      <c r="AK173" s="144"/>
      <c r="AL173" s="144"/>
      <c r="AM173" s="144"/>
    </row>
    <row r="174" spans="1:39" ht="12.75" customHeight="1">
      <c r="A174" s="144"/>
      <c r="B174" s="150"/>
      <c r="C174" s="151" t="s">
        <v>230</v>
      </c>
      <c r="D174" s="151" t="s">
        <v>231</v>
      </c>
      <c r="E174" s="151" t="s">
        <v>194</v>
      </c>
      <c r="F174" s="187">
        <v>27910</v>
      </c>
      <c r="G174" s="151" t="s">
        <v>195</v>
      </c>
      <c r="H174" s="186">
        <v>12959</v>
      </c>
      <c r="I174" s="151" t="s">
        <v>196</v>
      </c>
      <c r="J174" s="152">
        <f>F174*H174*2000/1000000</f>
        <v>723371.38</v>
      </c>
      <c r="K174" s="158">
        <f>J174/J176*K176</f>
        <v>68657.702231617848</v>
      </c>
      <c r="L174" s="188">
        <f>J174*Q178/907.184</f>
        <v>8.7711921506552155</v>
      </c>
      <c r="M174" s="592">
        <f>J174*R178/907.1847</f>
        <v>1.275808782930312</v>
      </c>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4"/>
    </row>
    <row r="175" spans="1:39" ht="12.75" customHeight="1">
      <c r="A175" s="144"/>
      <c r="B175" s="150"/>
      <c r="C175" s="151"/>
      <c r="D175" s="151"/>
      <c r="E175" s="151" t="s">
        <v>306</v>
      </c>
      <c r="F175" s="187">
        <v>85260</v>
      </c>
      <c r="G175" s="151" t="s">
        <v>245</v>
      </c>
      <c r="H175" s="186">
        <v>139181</v>
      </c>
      <c r="I175" s="151" t="s">
        <v>316</v>
      </c>
      <c r="J175" s="152">
        <f>F175*H175/1000000</f>
        <v>11866.57206</v>
      </c>
      <c r="K175" s="158">
        <f>J175/J176*K176</f>
        <v>1126.2977683821498</v>
      </c>
      <c r="L175" s="188">
        <f>J175*Q181/907.1847</f>
        <v>3.9241971541186707E-2</v>
      </c>
      <c r="M175" s="592">
        <f>J175*R181/907.1847</f>
        <v>7.84839430823734E-3</v>
      </c>
      <c r="N175" s="144"/>
      <c r="O175" s="603" t="s">
        <v>652</v>
      </c>
      <c r="P175" s="604" t="s">
        <v>653</v>
      </c>
      <c r="Q175" s="604"/>
      <c r="R175" s="605"/>
      <c r="S175" s="144"/>
      <c r="T175" s="144"/>
      <c r="U175" s="144"/>
      <c r="V175" s="144"/>
      <c r="W175" s="144"/>
      <c r="X175" s="144"/>
      <c r="Y175" s="144"/>
      <c r="Z175" s="144"/>
      <c r="AA175" s="144"/>
      <c r="AB175" s="144"/>
      <c r="AC175" s="144"/>
      <c r="AD175" s="144"/>
      <c r="AE175" s="144"/>
      <c r="AF175" s="144"/>
      <c r="AG175" s="144"/>
      <c r="AH175" s="144"/>
      <c r="AI175" s="144"/>
      <c r="AJ175" s="144"/>
      <c r="AK175" s="144"/>
      <c r="AL175" s="144"/>
      <c r="AM175" s="144"/>
    </row>
    <row r="176" spans="1:39" ht="12.75" customHeight="1">
      <c r="A176" s="144"/>
      <c r="B176" s="150"/>
      <c r="C176" s="151"/>
      <c r="D176" s="151"/>
      <c r="E176" s="151"/>
      <c r="F176" s="151"/>
      <c r="G176" s="151"/>
      <c r="H176" s="151"/>
      <c r="I176" s="151"/>
      <c r="J176" s="173">
        <f>SUM(J174:J175)</f>
        <v>735237.95206000004</v>
      </c>
      <c r="K176" s="219">
        <v>69784</v>
      </c>
      <c r="L176" s="199">
        <f t="shared" ref="L176:M176" si="52">SUM(L174:L175)</f>
        <v>8.8104341221964031</v>
      </c>
      <c r="M176" s="598">
        <f t="shared" si="52"/>
        <v>1.2836571772385492</v>
      </c>
      <c r="N176" s="144"/>
      <c r="O176" s="606"/>
      <c r="P176" s="607" t="s">
        <v>665</v>
      </c>
      <c r="Q176" s="607" t="s">
        <v>666</v>
      </c>
      <c r="R176" s="608" t="s">
        <v>667</v>
      </c>
      <c r="S176" s="144"/>
      <c r="T176" s="144"/>
      <c r="U176" s="144"/>
      <c r="V176" s="144"/>
      <c r="W176" s="144"/>
      <c r="X176" s="144"/>
      <c r="Y176" s="144"/>
      <c r="Z176" s="144"/>
      <c r="AA176" s="144"/>
      <c r="AB176" s="144"/>
      <c r="AC176" s="144"/>
      <c r="AD176" s="144"/>
      <c r="AE176" s="144"/>
      <c r="AF176" s="144"/>
      <c r="AG176" s="144"/>
      <c r="AH176" s="144"/>
      <c r="AI176" s="144"/>
      <c r="AJ176" s="144"/>
      <c r="AK176" s="144"/>
      <c r="AL176" s="144"/>
      <c r="AM176" s="144"/>
    </row>
    <row r="177" spans="1:39" ht="12.75" customHeight="1">
      <c r="A177" s="144"/>
      <c r="B177" s="150"/>
      <c r="C177" s="151"/>
      <c r="D177" s="151"/>
      <c r="E177" s="151"/>
      <c r="F177" s="151"/>
      <c r="G177" s="151"/>
      <c r="H177" s="151"/>
      <c r="I177" s="151"/>
      <c r="J177" s="151"/>
      <c r="K177" s="151"/>
      <c r="L177" s="151"/>
      <c r="M177" s="587"/>
      <c r="N177" s="144"/>
      <c r="O177" s="609" t="s">
        <v>657</v>
      </c>
      <c r="P177" s="610">
        <v>93.28</v>
      </c>
      <c r="Q177" s="611">
        <v>1.0999999999999999E-2</v>
      </c>
      <c r="R177" s="612">
        <v>1.6000000000000001E-3</v>
      </c>
      <c r="S177" s="144"/>
      <c r="T177" s="144"/>
      <c r="U177" s="144"/>
      <c r="V177" s="144"/>
      <c r="W177" s="144"/>
      <c r="X177" s="144"/>
      <c r="Y177" s="144"/>
      <c r="Z177" s="144"/>
      <c r="AA177" s="144"/>
      <c r="AB177" s="144"/>
      <c r="AC177" s="144"/>
      <c r="AD177" s="144"/>
      <c r="AE177" s="144"/>
      <c r="AF177" s="144"/>
      <c r="AG177" s="144"/>
      <c r="AH177" s="144"/>
      <c r="AI177" s="144"/>
      <c r="AJ177" s="144"/>
      <c r="AK177" s="144"/>
      <c r="AL177" s="144"/>
      <c r="AM177" s="144"/>
    </row>
    <row r="178" spans="1:39" ht="12.75" customHeight="1">
      <c r="A178" s="144"/>
      <c r="B178" s="150"/>
      <c r="C178" s="151" t="s">
        <v>232</v>
      </c>
      <c r="D178" s="151" t="s">
        <v>233</v>
      </c>
      <c r="E178" s="151" t="s">
        <v>194</v>
      </c>
      <c r="F178" s="187">
        <v>35920</v>
      </c>
      <c r="G178" s="151" t="s">
        <v>195</v>
      </c>
      <c r="H178" s="186">
        <v>12959</v>
      </c>
      <c r="I178" s="151" t="s">
        <v>196</v>
      </c>
      <c r="J178" s="152">
        <f>F178*H178*2000/1000000</f>
        <v>930974.56</v>
      </c>
      <c r="K178" s="158">
        <f>J178/J181*K181</f>
        <v>88362.370540407981</v>
      </c>
      <c r="L178" s="188">
        <f>J178*Q178/907.1847</f>
        <v>11.288462162115389</v>
      </c>
      <c r="M178" s="592">
        <f>J178*R178/907.1847</f>
        <v>1.6419581326713293</v>
      </c>
      <c r="N178" s="144"/>
      <c r="O178" s="613" t="s">
        <v>658</v>
      </c>
      <c r="P178" s="595">
        <v>97.14</v>
      </c>
      <c r="Q178" s="597">
        <v>1.0999999999999999E-2</v>
      </c>
      <c r="R178" s="614">
        <v>1.6000000000000001E-3</v>
      </c>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4"/>
    </row>
    <row r="179" spans="1:39" ht="12.75" customHeight="1">
      <c r="A179" s="144"/>
      <c r="B179" s="150"/>
      <c r="C179" s="151"/>
      <c r="D179" s="151"/>
      <c r="E179" s="151" t="s">
        <v>306</v>
      </c>
      <c r="F179" s="187">
        <v>133278</v>
      </c>
      <c r="G179" s="151" t="s">
        <v>245</v>
      </c>
      <c r="H179" s="186">
        <v>139181</v>
      </c>
      <c r="I179" s="151" t="s">
        <v>316</v>
      </c>
      <c r="J179" s="152">
        <f t="shared" ref="J179:J180" si="53">F179*H179/1000000</f>
        <v>18549.765318000002</v>
      </c>
      <c r="K179" s="158">
        <f>J179/J181*K181</f>
        <v>1760.6294595920267</v>
      </c>
      <c r="L179" s="188">
        <f t="shared" ref="L179:L180" si="54">J179*Q181/907.1847</f>
        <v>6.1342851079829723E-2</v>
      </c>
      <c r="M179" s="592">
        <f t="shared" ref="M179:M180" si="55">J179*R181/907.1847</f>
        <v>1.2268570215965943E-2</v>
      </c>
      <c r="N179" s="144"/>
      <c r="O179" s="613" t="s">
        <v>456</v>
      </c>
      <c r="P179" s="595">
        <v>53.06</v>
      </c>
      <c r="Q179" s="597">
        <v>1E-3</v>
      </c>
      <c r="R179" s="614">
        <v>1E-4</v>
      </c>
      <c r="S179" s="144"/>
      <c r="T179" s="144"/>
      <c r="U179" s="144"/>
      <c r="V179" s="144"/>
      <c r="W179" s="144"/>
      <c r="X179" s="144"/>
      <c r="Y179" s="144"/>
      <c r="Z179" s="144"/>
      <c r="AA179" s="144"/>
      <c r="AB179" s="144"/>
      <c r="AC179" s="144"/>
      <c r="AD179" s="144"/>
      <c r="AE179" s="144"/>
      <c r="AF179" s="144"/>
      <c r="AG179" s="144"/>
      <c r="AH179" s="144"/>
      <c r="AI179" s="144"/>
      <c r="AJ179" s="144"/>
      <c r="AK179" s="144"/>
      <c r="AL179" s="144"/>
      <c r="AM179" s="144"/>
    </row>
    <row r="180" spans="1:39" ht="12.75" customHeight="1">
      <c r="A180" s="144"/>
      <c r="B180" s="150"/>
      <c r="C180" s="151"/>
      <c r="D180" s="151"/>
      <c r="E180" s="151" t="s">
        <v>428</v>
      </c>
      <c r="F180" s="187">
        <v>9935</v>
      </c>
      <c r="G180" s="151" t="s">
        <v>245</v>
      </c>
      <c r="H180" s="186">
        <v>139181</v>
      </c>
      <c r="I180" s="151" t="s">
        <v>316</v>
      </c>
      <c r="J180" s="152">
        <f t="shared" si="53"/>
        <v>1382.7632349999999</v>
      </c>
      <c r="K180" s="217">
        <f>J180/J181*K181</f>
        <v>131.24336860582227</v>
      </c>
      <c r="L180" s="188">
        <f t="shared" si="54"/>
        <v>4.5727068644345519E-3</v>
      </c>
      <c r="M180" s="592">
        <f t="shared" si="55"/>
        <v>9.1454137288691031E-4</v>
      </c>
      <c r="N180" s="144"/>
      <c r="O180" s="613"/>
      <c r="P180" s="595"/>
      <c r="Q180" s="597"/>
      <c r="R180" s="614"/>
      <c r="S180" s="144"/>
      <c r="T180" s="144"/>
      <c r="U180" s="144"/>
      <c r="V180" s="144"/>
      <c r="W180" s="144"/>
      <c r="X180" s="144"/>
      <c r="Y180" s="144"/>
      <c r="Z180" s="144"/>
      <c r="AA180" s="144"/>
      <c r="AB180" s="144"/>
      <c r="AC180" s="144"/>
      <c r="AD180" s="144"/>
      <c r="AE180" s="144"/>
      <c r="AF180" s="144"/>
      <c r="AG180" s="144"/>
      <c r="AH180" s="144"/>
      <c r="AI180" s="144"/>
      <c r="AJ180" s="144"/>
      <c r="AK180" s="144"/>
      <c r="AL180" s="144"/>
      <c r="AM180" s="144"/>
    </row>
    <row r="181" spans="1:39" ht="12.75" customHeight="1">
      <c r="A181" s="144"/>
      <c r="B181" s="150"/>
      <c r="C181" s="151"/>
      <c r="D181" s="151"/>
      <c r="E181" s="151"/>
      <c r="F181" s="151"/>
      <c r="G181" s="151"/>
      <c r="H181" s="151"/>
      <c r="I181" s="151"/>
      <c r="J181" s="173">
        <f>SUM(J178:J179)</f>
        <v>949524.32531800005</v>
      </c>
      <c r="K181" s="219">
        <v>90123</v>
      </c>
      <c r="L181" s="199">
        <f t="shared" ref="L181:M181" si="56">SUM(L178:L179)</f>
        <v>11.349805013195219</v>
      </c>
      <c r="M181" s="598">
        <f t="shared" si="56"/>
        <v>1.6542267028872952</v>
      </c>
      <c r="N181" s="144"/>
      <c r="O181" s="613" t="s">
        <v>659</v>
      </c>
      <c r="P181" s="595">
        <v>73.959999999999994</v>
      </c>
      <c r="Q181" s="597">
        <v>3.0000000000000001E-3</v>
      </c>
      <c r="R181" s="614">
        <v>5.9999999999999995E-4</v>
      </c>
      <c r="S181" s="144"/>
      <c r="T181" s="144"/>
      <c r="U181" s="144"/>
      <c r="V181" s="144"/>
      <c r="W181" s="144"/>
      <c r="X181" s="144"/>
      <c r="Y181" s="144"/>
      <c r="Z181" s="144"/>
      <c r="AA181" s="144"/>
      <c r="AB181" s="144"/>
      <c r="AC181" s="144"/>
      <c r="AD181" s="144"/>
      <c r="AE181" s="144"/>
      <c r="AF181" s="144"/>
      <c r="AG181" s="144"/>
      <c r="AH181" s="144"/>
      <c r="AI181" s="144"/>
      <c r="AJ181" s="144"/>
      <c r="AK181" s="144"/>
      <c r="AL181" s="144"/>
      <c r="AM181" s="144"/>
    </row>
    <row r="182" spans="1:39" ht="12.75" customHeight="1">
      <c r="A182" s="144"/>
      <c r="B182" s="150"/>
      <c r="C182" s="151"/>
      <c r="D182" s="151"/>
      <c r="E182" s="151"/>
      <c r="F182" s="151"/>
      <c r="G182" s="151"/>
      <c r="H182" s="151"/>
      <c r="I182" s="151"/>
      <c r="J182" s="151"/>
      <c r="K182" s="151"/>
      <c r="L182" s="151"/>
      <c r="M182" s="587"/>
      <c r="N182" s="144"/>
      <c r="O182" s="613" t="s">
        <v>660</v>
      </c>
      <c r="P182" s="595">
        <v>75.099999999999994</v>
      </c>
      <c r="Q182" s="597">
        <v>3.0000000000000001E-3</v>
      </c>
      <c r="R182" s="614">
        <v>5.9999999999999995E-4</v>
      </c>
      <c r="S182" s="144"/>
      <c r="T182" s="144"/>
      <c r="U182" s="144"/>
      <c r="V182" s="144"/>
      <c r="W182" s="144"/>
      <c r="X182" s="144"/>
      <c r="Y182" s="144"/>
      <c r="Z182" s="144"/>
      <c r="AA182" s="144"/>
      <c r="AB182" s="144"/>
      <c r="AC182" s="144"/>
      <c r="AD182" s="144"/>
      <c r="AE182" s="144"/>
      <c r="AF182" s="144"/>
      <c r="AG182" s="144"/>
      <c r="AH182" s="144"/>
      <c r="AI182" s="144"/>
      <c r="AJ182" s="144"/>
      <c r="AK182" s="144"/>
      <c r="AL182" s="144"/>
      <c r="AM182" s="144"/>
    </row>
    <row r="183" spans="1:39" ht="12.75" customHeight="1">
      <c r="A183" s="144"/>
      <c r="B183" s="150"/>
      <c r="C183" s="151" t="s">
        <v>234</v>
      </c>
      <c r="D183" s="151" t="s">
        <v>235</v>
      </c>
      <c r="E183" s="151" t="s">
        <v>194</v>
      </c>
      <c r="F183" s="187">
        <v>36200</v>
      </c>
      <c r="G183" s="151" t="s">
        <v>195</v>
      </c>
      <c r="H183" s="186">
        <v>12959</v>
      </c>
      <c r="I183" s="151" t="s">
        <v>196</v>
      </c>
      <c r="J183" s="152">
        <f>F183*H183*2000/1000000</f>
        <v>938231.6</v>
      </c>
      <c r="K183" s="158">
        <f>J183/J185*K185</f>
        <v>89050.742200916749</v>
      </c>
      <c r="L183" s="188">
        <f>J183*Q178/907.1847</f>
        <v>11.376456856029428</v>
      </c>
      <c r="M183" s="592">
        <f>J183*R178/907.1847</f>
        <v>1.6547573608770076</v>
      </c>
      <c r="N183" s="144"/>
      <c r="O183" s="613" t="s">
        <v>661</v>
      </c>
      <c r="P183" s="595">
        <v>75.2</v>
      </c>
      <c r="Q183" s="597">
        <v>3.0000000000000001E-3</v>
      </c>
      <c r="R183" s="614">
        <v>5.9999999999999995E-4</v>
      </c>
      <c r="S183" s="144"/>
      <c r="T183" s="144"/>
      <c r="U183" s="144"/>
      <c r="V183" s="144"/>
      <c r="W183" s="144"/>
      <c r="X183" s="144"/>
      <c r="Y183" s="144"/>
      <c r="Z183" s="144"/>
      <c r="AA183" s="144"/>
      <c r="AB183" s="144"/>
      <c r="AC183" s="144"/>
      <c r="AD183" s="144"/>
      <c r="AE183" s="144"/>
      <c r="AF183" s="144"/>
      <c r="AG183" s="144"/>
      <c r="AH183" s="144"/>
      <c r="AI183" s="144"/>
      <c r="AJ183" s="144"/>
      <c r="AK183" s="144"/>
      <c r="AL183" s="144"/>
      <c r="AM183" s="144"/>
    </row>
    <row r="184" spans="1:39" ht="12.75" customHeight="1">
      <c r="A184" s="144"/>
      <c r="B184" s="150"/>
      <c r="C184" s="151"/>
      <c r="D184" s="151"/>
      <c r="E184" s="151" t="s">
        <v>306</v>
      </c>
      <c r="F184" s="187">
        <v>106680</v>
      </c>
      <c r="G184" s="151" t="s">
        <v>245</v>
      </c>
      <c r="H184" s="186">
        <v>139181</v>
      </c>
      <c r="I184" s="151" t="s">
        <v>316</v>
      </c>
      <c r="J184" s="152">
        <f>F184*H184/1000000</f>
        <v>14847.82908</v>
      </c>
      <c r="K184" s="158">
        <f>J184/J185*K185</f>
        <v>1409.2577990832488</v>
      </c>
      <c r="L184" s="188">
        <f>J184*Q181/907.1847</f>
        <v>4.9100791977642479E-2</v>
      </c>
      <c r="M184" s="592">
        <f>J184*R181/907.1847</f>
        <v>9.8201583955284943E-3</v>
      </c>
      <c r="N184" s="144"/>
      <c r="O184" s="613" t="s">
        <v>511</v>
      </c>
      <c r="P184" s="595">
        <v>62.87</v>
      </c>
      <c r="Q184" s="597">
        <v>3.0000000000000001E-3</v>
      </c>
      <c r="R184" s="614">
        <v>5.9999999999999995E-4</v>
      </c>
      <c r="S184" s="144"/>
      <c r="T184" s="144"/>
      <c r="U184" s="144"/>
      <c r="V184" s="144"/>
      <c r="W184" s="144"/>
      <c r="X184" s="144"/>
      <c r="Y184" s="144"/>
      <c r="Z184" s="144"/>
      <c r="AA184" s="144"/>
      <c r="AB184" s="144"/>
      <c r="AC184" s="144"/>
      <c r="AD184" s="144"/>
      <c r="AE184" s="144"/>
      <c r="AF184" s="144"/>
      <c r="AG184" s="144"/>
      <c r="AH184" s="144"/>
      <c r="AI184" s="144"/>
      <c r="AJ184" s="144"/>
      <c r="AK184" s="144"/>
      <c r="AL184" s="144"/>
      <c r="AM184" s="144"/>
    </row>
    <row r="185" spans="1:39" ht="12.75" customHeight="1">
      <c r="A185" s="144"/>
      <c r="B185" s="150"/>
      <c r="C185" s="151"/>
      <c r="D185" s="151"/>
      <c r="E185" s="151"/>
      <c r="F185" s="151"/>
      <c r="G185" s="151"/>
      <c r="H185" s="151"/>
      <c r="I185" s="151"/>
      <c r="J185" s="173">
        <f>SUM(J183:J184)</f>
        <v>953079.42908000003</v>
      </c>
      <c r="K185" s="219">
        <v>90460</v>
      </c>
      <c r="L185" s="199">
        <f t="shared" ref="L185:M185" si="57">SUM(L183:L184)</f>
        <v>11.42555764800707</v>
      </c>
      <c r="M185" s="598">
        <f t="shared" si="57"/>
        <v>1.6645775192725361</v>
      </c>
      <c r="N185" s="144"/>
      <c r="O185" s="613" t="s">
        <v>662</v>
      </c>
      <c r="P185" s="595">
        <v>66.88</v>
      </c>
      <c r="Q185" s="597">
        <v>3.0000000000000001E-3</v>
      </c>
      <c r="R185" s="614">
        <v>5.9999999999999995E-4</v>
      </c>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4"/>
    </row>
    <row r="186" spans="1:39" ht="12.75" customHeight="1">
      <c r="A186" s="144"/>
      <c r="B186" s="150"/>
      <c r="C186" s="151"/>
      <c r="D186" s="151"/>
      <c r="E186" s="151"/>
      <c r="F186" s="151"/>
      <c r="G186" s="151"/>
      <c r="H186" s="151"/>
      <c r="I186" s="151"/>
      <c r="J186" s="151"/>
      <c r="K186" s="151"/>
      <c r="L186" s="151"/>
      <c r="M186" s="587"/>
      <c r="N186" s="144"/>
      <c r="O186" s="606" t="s">
        <v>428</v>
      </c>
      <c r="P186" s="615">
        <v>74</v>
      </c>
      <c r="Q186" s="616">
        <v>3.0000000000000001E-3</v>
      </c>
      <c r="R186" s="617">
        <v>5.9999999999999995E-4</v>
      </c>
      <c r="S186" s="144"/>
      <c r="T186" s="144"/>
      <c r="U186" s="144"/>
      <c r="V186" s="144"/>
      <c r="W186" s="144"/>
      <c r="X186" s="144"/>
      <c r="Y186" s="144"/>
      <c r="Z186" s="144"/>
      <c r="AA186" s="144"/>
      <c r="AB186" s="144"/>
      <c r="AC186" s="144"/>
      <c r="AD186" s="144"/>
      <c r="AE186" s="144"/>
      <c r="AF186" s="144"/>
      <c r="AG186" s="144"/>
      <c r="AH186" s="144"/>
      <c r="AI186" s="144"/>
      <c r="AJ186" s="144"/>
      <c r="AK186" s="144"/>
      <c r="AL186" s="144"/>
      <c r="AM186" s="144"/>
    </row>
    <row r="187" spans="1:39" ht="12.75" customHeight="1">
      <c r="A187" s="144"/>
      <c r="B187" s="150"/>
      <c r="C187" s="151" t="s">
        <v>321</v>
      </c>
      <c r="D187" s="151" t="s">
        <v>320</v>
      </c>
      <c r="E187" s="151" t="s">
        <v>306</v>
      </c>
      <c r="F187" s="187">
        <v>28560</v>
      </c>
      <c r="G187" s="151" t="s">
        <v>245</v>
      </c>
      <c r="H187" s="186">
        <v>139181</v>
      </c>
      <c r="I187" s="151" t="s">
        <v>316</v>
      </c>
      <c r="J187" s="173">
        <f>F187*H187/1000000</f>
        <v>3975.00936</v>
      </c>
      <c r="K187" s="218">
        <v>324</v>
      </c>
      <c r="L187" s="199">
        <f>K187*Q181/907.1847</f>
        <v>1.0714466414612151E-3</v>
      </c>
      <c r="M187" s="619">
        <f>K187*R181/907.1847</f>
        <v>2.1428932829224299E-4</v>
      </c>
      <c r="N187" s="144"/>
      <c r="O187" s="144"/>
      <c r="P187" s="144"/>
      <c r="Q187" s="144"/>
      <c r="R187" s="144"/>
      <c r="S187" s="144"/>
      <c r="T187" s="144"/>
      <c r="U187" s="144"/>
      <c r="V187" s="144"/>
      <c r="W187" s="144"/>
      <c r="X187" s="144"/>
      <c r="Y187" s="144"/>
      <c r="Z187" s="144"/>
      <c r="AA187" s="144"/>
      <c r="AB187" s="144"/>
      <c r="AC187" s="144"/>
      <c r="AD187" s="144"/>
      <c r="AE187" s="144"/>
      <c r="AF187" s="144"/>
      <c r="AG187" s="144"/>
      <c r="AH187" s="144"/>
      <c r="AI187" s="144"/>
      <c r="AJ187" s="144"/>
      <c r="AK187" s="144"/>
      <c r="AL187" s="144"/>
      <c r="AM187" s="144"/>
    </row>
    <row r="188" spans="1:39" ht="12.75" customHeight="1">
      <c r="A188" s="144"/>
      <c r="B188" s="150"/>
      <c r="C188" s="151"/>
      <c r="D188" s="151"/>
      <c r="E188" s="151"/>
      <c r="F188" s="151"/>
      <c r="G188" s="151"/>
      <c r="H188" s="151"/>
      <c r="I188" s="151"/>
      <c r="J188" s="151"/>
      <c r="K188" s="151"/>
      <c r="L188" s="151"/>
      <c r="M188" s="587"/>
      <c r="N188" s="144"/>
      <c r="O188" s="144"/>
      <c r="P188" s="144"/>
      <c r="Q188" s="144"/>
      <c r="R188" s="144"/>
      <c r="S188" s="144"/>
      <c r="T188" s="144"/>
      <c r="U188" s="144"/>
      <c r="V188" s="144"/>
      <c r="W188" s="144"/>
      <c r="X188" s="144"/>
      <c r="Y188" s="144"/>
      <c r="Z188" s="144"/>
      <c r="AA188" s="144"/>
      <c r="AB188" s="144"/>
      <c r="AC188" s="144"/>
      <c r="AD188" s="144"/>
      <c r="AE188" s="144"/>
      <c r="AF188" s="144"/>
      <c r="AG188" s="144"/>
      <c r="AH188" s="144"/>
      <c r="AI188" s="144"/>
      <c r="AJ188" s="144"/>
      <c r="AK188" s="144"/>
      <c r="AL188" s="144"/>
      <c r="AM188" s="144"/>
    </row>
    <row r="189" spans="1:39" ht="12.75" customHeight="1">
      <c r="A189" s="144"/>
      <c r="B189" s="153"/>
      <c r="C189" s="155"/>
      <c r="D189" s="155"/>
      <c r="E189" s="155"/>
      <c r="F189" s="155"/>
      <c r="G189" s="155"/>
      <c r="H189" s="155"/>
      <c r="I189" s="155"/>
      <c r="J189" s="155"/>
      <c r="K189" s="155"/>
      <c r="L189" s="155"/>
      <c r="M189" s="588"/>
      <c r="N189" s="144"/>
      <c r="O189" s="144"/>
      <c r="P189" s="144"/>
      <c r="Q189" s="144"/>
      <c r="R189" s="144"/>
      <c r="S189" s="144"/>
      <c r="T189" s="144"/>
      <c r="U189" s="144"/>
      <c r="V189" s="144"/>
      <c r="W189" s="144"/>
      <c r="X189" s="144"/>
      <c r="Y189" s="144"/>
      <c r="Z189" s="144"/>
      <c r="AA189" s="144"/>
      <c r="AB189" s="144"/>
      <c r="AC189" s="144"/>
      <c r="AD189" s="144"/>
      <c r="AE189" s="144"/>
      <c r="AF189" s="144"/>
      <c r="AG189" s="144"/>
      <c r="AH189" s="144"/>
      <c r="AI189" s="144"/>
      <c r="AJ189" s="144"/>
      <c r="AK189" s="144"/>
      <c r="AL189" s="144"/>
      <c r="AM189" s="144"/>
    </row>
    <row r="190" spans="1:39" ht="12.75" customHeight="1">
      <c r="A190" s="144"/>
      <c r="B190" s="150"/>
      <c r="C190" s="151"/>
      <c r="D190" s="151"/>
      <c r="E190" s="151"/>
      <c r="F190" s="151"/>
      <c r="G190" s="151"/>
      <c r="H190" s="151"/>
      <c r="I190" s="151"/>
      <c r="J190" s="151"/>
      <c r="K190" s="151"/>
      <c r="L190" s="151"/>
      <c r="M190" s="587"/>
      <c r="N190" s="144"/>
      <c r="O190" s="144"/>
      <c r="P190" s="144"/>
      <c r="Q190" s="144"/>
      <c r="R190" s="144"/>
      <c r="S190" s="144"/>
      <c r="T190" s="144"/>
      <c r="U190" s="144"/>
      <c r="V190" s="144"/>
      <c r="W190" s="144"/>
      <c r="X190" s="144"/>
      <c r="Y190" s="144"/>
      <c r="Z190" s="144"/>
      <c r="AA190" s="144"/>
      <c r="AB190" s="144"/>
      <c r="AC190" s="144"/>
      <c r="AD190" s="144"/>
      <c r="AE190" s="144"/>
      <c r="AF190" s="144"/>
      <c r="AG190" s="144"/>
      <c r="AH190" s="144"/>
      <c r="AI190" s="144"/>
      <c r="AJ190" s="144"/>
      <c r="AK190" s="144"/>
      <c r="AL190" s="144"/>
      <c r="AM190" s="144"/>
    </row>
    <row r="191" spans="1:39" ht="12.75" customHeight="1">
      <c r="A191" s="144"/>
      <c r="B191" s="150" t="s">
        <v>322</v>
      </c>
      <c r="C191" s="177" t="s">
        <v>323</v>
      </c>
      <c r="D191" s="151"/>
      <c r="E191" s="151"/>
      <c r="F191" s="151"/>
      <c r="G191" s="151"/>
      <c r="H191" s="151"/>
      <c r="I191" s="151"/>
      <c r="J191" s="151"/>
      <c r="K191" s="151"/>
      <c r="L191" s="151"/>
      <c r="M191" s="587"/>
      <c r="N191" s="144"/>
      <c r="O191" s="144"/>
      <c r="P191" s="144"/>
      <c r="Q191" s="144"/>
      <c r="R191" s="144"/>
      <c r="S191" s="144"/>
      <c r="T191" s="144"/>
      <c r="U191" s="144"/>
      <c r="V191" s="144"/>
      <c r="W191" s="144"/>
      <c r="X191" s="144"/>
      <c r="Y191" s="144"/>
      <c r="Z191" s="144"/>
      <c r="AA191" s="144"/>
      <c r="AB191" s="144"/>
      <c r="AC191" s="144"/>
      <c r="AD191" s="144"/>
      <c r="AE191" s="144"/>
      <c r="AF191" s="144"/>
      <c r="AG191" s="144"/>
      <c r="AH191" s="144"/>
      <c r="AI191" s="144"/>
      <c r="AJ191" s="144"/>
      <c r="AK191" s="144"/>
      <c r="AL191" s="144"/>
      <c r="AM191" s="144"/>
    </row>
    <row r="192" spans="1:39" ht="12.75" customHeight="1">
      <c r="A192" s="144"/>
      <c r="B192" s="150"/>
      <c r="C192" s="151" t="s">
        <v>324</v>
      </c>
      <c r="D192" s="151" t="s">
        <v>325</v>
      </c>
      <c r="E192" s="151" t="s">
        <v>461</v>
      </c>
      <c r="F192" s="187">
        <v>684480000</v>
      </c>
      <c r="G192" s="151" t="s">
        <v>457</v>
      </c>
      <c r="H192" s="186">
        <v>1055.5999999999999</v>
      </c>
      <c r="I192" s="151" t="s">
        <v>474</v>
      </c>
      <c r="J192" s="152">
        <f t="shared" ref="J192:J193" si="58">F192*H192/1000000</f>
        <v>722537.08799999987</v>
      </c>
      <c r="K192" s="158">
        <f>J192/J194*K194</f>
        <v>35452.350190995559</v>
      </c>
      <c r="L192" s="188">
        <f>J192*Q179/907.1847</f>
        <v>0.79646083978268145</v>
      </c>
      <c r="M192" s="601">
        <f>J192*R179/907.1847</f>
        <v>7.964608397826814E-2</v>
      </c>
      <c r="N192" s="144"/>
      <c r="O192" s="144"/>
      <c r="P192" s="144"/>
      <c r="Q192" s="144"/>
      <c r="R192" s="144"/>
      <c r="S192" s="144"/>
      <c r="T192" s="144"/>
      <c r="U192" s="144"/>
      <c r="V192" s="144"/>
      <c r="W192" s="144"/>
      <c r="X192" s="144"/>
      <c r="Y192" s="144"/>
      <c r="Z192" s="144"/>
      <c r="AA192" s="144"/>
      <c r="AB192" s="144"/>
      <c r="AC192" s="144"/>
      <c r="AD192" s="144"/>
      <c r="AE192" s="144"/>
      <c r="AF192" s="144"/>
      <c r="AG192" s="144"/>
      <c r="AH192" s="144"/>
      <c r="AI192" s="144"/>
      <c r="AJ192" s="144"/>
      <c r="AK192" s="144"/>
      <c r="AL192" s="144"/>
      <c r="AM192" s="144"/>
    </row>
    <row r="193" spans="1:39" ht="12.75" customHeight="1">
      <c r="A193" s="144"/>
      <c r="B193" s="150"/>
      <c r="C193" s="151"/>
      <c r="D193" s="151"/>
      <c r="E193" s="151" t="s">
        <v>306</v>
      </c>
      <c r="F193" s="187">
        <v>192360</v>
      </c>
      <c r="G193" s="151" t="s">
        <v>245</v>
      </c>
      <c r="H193" s="186">
        <v>139181</v>
      </c>
      <c r="I193" s="151" t="s">
        <v>316</v>
      </c>
      <c r="J193" s="152">
        <f t="shared" si="58"/>
        <v>26772.85716</v>
      </c>
      <c r="K193" s="158">
        <f>J193/J194*K194</f>
        <v>1313.6498090044383</v>
      </c>
      <c r="L193" s="188">
        <f>J193*Q181/907.1847</f>
        <v>8.8536073723465572E-2</v>
      </c>
      <c r="M193" s="601">
        <f>J193*R181/907.1847</f>
        <v>1.7707214744693112E-2</v>
      </c>
      <c r="N193" s="144"/>
      <c r="O193" s="144"/>
      <c r="P193" s="144"/>
      <c r="Q193" s="144"/>
      <c r="R193" s="144"/>
      <c r="S193" s="144"/>
      <c r="T193" s="144"/>
      <c r="U193" s="144"/>
      <c r="V193" s="144"/>
      <c r="W193" s="144"/>
      <c r="X193" s="144"/>
      <c r="Y193" s="144"/>
      <c r="Z193" s="144"/>
      <c r="AA193" s="144"/>
      <c r="AB193" s="144"/>
      <c r="AC193" s="144"/>
      <c r="AD193" s="144"/>
      <c r="AE193" s="144"/>
      <c r="AF193" s="144"/>
      <c r="AG193" s="144"/>
      <c r="AH193" s="144"/>
      <c r="AI193" s="144"/>
      <c r="AJ193" s="144"/>
      <c r="AK193" s="144"/>
      <c r="AL193" s="144"/>
      <c r="AM193" s="144"/>
    </row>
    <row r="194" spans="1:39" ht="12.75" customHeight="1">
      <c r="A194" s="144"/>
      <c r="B194" s="150"/>
      <c r="C194" s="151"/>
      <c r="D194" s="151"/>
      <c r="E194" s="151"/>
      <c r="F194" s="151"/>
      <c r="G194" s="151"/>
      <c r="H194" s="151"/>
      <c r="I194" s="151"/>
      <c r="J194" s="173">
        <f>SUM(J192:J193)</f>
        <v>749309.94515999989</v>
      </c>
      <c r="K194" s="219">
        <v>36766</v>
      </c>
      <c r="L194" s="199">
        <f t="shared" ref="L194:M194" si="59">SUM(L192:L193)</f>
        <v>0.88499691350614706</v>
      </c>
      <c r="M194" s="598">
        <f t="shared" si="59"/>
        <v>9.7353298722961251E-2</v>
      </c>
      <c r="N194" s="144"/>
      <c r="O194" s="144"/>
      <c r="P194" s="144"/>
      <c r="Q194" s="144"/>
      <c r="R194" s="144"/>
      <c r="S194" s="144"/>
      <c r="T194" s="144"/>
      <c r="U194" s="144"/>
      <c r="V194" s="144"/>
      <c r="W194" s="144"/>
      <c r="X194" s="144"/>
      <c r="Y194" s="144"/>
      <c r="Z194" s="144"/>
      <c r="AA194" s="144"/>
      <c r="AB194" s="144"/>
      <c r="AC194" s="144"/>
      <c r="AD194" s="144"/>
      <c r="AE194" s="144"/>
      <c r="AF194" s="144"/>
      <c r="AG194" s="144"/>
      <c r="AH194" s="144"/>
      <c r="AI194" s="144"/>
      <c r="AJ194" s="144"/>
      <c r="AK194" s="144"/>
      <c r="AL194" s="144"/>
      <c r="AM194" s="144"/>
    </row>
    <row r="195" spans="1:39" ht="12.75" customHeight="1">
      <c r="A195" s="144"/>
      <c r="B195" s="150"/>
      <c r="C195" s="151"/>
      <c r="D195" s="151"/>
      <c r="E195" s="151"/>
      <c r="F195" s="151"/>
      <c r="G195" s="151"/>
      <c r="H195" s="151"/>
      <c r="I195" s="151"/>
      <c r="J195" s="151"/>
      <c r="K195" s="151"/>
      <c r="L195" s="151"/>
      <c r="M195" s="587"/>
      <c r="N195" s="623">
        <f>K176+K181+K185</f>
        <v>250367</v>
      </c>
      <c r="O195" s="624">
        <f>J176+J181+J185</f>
        <v>2637841.706458</v>
      </c>
      <c r="P195" s="144"/>
      <c r="Q195" s="144"/>
      <c r="R195" s="144"/>
      <c r="S195" s="144"/>
      <c r="T195" s="144"/>
      <c r="U195" s="144"/>
      <c r="V195" s="144"/>
      <c r="W195" s="144"/>
      <c r="X195" s="144"/>
      <c r="Y195" s="144"/>
      <c r="Z195" s="144"/>
      <c r="AA195" s="144"/>
      <c r="AB195" s="144"/>
      <c r="AC195" s="144"/>
      <c r="AD195" s="144"/>
      <c r="AE195" s="144"/>
      <c r="AF195" s="144"/>
      <c r="AG195" s="144"/>
      <c r="AH195" s="144"/>
      <c r="AI195" s="144"/>
      <c r="AJ195" s="144"/>
      <c r="AK195" s="144"/>
      <c r="AL195" s="144"/>
      <c r="AM195" s="144"/>
    </row>
    <row r="196" spans="1:39" ht="12.75" customHeight="1">
      <c r="A196" s="144"/>
      <c r="B196" s="150"/>
      <c r="C196" s="151" t="s">
        <v>324</v>
      </c>
      <c r="D196" s="151" t="s">
        <v>326</v>
      </c>
      <c r="E196" s="151" t="s">
        <v>461</v>
      </c>
      <c r="F196" s="187">
        <v>749420000</v>
      </c>
      <c r="G196" s="151" t="s">
        <v>457</v>
      </c>
      <c r="H196" s="186">
        <v>1055.5999999999999</v>
      </c>
      <c r="I196" s="151" t="s">
        <v>474</v>
      </c>
      <c r="J196" s="152">
        <f t="shared" ref="J196:J197" si="60">F196*H196/1000000</f>
        <v>791087.75199999986</v>
      </c>
      <c r="K196" s="158">
        <f>J196/J198*K198</f>
        <v>37802.280332268456</v>
      </c>
      <c r="L196" s="188">
        <f>J196*Q179/907.1847</f>
        <v>0.87202501541306843</v>
      </c>
      <c r="M196" s="601">
        <f>J196*R179/907.1847</f>
        <v>8.7202501541306848E-2</v>
      </c>
      <c r="N196" s="144"/>
      <c r="O196" s="144"/>
      <c r="P196" s="144"/>
      <c r="Q196" s="144"/>
      <c r="R196" s="144"/>
      <c r="S196" s="144"/>
      <c r="T196" s="144"/>
      <c r="U196" s="144"/>
      <c r="V196" s="144"/>
      <c r="W196" s="144"/>
      <c r="X196" s="144"/>
      <c r="Y196" s="144"/>
      <c r="Z196" s="144"/>
      <c r="AA196" s="144"/>
      <c r="AB196" s="144"/>
      <c r="AC196" s="144"/>
      <c r="AD196" s="144"/>
      <c r="AE196" s="144"/>
      <c r="AF196" s="144"/>
      <c r="AG196" s="144"/>
      <c r="AH196" s="144"/>
      <c r="AI196" s="144"/>
      <c r="AJ196" s="144"/>
      <c r="AK196" s="144"/>
      <c r="AL196" s="144"/>
      <c r="AM196" s="144"/>
    </row>
    <row r="197" spans="1:39" ht="12.75" customHeight="1">
      <c r="A197" s="144"/>
      <c r="B197" s="150"/>
      <c r="C197" s="151"/>
      <c r="D197" s="151"/>
      <c r="E197" s="151" t="s">
        <v>306</v>
      </c>
      <c r="F197" s="187">
        <v>118440</v>
      </c>
      <c r="G197" s="151" t="s">
        <v>245</v>
      </c>
      <c r="H197" s="186">
        <v>139181</v>
      </c>
      <c r="I197" s="151" t="s">
        <v>316</v>
      </c>
      <c r="J197" s="152">
        <f t="shared" si="60"/>
        <v>16484.59764</v>
      </c>
      <c r="K197" s="158">
        <f>J197/J198*K198</f>
        <v>787.71966773154031</v>
      </c>
      <c r="L197" s="188">
        <f>J197*Q181/907.1847</f>
        <v>5.451347770746133E-2</v>
      </c>
      <c r="M197" s="601">
        <f>J197*R181/907.1847</f>
        <v>1.0902695541492265E-2</v>
      </c>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44"/>
      <c r="AL197" s="144"/>
      <c r="AM197" s="144"/>
    </row>
    <row r="198" spans="1:39" ht="12.75" customHeight="1">
      <c r="A198" s="144"/>
      <c r="B198" s="150"/>
      <c r="C198" s="151"/>
      <c r="D198" s="151"/>
      <c r="E198" s="151"/>
      <c r="F198" s="151"/>
      <c r="G198" s="151"/>
      <c r="H198" s="151"/>
      <c r="I198" s="151"/>
      <c r="J198" s="173">
        <f>SUM(J196:J197)</f>
        <v>807572.34963999991</v>
      </c>
      <c r="K198" s="179">
        <v>38590</v>
      </c>
      <c r="L198" s="199">
        <f t="shared" ref="L198:M198" si="61">SUM(L196:L197)</f>
        <v>0.92653849312052972</v>
      </c>
      <c r="M198" s="598">
        <f t="shared" si="61"/>
        <v>9.8105197082799106E-2</v>
      </c>
      <c r="N198" s="144"/>
      <c r="O198" s="625">
        <f>F174+F178+F183</f>
        <v>100030</v>
      </c>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4"/>
      <c r="AK198" s="144"/>
      <c r="AL198" s="144"/>
      <c r="AM198" s="144"/>
    </row>
    <row r="199" spans="1:39" ht="12.75" customHeight="1">
      <c r="A199" s="144"/>
      <c r="B199" s="150"/>
      <c r="C199" s="151"/>
      <c r="D199" s="151"/>
      <c r="E199" s="151"/>
      <c r="F199" s="151"/>
      <c r="G199" s="151"/>
      <c r="H199" s="151"/>
      <c r="I199" s="151"/>
      <c r="J199" s="151"/>
      <c r="K199" s="151"/>
      <c r="L199" s="151"/>
      <c r="M199" s="587"/>
      <c r="N199" s="144"/>
      <c r="O199" s="144"/>
      <c r="P199" s="144"/>
      <c r="Q199" s="144"/>
      <c r="R199" s="144"/>
      <c r="S199" s="144"/>
      <c r="T199" s="144"/>
      <c r="U199" s="144"/>
      <c r="V199" s="144"/>
      <c r="W199" s="144"/>
      <c r="X199" s="144"/>
      <c r="Y199" s="144"/>
      <c r="Z199" s="144"/>
      <c r="AA199" s="144"/>
      <c r="AB199" s="144"/>
      <c r="AC199" s="144"/>
      <c r="AD199" s="144"/>
      <c r="AE199" s="144"/>
      <c r="AF199" s="144"/>
      <c r="AG199" s="144"/>
      <c r="AH199" s="144"/>
      <c r="AI199" s="144"/>
      <c r="AJ199" s="144"/>
      <c r="AK199" s="144"/>
      <c r="AL199" s="144"/>
      <c r="AM199" s="144"/>
    </row>
    <row r="200" spans="1:39" ht="12.75" customHeight="1">
      <c r="A200" s="144"/>
      <c r="B200" s="153"/>
      <c r="C200" s="155"/>
      <c r="D200" s="155"/>
      <c r="E200" s="155"/>
      <c r="F200" s="155"/>
      <c r="G200" s="155"/>
      <c r="H200" s="155"/>
      <c r="I200" s="155"/>
      <c r="J200" s="155"/>
      <c r="K200" s="155"/>
      <c r="L200" s="155"/>
      <c r="M200" s="588"/>
      <c r="N200" s="144"/>
      <c r="O200" s="144"/>
      <c r="P200" s="144"/>
      <c r="Q200" s="144"/>
      <c r="R200" s="144"/>
      <c r="S200" s="144"/>
      <c r="T200" s="144"/>
      <c r="U200" s="144"/>
      <c r="V200" s="144"/>
      <c r="W200" s="144"/>
      <c r="X200" s="144"/>
      <c r="Y200" s="144"/>
      <c r="Z200" s="144"/>
      <c r="AA200" s="144"/>
      <c r="AB200" s="144"/>
      <c r="AC200" s="144"/>
      <c r="AD200" s="144"/>
      <c r="AE200" s="144"/>
      <c r="AF200" s="144"/>
      <c r="AG200" s="144"/>
      <c r="AH200" s="144"/>
      <c r="AI200" s="144"/>
      <c r="AJ200" s="144"/>
      <c r="AK200" s="144"/>
      <c r="AL200" s="144"/>
      <c r="AM200" s="144"/>
    </row>
    <row r="201" spans="1:39" ht="12.75" customHeight="1">
      <c r="A201" s="144"/>
      <c r="B201" s="150"/>
      <c r="C201" s="151"/>
      <c r="D201" s="151"/>
      <c r="E201" s="151"/>
      <c r="F201" s="151"/>
      <c r="G201" s="151"/>
      <c r="H201" s="151"/>
      <c r="I201" s="151"/>
      <c r="J201" s="151"/>
      <c r="K201" s="151"/>
      <c r="L201" s="151"/>
      <c r="M201" s="587"/>
      <c r="N201" s="144"/>
      <c r="O201" s="144"/>
      <c r="P201" s="144"/>
      <c r="Q201" s="144"/>
      <c r="R201" s="144"/>
      <c r="S201" s="144"/>
      <c r="T201" s="144"/>
      <c r="U201" s="144"/>
      <c r="V201" s="144"/>
      <c r="W201" s="144"/>
      <c r="X201" s="144"/>
      <c r="Y201" s="144"/>
      <c r="Z201" s="144"/>
      <c r="AA201" s="144"/>
      <c r="AB201" s="144"/>
      <c r="AC201" s="144"/>
      <c r="AD201" s="144"/>
      <c r="AE201" s="144"/>
      <c r="AF201" s="144"/>
      <c r="AG201" s="144"/>
      <c r="AH201" s="144"/>
      <c r="AI201" s="144"/>
      <c r="AJ201" s="144"/>
      <c r="AK201" s="144"/>
      <c r="AL201" s="144"/>
      <c r="AM201" s="144"/>
    </row>
    <row r="202" spans="1:39" ht="12.75" customHeight="1">
      <c r="A202" s="144"/>
      <c r="B202" s="150"/>
      <c r="C202" s="151"/>
      <c r="D202" s="151"/>
      <c r="E202" s="151"/>
      <c r="F202" s="151"/>
      <c r="G202" s="151"/>
      <c r="H202" s="151"/>
      <c r="I202" s="151"/>
      <c r="J202" s="151"/>
      <c r="K202" s="151"/>
      <c r="L202" s="151"/>
      <c r="M202" s="587"/>
      <c r="N202" s="144"/>
      <c r="O202" s="144"/>
      <c r="P202" s="144"/>
      <c r="Q202" s="144"/>
      <c r="R202" s="144"/>
      <c r="S202" s="144"/>
      <c r="T202" s="144"/>
      <c r="U202" s="144"/>
      <c r="V202" s="144"/>
      <c r="W202" s="144"/>
      <c r="X202" s="144"/>
      <c r="Y202" s="144"/>
      <c r="Z202" s="144"/>
      <c r="AA202" s="144"/>
      <c r="AB202" s="144"/>
      <c r="AC202" s="144"/>
      <c r="AD202" s="144"/>
      <c r="AE202" s="144"/>
      <c r="AF202" s="144"/>
      <c r="AG202" s="144"/>
      <c r="AH202" s="144"/>
      <c r="AI202" s="144"/>
      <c r="AJ202" s="144"/>
      <c r="AK202" s="144"/>
      <c r="AL202" s="144"/>
      <c r="AM202" s="144"/>
    </row>
    <row r="203" spans="1:39" ht="12.75" customHeight="1">
      <c r="A203" s="144"/>
      <c r="B203" s="150" t="s">
        <v>236</v>
      </c>
      <c r="C203" s="177" t="s">
        <v>237</v>
      </c>
      <c r="D203" s="151"/>
      <c r="E203" s="151"/>
      <c r="F203" s="151"/>
      <c r="G203" s="151"/>
      <c r="H203" s="151"/>
      <c r="I203" s="151"/>
      <c r="J203" s="151"/>
      <c r="K203" s="151"/>
      <c r="L203" s="151"/>
      <c r="M203" s="587"/>
      <c r="N203" s="144"/>
      <c r="O203" s="144"/>
      <c r="P203" s="144"/>
      <c r="Q203" s="144"/>
      <c r="R203" s="144"/>
      <c r="S203" s="144"/>
      <c r="T203" s="144"/>
      <c r="U203" s="144"/>
      <c r="V203" s="144"/>
      <c r="W203" s="144"/>
      <c r="X203" s="144"/>
      <c r="Y203" s="144"/>
      <c r="Z203" s="144"/>
      <c r="AA203" s="144"/>
      <c r="AB203" s="144"/>
      <c r="AC203" s="144"/>
      <c r="AD203" s="144"/>
      <c r="AE203" s="144"/>
      <c r="AF203" s="144"/>
      <c r="AG203" s="144"/>
      <c r="AH203" s="144"/>
      <c r="AI203" s="144"/>
      <c r="AJ203" s="144"/>
      <c r="AK203" s="144"/>
      <c r="AL203" s="144"/>
      <c r="AM203" s="144"/>
    </row>
    <row r="204" spans="1:39" ht="12.75" customHeight="1">
      <c r="A204" s="144"/>
      <c r="B204" s="150"/>
      <c r="C204" s="151" t="s">
        <v>238</v>
      </c>
      <c r="D204" s="151" t="s">
        <v>200</v>
      </c>
      <c r="E204" s="151" t="s">
        <v>194</v>
      </c>
      <c r="F204" s="187">
        <v>467991</v>
      </c>
      <c r="G204" s="151" t="s">
        <v>195</v>
      </c>
      <c r="H204" s="186">
        <v>12917.97</v>
      </c>
      <c r="I204" s="151" t="s">
        <v>196</v>
      </c>
      <c r="J204" s="152">
        <f>F204*H204*2000/1000000</f>
        <v>12090987.396539997</v>
      </c>
      <c r="K204" s="158">
        <f>J204/J207*K207</f>
        <v>1147325.4465995142</v>
      </c>
      <c r="L204" s="188">
        <f>J204/J207*L207</f>
        <v>134.61382665990391</v>
      </c>
      <c r="M204" s="592">
        <f>J204/J207*M207</f>
        <v>19.603955338820956</v>
      </c>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4"/>
    </row>
    <row r="205" spans="1:39" ht="12.75" customHeight="1">
      <c r="A205" s="144"/>
      <c r="B205" s="150"/>
      <c r="C205" s="151"/>
      <c r="D205" s="151"/>
      <c r="E205" s="151" t="s">
        <v>306</v>
      </c>
      <c r="F205" s="187">
        <v>878154</v>
      </c>
      <c r="G205" s="151" t="s">
        <v>245</v>
      </c>
      <c r="H205" s="186">
        <v>137690</v>
      </c>
      <c r="I205" s="151" t="s">
        <v>316</v>
      </c>
      <c r="J205" s="152">
        <f t="shared" ref="J205:J206" si="62">F205*H205/1000000</f>
        <v>120913.02426000001</v>
      </c>
      <c r="K205" s="158">
        <f>J205/J207*K207</f>
        <v>11473.553400485798</v>
      </c>
      <c r="L205" s="188">
        <f>J205/J207*L207</f>
        <v>1.3461733400961247</v>
      </c>
      <c r="M205" s="592">
        <f>J205/J207*M207</f>
        <v>0.19604466117904729</v>
      </c>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4"/>
    </row>
    <row r="206" spans="1:39" ht="12.75" customHeight="1">
      <c r="A206" s="144"/>
      <c r="B206" s="150"/>
      <c r="C206" s="151"/>
      <c r="D206" s="151"/>
      <c r="E206" s="151" t="s">
        <v>428</v>
      </c>
      <c r="F206" s="187">
        <v>7699</v>
      </c>
      <c r="G206" s="151" t="s">
        <v>245</v>
      </c>
      <c r="H206" s="186">
        <v>137690</v>
      </c>
      <c r="I206" s="151" t="s">
        <v>316</v>
      </c>
      <c r="J206" s="152">
        <f t="shared" si="62"/>
        <v>1060.0753099999999</v>
      </c>
      <c r="K206" s="158">
        <f>J206/J207*K207</f>
        <v>100.59156780056819</v>
      </c>
      <c r="L206" s="188">
        <f>J206/J207*L207</f>
        <v>1.1802244874361517E-2</v>
      </c>
      <c r="M206" s="592">
        <f>J206/J207*M207</f>
        <v>1.7187735253924538E-3</v>
      </c>
      <c r="N206" s="144"/>
      <c r="O206" s="144"/>
      <c r="P206" s="144"/>
      <c r="Q206" s="144"/>
      <c r="R206" s="144"/>
      <c r="S206" s="144"/>
      <c r="T206" s="144"/>
      <c r="U206" s="144"/>
      <c r="V206" s="144"/>
      <c r="W206" s="144"/>
      <c r="X206" s="144"/>
      <c r="Y206" s="144"/>
      <c r="Z206" s="144"/>
      <c r="AA206" s="144"/>
      <c r="AB206" s="144"/>
      <c r="AC206" s="144"/>
      <c r="AD206" s="144"/>
      <c r="AE206" s="144"/>
      <c r="AF206" s="144"/>
      <c r="AG206" s="144"/>
      <c r="AH206" s="144"/>
      <c r="AI206" s="144"/>
      <c r="AJ206" s="144"/>
      <c r="AK206" s="144"/>
      <c r="AL206" s="144"/>
      <c r="AM206" s="144"/>
    </row>
    <row r="207" spans="1:39" ht="12.75" customHeight="1">
      <c r="A207" s="144"/>
      <c r="B207" s="150"/>
      <c r="C207" s="151"/>
      <c r="D207" s="151"/>
      <c r="E207" s="151"/>
      <c r="F207" s="151"/>
      <c r="G207" s="151"/>
      <c r="H207" s="151"/>
      <c r="I207" s="151"/>
      <c r="J207" s="173">
        <f>SUM(J204:J205)</f>
        <v>12211900.420799997</v>
      </c>
      <c r="K207" s="219">
        <v>1158799</v>
      </c>
      <c r="L207" s="199">
        <v>135.96</v>
      </c>
      <c r="M207" s="598">
        <v>19.8</v>
      </c>
      <c r="N207" s="144"/>
      <c r="O207" s="144"/>
      <c r="P207" s="144"/>
      <c r="Q207" s="144"/>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4"/>
    </row>
    <row r="208" spans="1:39" ht="12.75" customHeight="1">
      <c r="A208" s="144"/>
      <c r="B208" s="150"/>
      <c r="C208" s="151"/>
      <c r="D208" s="151"/>
      <c r="E208" s="151"/>
      <c r="F208" s="151"/>
      <c r="G208" s="151"/>
      <c r="H208" s="151"/>
      <c r="I208" s="151"/>
      <c r="J208" s="158"/>
      <c r="K208" s="186"/>
      <c r="L208" s="151"/>
      <c r="M208" s="587"/>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c r="AL208" s="144"/>
      <c r="AM208" s="144"/>
    </row>
    <row r="209" spans="1:39" ht="12.75" customHeight="1">
      <c r="A209" s="144"/>
      <c r="B209" s="150"/>
      <c r="C209" s="151" t="s">
        <v>239</v>
      </c>
      <c r="D209" s="151" t="s">
        <v>204</v>
      </c>
      <c r="E209" s="151" t="s">
        <v>194</v>
      </c>
      <c r="F209" s="187">
        <v>1175132</v>
      </c>
      <c r="G209" s="151" t="s">
        <v>195</v>
      </c>
      <c r="H209" s="186">
        <v>12917.97</v>
      </c>
      <c r="I209" s="151" t="s">
        <v>196</v>
      </c>
      <c r="J209" s="152">
        <f>F209*H209*2000/1000000</f>
        <v>30360639.844079997</v>
      </c>
      <c r="K209" s="158">
        <f>J209/J212*K212</f>
        <v>1477069.9136081592</v>
      </c>
      <c r="L209" s="188">
        <f>J209/J212*L212</f>
        <v>173.24311434592872</v>
      </c>
      <c r="M209" s="592">
        <f>J209/J212*M212</f>
        <v>25.230064812750605</v>
      </c>
      <c r="N209" s="144"/>
      <c r="O209" s="144"/>
      <c r="P209" s="144"/>
      <c r="Q209" s="144"/>
      <c r="R209" s="144"/>
      <c r="S209" s="144"/>
      <c r="T209" s="144"/>
      <c r="U209" s="144"/>
      <c r="V209" s="144"/>
      <c r="W209" s="144"/>
      <c r="X209" s="144"/>
      <c r="Y209" s="144"/>
      <c r="Z209" s="144"/>
      <c r="AA209" s="144"/>
      <c r="AB209" s="144"/>
      <c r="AC209" s="144"/>
      <c r="AD209" s="144"/>
      <c r="AE209" s="144"/>
      <c r="AF209" s="144"/>
      <c r="AG209" s="144"/>
      <c r="AH209" s="144"/>
      <c r="AI209" s="144"/>
      <c r="AJ209" s="144"/>
      <c r="AK209" s="144"/>
      <c r="AL209" s="144"/>
      <c r="AM209" s="144"/>
    </row>
    <row r="210" spans="1:39" ht="12.75" customHeight="1">
      <c r="A210" s="144"/>
      <c r="B210" s="150"/>
      <c r="C210" s="151"/>
      <c r="D210" s="151"/>
      <c r="E210" s="151" t="s">
        <v>306</v>
      </c>
      <c r="F210" s="187">
        <v>174225</v>
      </c>
      <c r="G210" s="151" t="s">
        <v>245</v>
      </c>
      <c r="H210" s="186">
        <v>137690</v>
      </c>
      <c r="I210" s="151" t="s">
        <v>316</v>
      </c>
      <c r="J210" s="152">
        <f t="shared" ref="J210:J211" si="63">F210*H210/1000000</f>
        <v>23989.040249999998</v>
      </c>
      <c r="K210" s="158">
        <f>J210/J212*K212</f>
        <v>1167.086391840958</v>
      </c>
      <c r="L210" s="188">
        <f>J210/J212*L212</f>
        <v>0.13688565407129255</v>
      </c>
      <c r="M210" s="592">
        <f>J210/J212*M212</f>
        <v>1.9935187249395182E-2</v>
      </c>
      <c r="N210" s="144"/>
      <c r="O210" s="144"/>
      <c r="P210" s="144"/>
      <c r="Q210" s="144"/>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4"/>
    </row>
    <row r="211" spans="1:39" ht="12.75" customHeight="1">
      <c r="A211" s="144"/>
      <c r="B211" s="150"/>
      <c r="C211" s="151"/>
      <c r="D211" s="151"/>
      <c r="E211" s="151" t="s">
        <v>428</v>
      </c>
      <c r="F211" s="187">
        <v>12750</v>
      </c>
      <c r="G211" s="151" t="s">
        <v>245</v>
      </c>
      <c r="H211" s="186">
        <v>137690</v>
      </c>
      <c r="I211" s="151" t="s">
        <v>316</v>
      </c>
      <c r="J211" s="152">
        <f t="shared" si="63"/>
        <v>1755.5474999999999</v>
      </c>
      <c r="K211" s="158">
        <f>J211/J212*K212</f>
        <v>85.408819032700322</v>
      </c>
      <c r="L211" s="188">
        <f>J211/J212*L212</f>
        <v>1.0017460693981805E-2</v>
      </c>
      <c r="M211" s="592">
        <f>J211/J212*M212</f>
        <v>1.4588815464473444E-3</v>
      </c>
      <c r="N211" s="144"/>
      <c r="O211" s="144"/>
      <c r="P211" s="144"/>
      <c r="Q211" s="144"/>
      <c r="R211" s="144"/>
      <c r="S211" s="144"/>
      <c r="T211" s="144"/>
      <c r="U211" s="144"/>
      <c r="V211" s="144"/>
      <c r="W211" s="144"/>
      <c r="X211" s="144"/>
      <c r="Y211" s="144"/>
      <c r="Z211" s="144"/>
      <c r="AA211" s="144"/>
      <c r="AB211" s="144"/>
      <c r="AC211" s="144"/>
      <c r="AD211" s="144"/>
      <c r="AE211" s="144"/>
      <c r="AF211" s="144"/>
      <c r="AG211" s="144"/>
      <c r="AH211" s="144"/>
      <c r="AI211" s="144"/>
      <c r="AJ211" s="144"/>
      <c r="AK211" s="144"/>
      <c r="AL211" s="144"/>
      <c r="AM211" s="144"/>
    </row>
    <row r="212" spans="1:39" ht="12.75" customHeight="1">
      <c r="A212" s="144"/>
      <c r="B212" s="150"/>
      <c r="C212" s="151"/>
      <c r="D212" s="151"/>
      <c r="E212" s="151"/>
      <c r="F212" s="151"/>
      <c r="G212" s="151"/>
      <c r="H212" s="151"/>
      <c r="I212" s="151"/>
      <c r="J212" s="173">
        <f>SUM(J209:J210)</f>
        <v>30384628.884329997</v>
      </c>
      <c r="K212" s="219">
        <v>1478237</v>
      </c>
      <c r="L212" s="199">
        <v>173.38</v>
      </c>
      <c r="M212" s="598">
        <v>25.25</v>
      </c>
      <c r="N212" s="144"/>
      <c r="O212" s="144"/>
      <c r="P212" s="144"/>
      <c r="Q212" s="144"/>
      <c r="R212" s="144"/>
      <c r="S212" s="144"/>
      <c r="T212" s="144"/>
      <c r="U212" s="144"/>
      <c r="V212" s="144"/>
      <c r="W212" s="144"/>
      <c r="X212" s="144"/>
      <c r="Y212" s="144"/>
      <c r="Z212" s="144"/>
      <c r="AA212" s="144"/>
      <c r="AB212" s="144"/>
      <c r="AC212" s="144"/>
      <c r="AD212" s="144"/>
      <c r="AE212" s="144"/>
      <c r="AF212" s="144"/>
      <c r="AG212" s="144"/>
      <c r="AH212" s="144"/>
      <c r="AI212" s="144"/>
      <c r="AJ212" s="144"/>
      <c r="AK212" s="144"/>
      <c r="AL212" s="144"/>
      <c r="AM212" s="144"/>
    </row>
    <row r="213" spans="1:39" ht="12.75" customHeight="1">
      <c r="A213" s="144"/>
      <c r="B213" s="150"/>
      <c r="C213" s="151"/>
      <c r="D213" s="151"/>
      <c r="E213" s="151"/>
      <c r="F213" s="151"/>
      <c r="G213" s="151"/>
      <c r="H213" s="151"/>
      <c r="I213" s="151"/>
      <c r="J213" s="173"/>
      <c r="K213" s="219"/>
      <c r="L213" s="199"/>
      <c r="M213" s="619"/>
      <c r="N213" s="144"/>
      <c r="O213" s="144"/>
      <c r="P213" s="144"/>
      <c r="Q213" s="144"/>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4"/>
    </row>
    <row r="214" spans="1:39" ht="12.75" customHeight="1">
      <c r="A214" s="144"/>
      <c r="B214" s="150"/>
      <c r="C214" s="151" t="s">
        <v>327</v>
      </c>
      <c r="D214" s="151" t="s">
        <v>328</v>
      </c>
      <c r="E214" s="151" t="s">
        <v>306</v>
      </c>
      <c r="F214" s="187">
        <v>686881</v>
      </c>
      <c r="G214" s="151" t="s">
        <v>245</v>
      </c>
      <c r="H214" s="186">
        <v>137690</v>
      </c>
      <c r="I214" s="151" t="s">
        <v>316</v>
      </c>
      <c r="J214" s="179">
        <f t="shared" ref="J214:J221" si="64">F214*H214/1000000</f>
        <v>94576.644889999996</v>
      </c>
      <c r="K214" s="179">
        <v>7710</v>
      </c>
      <c r="L214" s="218">
        <v>0.31</v>
      </c>
      <c r="M214" s="596">
        <v>0.06</v>
      </c>
      <c r="N214" s="144"/>
      <c r="O214" s="144"/>
      <c r="P214" s="144"/>
      <c r="Q214" s="144"/>
      <c r="R214" s="144"/>
      <c r="S214" s="144"/>
      <c r="T214" s="144"/>
      <c r="U214" s="144"/>
      <c r="V214" s="144"/>
      <c r="W214" s="144"/>
      <c r="X214" s="144"/>
      <c r="Y214" s="144"/>
      <c r="Z214" s="144"/>
      <c r="AA214" s="144"/>
      <c r="AB214" s="144"/>
      <c r="AC214" s="144"/>
      <c r="AD214" s="144"/>
      <c r="AE214" s="144"/>
      <c r="AF214" s="144"/>
      <c r="AG214" s="144"/>
      <c r="AH214" s="144"/>
      <c r="AI214" s="144"/>
      <c r="AJ214" s="144"/>
      <c r="AK214" s="144"/>
      <c r="AL214" s="144"/>
      <c r="AM214" s="144"/>
    </row>
    <row r="215" spans="1:39" ht="12.75" customHeight="1">
      <c r="A215" s="144"/>
      <c r="B215" s="150"/>
      <c r="C215" s="151" t="s">
        <v>329</v>
      </c>
      <c r="D215" s="151" t="s">
        <v>330</v>
      </c>
      <c r="E215" s="151" t="s">
        <v>306</v>
      </c>
      <c r="F215" s="187">
        <v>420949</v>
      </c>
      <c r="G215" s="151" t="s">
        <v>245</v>
      </c>
      <c r="H215" s="186">
        <v>137690</v>
      </c>
      <c r="I215" s="151" t="s">
        <v>316</v>
      </c>
      <c r="J215" s="179">
        <f t="shared" si="64"/>
        <v>57960.467810000002</v>
      </c>
      <c r="K215" s="179">
        <v>4725</v>
      </c>
      <c r="L215" s="218">
        <v>0.19</v>
      </c>
      <c r="M215" s="596">
        <v>0.04</v>
      </c>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c r="AI215" s="144"/>
      <c r="AJ215" s="144"/>
      <c r="AK215" s="144"/>
      <c r="AL215" s="144"/>
      <c r="AM215" s="144"/>
    </row>
    <row r="216" spans="1:39" ht="12.75" customHeight="1">
      <c r="A216" s="144"/>
      <c r="B216" s="150"/>
      <c r="C216" s="151" t="s">
        <v>331</v>
      </c>
      <c r="D216" s="151" t="s">
        <v>332</v>
      </c>
      <c r="E216" s="151" t="s">
        <v>306</v>
      </c>
      <c r="F216" s="187">
        <v>24736</v>
      </c>
      <c r="G216" s="151" t="s">
        <v>245</v>
      </c>
      <c r="H216" s="186">
        <v>137690</v>
      </c>
      <c r="I216" s="151" t="s">
        <v>316</v>
      </c>
      <c r="J216" s="152">
        <f t="shared" si="64"/>
        <v>3405.89984</v>
      </c>
      <c r="K216" s="179">
        <v>278</v>
      </c>
      <c r="L216" s="218">
        <v>0.01</v>
      </c>
      <c r="M216" s="596">
        <v>0</v>
      </c>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4"/>
    </row>
    <row r="217" spans="1:39" ht="12.75" customHeight="1">
      <c r="A217" s="144"/>
      <c r="B217" s="150"/>
      <c r="C217" s="151" t="s">
        <v>333</v>
      </c>
      <c r="D217" s="151" t="s">
        <v>262</v>
      </c>
      <c r="E217" s="151" t="s">
        <v>306</v>
      </c>
      <c r="F217" s="187">
        <v>31094</v>
      </c>
      <c r="G217" s="151" t="s">
        <v>245</v>
      </c>
      <c r="H217" s="186">
        <v>137690</v>
      </c>
      <c r="I217" s="151" t="s">
        <v>316</v>
      </c>
      <c r="J217" s="152">
        <f t="shared" si="64"/>
        <v>4281.3328600000004</v>
      </c>
      <c r="K217" s="179">
        <v>349</v>
      </c>
      <c r="L217" s="218">
        <v>0.01</v>
      </c>
      <c r="M217" s="596">
        <v>0</v>
      </c>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c r="AI217" s="144"/>
      <c r="AJ217" s="144"/>
      <c r="AK217" s="144"/>
      <c r="AL217" s="144"/>
      <c r="AM217" s="144"/>
    </row>
    <row r="218" spans="1:39" ht="12.75" customHeight="1">
      <c r="A218" s="144"/>
      <c r="B218" s="150"/>
      <c r="C218" s="151" t="s">
        <v>334</v>
      </c>
      <c r="D218" s="151" t="s">
        <v>335</v>
      </c>
      <c r="E218" s="151" t="s">
        <v>306</v>
      </c>
      <c r="F218" s="187">
        <v>134574</v>
      </c>
      <c r="G218" s="151" t="s">
        <v>245</v>
      </c>
      <c r="H218" s="186">
        <v>137690</v>
      </c>
      <c r="I218" s="151" t="s">
        <v>316</v>
      </c>
      <c r="J218" s="152">
        <f t="shared" si="64"/>
        <v>18529.494060000001</v>
      </c>
      <c r="K218" s="179">
        <v>1500</v>
      </c>
      <c r="L218" s="218">
        <v>0.06</v>
      </c>
      <c r="M218" s="596">
        <v>0.01</v>
      </c>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c r="AI218" s="144"/>
      <c r="AJ218" s="144"/>
      <c r="AK218" s="144"/>
      <c r="AL218" s="144"/>
      <c r="AM218" s="144"/>
    </row>
    <row r="219" spans="1:39" ht="12.75" customHeight="1">
      <c r="A219" s="144"/>
      <c r="B219" s="150"/>
      <c r="C219" s="151" t="s">
        <v>336</v>
      </c>
      <c r="D219" s="151" t="s">
        <v>337</v>
      </c>
      <c r="E219" s="151" t="s">
        <v>306</v>
      </c>
      <c r="F219" s="187">
        <v>118314</v>
      </c>
      <c r="G219" s="151" t="s">
        <v>245</v>
      </c>
      <c r="H219" s="186">
        <v>137690</v>
      </c>
      <c r="I219" s="151" t="s">
        <v>316</v>
      </c>
      <c r="J219" s="152">
        <f t="shared" si="64"/>
        <v>16290.65466</v>
      </c>
      <c r="K219" s="179">
        <v>1321</v>
      </c>
      <c r="L219" s="218">
        <v>0.05</v>
      </c>
      <c r="M219" s="596">
        <v>0.01</v>
      </c>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c r="AL219" s="144"/>
      <c r="AM219" s="144"/>
    </row>
    <row r="220" spans="1:39" ht="12.75" customHeight="1">
      <c r="A220" s="144"/>
      <c r="B220" s="150"/>
      <c r="C220" s="151" t="s">
        <v>338</v>
      </c>
      <c r="D220" s="151" t="s">
        <v>267</v>
      </c>
      <c r="E220" s="151" t="s">
        <v>306</v>
      </c>
      <c r="F220" s="187">
        <v>122502</v>
      </c>
      <c r="G220" s="151" t="s">
        <v>245</v>
      </c>
      <c r="H220" s="186">
        <v>137690</v>
      </c>
      <c r="I220" s="151" t="s">
        <v>316</v>
      </c>
      <c r="J220" s="152">
        <f t="shared" si="64"/>
        <v>16867.300380000001</v>
      </c>
      <c r="K220" s="179">
        <v>1368</v>
      </c>
      <c r="L220" s="218">
        <v>0.06</v>
      </c>
      <c r="M220" s="596">
        <v>0.01</v>
      </c>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c r="AI220" s="144"/>
      <c r="AJ220" s="144"/>
      <c r="AK220" s="144"/>
      <c r="AL220" s="144"/>
      <c r="AM220" s="144"/>
    </row>
    <row r="221" spans="1:39" ht="12.75" customHeight="1">
      <c r="A221" s="144"/>
      <c r="B221" s="150"/>
      <c r="C221" s="151" t="s">
        <v>339</v>
      </c>
      <c r="D221" s="151" t="s">
        <v>340</v>
      </c>
      <c r="E221" s="151" t="s">
        <v>306</v>
      </c>
      <c r="F221" s="187">
        <v>118370</v>
      </c>
      <c r="G221" s="151" t="s">
        <v>245</v>
      </c>
      <c r="H221" s="186">
        <v>137690</v>
      </c>
      <c r="I221" s="151" t="s">
        <v>316</v>
      </c>
      <c r="J221" s="152">
        <f t="shared" si="64"/>
        <v>16298.365299999999</v>
      </c>
      <c r="K221" s="179">
        <v>1321.1</v>
      </c>
      <c r="L221" s="218">
        <v>0.05</v>
      </c>
      <c r="M221" s="596">
        <v>0.01</v>
      </c>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4"/>
    </row>
    <row r="222" spans="1:39" ht="12.75" customHeight="1">
      <c r="A222" s="144"/>
      <c r="B222" s="150"/>
      <c r="C222" s="151"/>
      <c r="D222" s="151"/>
      <c r="E222" s="151"/>
      <c r="F222" s="187"/>
      <c r="G222" s="151"/>
      <c r="H222" s="186"/>
      <c r="I222" s="151"/>
      <c r="J222" s="152"/>
      <c r="K222" s="179"/>
      <c r="L222" s="218"/>
      <c r="M222" s="596"/>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c r="AL222" s="144"/>
      <c r="AM222" s="144"/>
    </row>
    <row r="223" spans="1:39" ht="12.75" customHeight="1">
      <c r="A223" s="144"/>
      <c r="B223" s="150"/>
      <c r="C223" s="151"/>
      <c r="D223" s="151"/>
      <c r="E223" s="151"/>
      <c r="F223" s="151"/>
      <c r="G223" s="151"/>
      <c r="H223" s="151"/>
      <c r="I223" s="151"/>
      <c r="J223" s="151"/>
      <c r="K223" s="151"/>
      <c r="L223" s="151"/>
      <c r="M223" s="593"/>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c r="AL223" s="144"/>
      <c r="AM223" s="144"/>
    </row>
    <row r="224" spans="1:39" ht="12.75" customHeight="1">
      <c r="A224" s="144"/>
      <c r="B224" s="153"/>
      <c r="C224" s="155"/>
      <c r="D224" s="155"/>
      <c r="E224" s="155"/>
      <c r="F224" s="155"/>
      <c r="G224" s="155"/>
      <c r="H224" s="155"/>
      <c r="I224" s="155"/>
      <c r="J224" s="155"/>
      <c r="K224" s="155"/>
      <c r="L224" s="155"/>
      <c r="M224" s="588"/>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c r="AI224" s="144"/>
      <c r="AJ224" s="144"/>
      <c r="AK224" s="144"/>
      <c r="AL224" s="144"/>
      <c r="AM224" s="144"/>
    </row>
    <row r="225" spans="1:39" ht="12.75" customHeight="1">
      <c r="A225" s="144"/>
      <c r="B225" s="150"/>
      <c r="C225" s="151"/>
      <c r="D225" s="151"/>
      <c r="E225" s="151"/>
      <c r="F225" s="151"/>
      <c r="G225" s="151"/>
      <c r="H225" s="151"/>
      <c r="I225" s="151"/>
      <c r="J225" s="151"/>
      <c r="K225" s="151"/>
      <c r="L225" s="151"/>
      <c r="M225" s="587"/>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c r="AL225" s="144"/>
      <c r="AM225" s="144"/>
    </row>
    <row r="226" spans="1:39" ht="12.75" customHeight="1">
      <c r="A226" s="144"/>
      <c r="B226" s="150" t="s">
        <v>341</v>
      </c>
      <c r="C226" s="177" t="s">
        <v>342</v>
      </c>
      <c r="D226" s="151"/>
      <c r="E226" s="151"/>
      <c r="F226" s="151"/>
      <c r="G226" s="151"/>
      <c r="H226" s="151"/>
      <c r="I226" s="151"/>
      <c r="J226" s="151"/>
      <c r="K226" s="151"/>
      <c r="L226" s="151"/>
      <c r="M226" s="587"/>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4"/>
    </row>
    <row r="227" spans="1:39" ht="12.75" customHeight="1">
      <c r="A227" s="144"/>
      <c r="B227" s="150"/>
      <c r="C227" s="151" t="s">
        <v>343</v>
      </c>
      <c r="D227" s="151" t="s">
        <v>200</v>
      </c>
      <c r="E227" s="151" t="s">
        <v>456</v>
      </c>
      <c r="F227" s="187">
        <f>J227/H227</f>
        <v>2508181.9923371645</v>
      </c>
      <c r="G227" s="151" t="s">
        <v>457</v>
      </c>
      <c r="H227" s="151">
        <v>1.044</v>
      </c>
      <c r="I227" s="151" t="s">
        <v>475</v>
      </c>
      <c r="J227" s="152">
        <v>2618542</v>
      </c>
      <c r="K227" s="158">
        <f t="shared" ref="K227:M227" si="65">(J227/(J227+J228))*K229</f>
        <v>155717.06178143556</v>
      </c>
      <c r="L227" s="188">
        <f t="shared" si="65"/>
        <v>11.279938960025527</v>
      </c>
      <c r="M227" s="592">
        <f t="shared" si="65"/>
        <v>3.8930762782388983</v>
      </c>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4"/>
    </row>
    <row r="228" spans="1:39" ht="12.75" customHeight="1">
      <c r="A228" s="144"/>
      <c r="B228" s="150"/>
      <c r="C228" s="151"/>
      <c r="D228" s="151"/>
      <c r="E228" s="151" t="s">
        <v>344</v>
      </c>
      <c r="F228" s="152">
        <f>(J228/H228)*1000000</f>
        <v>33264.28571428571</v>
      </c>
      <c r="G228" s="151" t="s">
        <v>245</v>
      </c>
      <c r="H228" s="186">
        <v>140000</v>
      </c>
      <c r="I228" s="151" t="s">
        <v>345</v>
      </c>
      <c r="J228" s="152">
        <v>4657</v>
      </c>
      <c r="K228" s="158">
        <f t="shared" ref="K228:M228" si="66">(J228/(J228+J227))*K229</f>
        <v>276.93821856443219</v>
      </c>
      <c r="L228" s="188">
        <f t="shared" si="66"/>
        <v>2.0061039974473917E-2</v>
      </c>
      <c r="M228" s="592">
        <f t="shared" si="66"/>
        <v>6.9237217611016174E-3</v>
      </c>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c r="AL228" s="144"/>
      <c r="AM228" s="144"/>
    </row>
    <row r="229" spans="1:39" ht="12.75" customHeight="1">
      <c r="A229" s="144"/>
      <c r="B229" s="150"/>
      <c r="C229" s="151"/>
      <c r="D229" s="151"/>
      <c r="E229" s="151"/>
      <c r="F229" s="151"/>
      <c r="G229" s="151"/>
      <c r="H229" s="151"/>
      <c r="I229" s="151"/>
      <c r="J229" s="173">
        <f>SUM(J227:J228)</f>
        <v>2623199</v>
      </c>
      <c r="K229" s="179">
        <v>155994</v>
      </c>
      <c r="L229" s="180">
        <v>11.3</v>
      </c>
      <c r="M229" s="600">
        <v>3.9</v>
      </c>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c r="AL229" s="144"/>
      <c r="AM229" s="144"/>
    </row>
    <row r="230" spans="1:39" ht="12.75" customHeight="1">
      <c r="A230" s="144"/>
      <c r="B230" s="150"/>
      <c r="C230" s="151"/>
      <c r="D230" s="151"/>
      <c r="E230" s="151"/>
      <c r="F230" s="151"/>
      <c r="G230" s="151"/>
      <c r="H230" s="151"/>
      <c r="I230" s="151"/>
      <c r="J230" s="158"/>
      <c r="K230" s="151"/>
      <c r="L230" s="151"/>
      <c r="M230" s="587"/>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c r="AI230" s="144"/>
      <c r="AJ230" s="144"/>
      <c r="AK230" s="144"/>
      <c r="AL230" s="144"/>
      <c r="AM230" s="144"/>
    </row>
    <row r="231" spans="1:39" ht="12.75" customHeight="1">
      <c r="A231" s="144"/>
      <c r="B231" s="150"/>
      <c r="C231" s="151" t="s">
        <v>346</v>
      </c>
      <c r="D231" s="151" t="s">
        <v>204</v>
      </c>
      <c r="E231" s="151" t="s">
        <v>456</v>
      </c>
      <c r="F231" s="152">
        <f>J231/H231</f>
        <v>2942385.0574712642</v>
      </c>
      <c r="G231" s="151" t="s">
        <v>457</v>
      </c>
      <c r="H231" s="151">
        <v>1.044</v>
      </c>
      <c r="I231" s="151" t="s">
        <v>475</v>
      </c>
      <c r="J231" s="152">
        <v>3071850</v>
      </c>
      <c r="K231" s="158">
        <f t="shared" ref="K231:M231" si="67">(J231/(J231+J232))*K233</f>
        <v>182727.26264964786</v>
      </c>
      <c r="L231" s="188">
        <f t="shared" si="67"/>
        <v>13.16622561068665</v>
      </c>
      <c r="M231" s="592">
        <f t="shared" si="67"/>
        <v>4.5882301370574687</v>
      </c>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c r="AI231" s="144"/>
      <c r="AJ231" s="144"/>
      <c r="AK231" s="144"/>
      <c r="AL231" s="144"/>
      <c r="AM231" s="144"/>
    </row>
    <row r="232" spans="1:39" ht="12.75" customHeight="1">
      <c r="A232" s="144"/>
      <c r="B232" s="150"/>
      <c r="C232" s="151"/>
      <c r="D232" s="151"/>
      <c r="E232" s="151" t="s">
        <v>344</v>
      </c>
      <c r="F232" s="152">
        <f>(J232/H232)*1000000</f>
        <v>56285.714285714283</v>
      </c>
      <c r="G232" s="151" t="s">
        <v>245</v>
      </c>
      <c r="H232" s="186">
        <v>140000</v>
      </c>
      <c r="I232" s="151" t="s">
        <v>345</v>
      </c>
      <c r="J232" s="152">
        <v>7880</v>
      </c>
      <c r="K232" s="158">
        <f t="shared" ref="K232:M232" si="68">(J232/(J232+J231))*K233</f>
        <v>468.73735035214122</v>
      </c>
      <c r="L232" s="188">
        <f t="shared" si="68"/>
        <v>3.377438931334889E-2</v>
      </c>
      <c r="M232" s="592">
        <f t="shared" si="68"/>
        <v>1.1769862942530672E-2</v>
      </c>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c r="AI232" s="144"/>
      <c r="AJ232" s="144"/>
      <c r="AK232" s="144"/>
      <c r="AL232" s="144"/>
      <c r="AM232" s="144"/>
    </row>
    <row r="233" spans="1:39" ht="12.75" customHeight="1">
      <c r="A233" s="144"/>
      <c r="B233" s="150"/>
      <c r="C233" s="151"/>
      <c r="D233" s="151"/>
      <c r="E233" s="151"/>
      <c r="F233" s="151"/>
      <c r="G233" s="151"/>
      <c r="H233" s="151"/>
      <c r="I233" s="151"/>
      <c r="J233" s="173">
        <f>SUM(J231:J232)</f>
        <v>3079730</v>
      </c>
      <c r="K233" s="179">
        <v>183196</v>
      </c>
      <c r="L233" s="218">
        <v>13.2</v>
      </c>
      <c r="M233" s="596">
        <v>4.5999999999999996</v>
      </c>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c r="AI233" s="144"/>
      <c r="AJ233" s="144"/>
      <c r="AK233" s="144"/>
      <c r="AL233" s="144"/>
      <c r="AM233" s="144"/>
    </row>
    <row r="234" spans="1:39" ht="12.75" customHeight="1">
      <c r="A234" s="144"/>
      <c r="B234" s="150"/>
      <c r="C234" s="151"/>
      <c r="D234" s="151"/>
      <c r="E234" s="151"/>
      <c r="F234" s="151"/>
      <c r="G234" s="151"/>
      <c r="H234" s="151"/>
      <c r="I234" s="151"/>
      <c r="J234" s="151"/>
      <c r="K234" s="151"/>
      <c r="L234" s="151"/>
      <c r="M234" s="587"/>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c r="AI234" s="144"/>
      <c r="AJ234" s="144"/>
      <c r="AK234" s="144"/>
      <c r="AL234" s="144"/>
      <c r="AM234" s="144"/>
    </row>
    <row r="235" spans="1:39" ht="12.75" customHeight="1">
      <c r="A235" s="144"/>
      <c r="B235" s="153"/>
      <c r="C235" s="155"/>
      <c r="D235" s="155"/>
      <c r="E235" s="155"/>
      <c r="F235" s="155"/>
      <c r="G235" s="155"/>
      <c r="H235" s="155"/>
      <c r="I235" s="155"/>
      <c r="J235" s="155"/>
      <c r="K235" s="155"/>
      <c r="L235" s="155"/>
      <c r="M235" s="588"/>
      <c r="N235" s="144"/>
      <c r="O235" s="144"/>
      <c r="P235" s="144"/>
      <c r="Q235" s="144"/>
      <c r="R235" s="144"/>
      <c r="S235" s="144"/>
      <c r="T235" s="144"/>
      <c r="U235" s="144"/>
      <c r="V235" s="144"/>
      <c r="W235" s="144"/>
      <c r="X235" s="144"/>
      <c r="Y235" s="144"/>
      <c r="Z235" s="144"/>
      <c r="AA235" s="144"/>
      <c r="AB235" s="144"/>
      <c r="AC235" s="144"/>
      <c r="AD235" s="144"/>
      <c r="AE235" s="144"/>
      <c r="AF235" s="144"/>
      <c r="AG235" s="144"/>
      <c r="AH235" s="144"/>
      <c r="AI235" s="144"/>
      <c r="AJ235" s="144"/>
      <c r="AK235" s="144"/>
      <c r="AL235" s="144"/>
      <c r="AM235" s="144"/>
    </row>
    <row r="236" spans="1:39" ht="12.75" customHeight="1">
      <c r="A236" s="144"/>
      <c r="B236" s="150"/>
      <c r="C236" s="151"/>
      <c r="D236" s="151"/>
      <c r="E236" s="151"/>
      <c r="F236" s="151"/>
      <c r="G236" s="151"/>
      <c r="H236" s="151"/>
      <c r="I236" s="151"/>
      <c r="J236" s="151"/>
      <c r="K236" s="151"/>
      <c r="L236" s="151"/>
      <c r="M236" s="587"/>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c r="AL236" s="144"/>
      <c r="AM236" s="144"/>
    </row>
    <row r="237" spans="1:39" ht="12.75" customHeight="1">
      <c r="A237" s="144"/>
      <c r="B237" s="150" t="s">
        <v>476</v>
      </c>
      <c r="C237" s="168" t="s">
        <v>477</v>
      </c>
      <c r="D237" s="151"/>
      <c r="E237" s="151"/>
      <c r="F237" s="151"/>
      <c r="G237" s="151"/>
      <c r="H237" s="151"/>
      <c r="I237" s="151"/>
      <c r="J237" s="151"/>
      <c r="K237" s="151"/>
      <c r="L237" s="151"/>
      <c r="M237" s="587"/>
      <c r="N237" s="144"/>
      <c r="O237" s="144"/>
      <c r="P237" s="144"/>
      <c r="Q237" s="144"/>
      <c r="R237" s="144"/>
      <c r="S237" s="144"/>
      <c r="T237" s="144"/>
      <c r="U237" s="144"/>
      <c r="V237" s="144"/>
      <c r="W237" s="144"/>
      <c r="X237" s="144"/>
      <c r="Y237" s="144"/>
      <c r="Z237" s="144"/>
      <c r="AA237" s="144"/>
      <c r="AB237" s="144"/>
      <c r="AC237" s="144"/>
      <c r="AD237" s="144"/>
      <c r="AE237" s="144"/>
      <c r="AF237" s="144"/>
      <c r="AG237" s="144"/>
      <c r="AH237" s="144"/>
      <c r="AI237" s="144"/>
      <c r="AJ237" s="144"/>
      <c r="AK237" s="144"/>
      <c r="AL237" s="144"/>
      <c r="AM237" s="144"/>
    </row>
    <row r="238" spans="1:39" ht="12.75" customHeight="1">
      <c r="A238" s="144"/>
      <c r="B238" s="150"/>
      <c r="C238" s="151" t="s">
        <v>471</v>
      </c>
      <c r="D238" s="151" t="s">
        <v>290</v>
      </c>
      <c r="E238" s="151" t="s">
        <v>461</v>
      </c>
      <c r="F238" s="152">
        <f>2.05*1000000</f>
        <v>2049999.9999999998</v>
      </c>
      <c r="G238" s="151" t="s">
        <v>457</v>
      </c>
      <c r="H238" s="186">
        <v>1042</v>
      </c>
      <c r="I238" s="151" t="s">
        <v>474</v>
      </c>
      <c r="J238" s="186">
        <f t="shared" ref="J238:J245" si="69">F238*H238/1000000</f>
        <v>2136.1</v>
      </c>
      <c r="K238" s="152">
        <v>125</v>
      </c>
      <c r="L238" s="172">
        <v>0</v>
      </c>
      <c r="M238" s="619">
        <v>0</v>
      </c>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c r="AL238" s="144"/>
      <c r="AM238" s="144"/>
    </row>
    <row r="239" spans="1:39" ht="12.75" customHeight="1">
      <c r="A239" s="144"/>
      <c r="B239" s="150"/>
      <c r="C239" s="151" t="s">
        <v>478</v>
      </c>
      <c r="D239" s="151" t="s">
        <v>292</v>
      </c>
      <c r="E239" s="151" t="s">
        <v>461</v>
      </c>
      <c r="F239" s="152">
        <f>3.66*1000000</f>
        <v>3660000</v>
      </c>
      <c r="G239" s="151" t="s">
        <v>457</v>
      </c>
      <c r="H239" s="186">
        <v>1042</v>
      </c>
      <c r="I239" s="151" t="s">
        <v>474</v>
      </c>
      <c r="J239" s="186">
        <f t="shared" si="69"/>
        <v>3813.72</v>
      </c>
      <c r="K239" s="152">
        <v>223</v>
      </c>
      <c r="L239" s="172">
        <v>0</v>
      </c>
      <c r="M239" s="619">
        <v>0</v>
      </c>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c r="AL239" s="144"/>
      <c r="AM239" s="144"/>
    </row>
    <row r="240" spans="1:39" ht="12.75" customHeight="1">
      <c r="A240" s="144"/>
      <c r="B240" s="150"/>
      <c r="C240" s="151" t="s">
        <v>479</v>
      </c>
      <c r="D240" s="151" t="s">
        <v>294</v>
      </c>
      <c r="E240" s="151" t="s">
        <v>461</v>
      </c>
      <c r="F240" s="152">
        <f>3.5*1000000</f>
        <v>3500000</v>
      </c>
      <c r="G240" s="151" t="s">
        <v>457</v>
      </c>
      <c r="H240" s="186">
        <v>1042</v>
      </c>
      <c r="I240" s="151" t="s">
        <v>474</v>
      </c>
      <c r="J240" s="186">
        <f t="shared" si="69"/>
        <v>3647</v>
      </c>
      <c r="K240" s="152">
        <v>213</v>
      </c>
      <c r="L240" s="172">
        <v>0</v>
      </c>
      <c r="M240" s="619">
        <v>0</v>
      </c>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4"/>
    </row>
    <row r="241" spans="1:39" ht="12.75" customHeight="1">
      <c r="A241" s="144"/>
      <c r="B241" s="150"/>
      <c r="C241" s="151" t="s">
        <v>480</v>
      </c>
      <c r="D241" s="151" t="s">
        <v>296</v>
      </c>
      <c r="E241" s="151" t="s">
        <v>461</v>
      </c>
      <c r="F241" s="152">
        <f>3.65*1000000</f>
        <v>3650000</v>
      </c>
      <c r="G241" s="151" t="s">
        <v>457</v>
      </c>
      <c r="H241" s="186">
        <v>1042</v>
      </c>
      <c r="I241" s="151" t="s">
        <v>474</v>
      </c>
      <c r="J241" s="186">
        <f t="shared" si="69"/>
        <v>3803.3</v>
      </c>
      <c r="K241" s="152">
        <v>222</v>
      </c>
      <c r="L241" s="172">
        <v>0</v>
      </c>
      <c r="M241" s="619">
        <v>0</v>
      </c>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4"/>
    </row>
    <row r="242" spans="1:39" ht="12.75" customHeight="1">
      <c r="A242" s="144"/>
      <c r="B242" s="150"/>
      <c r="C242" s="151" t="s">
        <v>481</v>
      </c>
      <c r="D242" s="151" t="s">
        <v>482</v>
      </c>
      <c r="E242" s="151" t="s">
        <v>461</v>
      </c>
      <c r="F242" s="152">
        <f>2.2*1000000</f>
        <v>2200000</v>
      </c>
      <c r="G242" s="151" t="s">
        <v>457</v>
      </c>
      <c r="H242" s="186">
        <v>1042</v>
      </c>
      <c r="I242" s="151" t="s">
        <v>474</v>
      </c>
      <c r="J242" s="186">
        <f t="shared" si="69"/>
        <v>2292.4</v>
      </c>
      <c r="K242" s="152">
        <v>134</v>
      </c>
      <c r="L242" s="184">
        <v>0</v>
      </c>
      <c r="M242" s="619">
        <v>0</v>
      </c>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4"/>
    </row>
    <row r="243" spans="1:39" ht="12.75" customHeight="1">
      <c r="A243" s="144"/>
      <c r="B243" s="150"/>
      <c r="C243" s="151" t="s">
        <v>483</v>
      </c>
      <c r="D243" s="151" t="s">
        <v>484</v>
      </c>
      <c r="E243" s="151" t="s">
        <v>461</v>
      </c>
      <c r="F243" s="152">
        <f>3.31*1000000</f>
        <v>3310000</v>
      </c>
      <c r="G243" s="151" t="s">
        <v>457</v>
      </c>
      <c r="H243" s="186">
        <v>1042</v>
      </c>
      <c r="I243" s="151" t="s">
        <v>474</v>
      </c>
      <c r="J243" s="186">
        <f t="shared" si="69"/>
        <v>3449.02</v>
      </c>
      <c r="K243" s="152">
        <v>202</v>
      </c>
      <c r="L243" s="172">
        <v>0</v>
      </c>
      <c r="M243" s="619">
        <v>0</v>
      </c>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4"/>
    </row>
    <row r="244" spans="1:39" ht="12.75" customHeight="1">
      <c r="A244" s="144"/>
      <c r="B244" s="150"/>
      <c r="C244" s="151" t="s">
        <v>485</v>
      </c>
      <c r="D244" s="151" t="s">
        <v>486</v>
      </c>
      <c r="E244" s="151" t="s">
        <v>461</v>
      </c>
      <c r="F244" s="152">
        <f>3.3*1000000</f>
        <v>3300000</v>
      </c>
      <c r="G244" s="151" t="s">
        <v>457</v>
      </c>
      <c r="H244" s="186">
        <v>1042</v>
      </c>
      <c r="I244" s="151" t="s">
        <v>474</v>
      </c>
      <c r="J244" s="186">
        <f t="shared" si="69"/>
        <v>3438.6</v>
      </c>
      <c r="K244" s="152">
        <v>201</v>
      </c>
      <c r="L244" s="172">
        <v>0</v>
      </c>
      <c r="M244" s="619">
        <v>0</v>
      </c>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4"/>
    </row>
    <row r="245" spans="1:39" ht="12.75" customHeight="1">
      <c r="A245" s="144"/>
      <c r="B245" s="150"/>
      <c r="C245" s="151" t="s">
        <v>487</v>
      </c>
      <c r="D245" s="151" t="s">
        <v>488</v>
      </c>
      <c r="E245" s="151" t="s">
        <v>461</v>
      </c>
      <c r="F245" s="152">
        <f>3.85*1000000</f>
        <v>3850000</v>
      </c>
      <c r="G245" s="151" t="s">
        <v>457</v>
      </c>
      <c r="H245" s="186">
        <v>1042</v>
      </c>
      <c r="I245" s="151" t="s">
        <v>474</v>
      </c>
      <c r="J245" s="186">
        <f t="shared" si="69"/>
        <v>4011.7</v>
      </c>
      <c r="K245" s="152">
        <v>234</v>
      </c>
      <c r="L245" s="172">
        <v>0</v>
      </c>
      <c r="M245" s="619">
        <v>0</v>
      </c>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4"/>
    </row>
    <row r="246" spans="1:39" ht="12.75" customHeight="1">
      <c r="A246" s="144"/>
      <c r="B246" s="150"/>
      <c r="C246" s="151"/>
      <c r="D246" s="151"/>
      <c r="E246" s="151"/>
      <c r="F246" s="151"/>
      <c r="G246" s="151"/>
      <c r="H246" s="186"/>
      <c r="I246" s="151"/>
      <c r="J246" s="151"/>
      <c r="K246" s="158"/>
      <c r="L246" s="151"/>
      <c r="M246" s="587"/>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row>
    <row r="247" spans="1:39" ht="12.75" customHeight="1">
      <c r="A247" s="144"/>
      <c r="B247" s="153"/>
      <c r="C247" s="155"/>
      <c r="D247" s="155"/>
      <c r="E247" s="155"/>
      <c r="F247" s="155"/>
      <c r="G247" s="155"/>
      <c r="H247" s="155"/>
      <c r="I247" s="155"/>
      <c r="J247" s="155"/>
      <c r="K247" s="155"/>
      <c r="L247" s="155"/>
      <c r="M247" s="588"/>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4"/>
    </row>
    <row r="248" spans="1:39" ht="12.75" customHeight="1">
      <c r="A248" s="144"/>
      <c r="B248" s="150"/>
      <c r="C248" s="151"/>
      <c r="D248" s="151"/>
      <c r="E248" s="151"/>
      <c r="F248" s="151"/>
      <c r="G248" s="151"/>
      <c r="H248" s="151"/>
      <c r="I248" s="151"/>
      <c r="J248" s="151"/>
      <c r="K248" s="151"/>
      <c r="L248" s="151"/>
      <c r="M248" s="587"/>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c r="AL248" s="144"/>
      <c r="AM248" s="144"/>
    </row>
    <row r="249" spans="1:39" ht="12.75" customHeight="1">
      <c r="A249" s="144"/>
      <c r="B249" s="150" t="s">
        <v>347</v>
      </c>
      <c r="C249" s="168" t="s">
        <v>348</v>
      </c>
      <c r="D249" s="151"/>
      <c r="E249" s="151"/>
      <c r="F249" s="151"/>
      <c r="G249" s="151"/>
      <c r="H249" s="151"/>
      <c r="I249" s="151"/>
      <c r="J249" s="151"/>
      <c r="K249" s="151"/>
      <c r="L249" s="151"/>
      <c r="M249" s="587"/>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4"/>
    </row>
    <row r="250" spans="1:39" ht="12.75" customHeight="1">
      <c r="A250" s="144"/>
      <c r="B250" s="150"/>
      <c r="C250" s="151" t="s">
        <v>349</v>
      </c>
      <c r="D250" s="151" t="s">
        <v>290</v>
      </c>
      <c r="E250" s="151" t="s">
        <v>306</v>
      </c>
      <c r="F250" s="152">
        <f>15*1000</f>
        <v>15000</v>
      </c>
      <c r="G250" s="151" t="s">
        <v>245</v>
      </c>
      <c r="H250" s="151">
        <v>139</v>
      </c>
      <c r="I250" s="151" t="s">
        <v>350</v>
      </c>
      <c r="J250" s="151">
        <f t="shared" ref="J250:J253" si="70">F250*H250/1000</f>
        <v>2085</v>
      </c>
      <c r="K250" s="152">
        <v>166</v>
      </c>
      <c r="L250" s="220">
        <v>0.01</v>
      </c>
      <c r="M250" s="626">
        <v>0</v>
      </c>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c r="AL250" s="144"/>
      <c r="AM250" s="144"/>
    </row>
    <row r="251" spans="1:39" ht="12.75" customHeight="1">
      <c r="A251" s="144"/>
      <c r="B251" s="150"/>
      <c r="C251" s="151" t="s">
        <v>351</v>
      </c>
      <c r="D251" s="151" t="s">
        <v>292</v>
      </c>
      <c r="E251" s="151" t="s">
        <v>306</v>
      </c>
      <c r="F251" s="152">
        <f>48*1000</f>
        <v>48000</v>
      </c>
      <c r="G251" s="151" t="s">
        <v>245</v>
      </c>
      <c r="H251" s="151">
        <v>139</v>
      </c>
      <c r="I251" s="151" t="s">
        <v>350</v>
      </c>
      <c r="J251" s="151">
        <f t="shared" si="70"/>
        <v>6672</v>
      </c>
      <c r="K251" s="152">
        <v>540</v>
      </c>
      <c r="L251" s="220">
        <v>0.02</v>
      </c>
      <c r="M251" s="626">
        <v>0</v>
      </c>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c r="AL251" s="144"/>
      <c r="AM251" s="144"/>
    </row>
    <row r="252" spans="1:39" ht="12.75" customHeight="1">
      <c r="A252" s="144"/>
      <c r="B252" s="150"/>
      <c r="C252" s="151" t="s">
        <v>352</v>
      </c>
      <c r="D252" s="151" t="s">
        <v>294</v>
      </c>
      <c r="E252" s="151" t="s">
        <v>306</v>
      </c>
      <c r="F252" s="152">
        <f>53*1000</f>
        <v>53000</v>
      </c>
      <c r="G252" s="151" t="s">
        <v>245</v>
      </c>
      <c r="H252" s="151">
        <v>139</v>
      </c>
      <c r="I252" s="151" t="s">
        <v>350</v>
      </c>
      <c r="J252" s="151">
        <f t="shared" si="70"/>
        <v>7367</v>
      </c>
      <c r="K252" s="152">
        <v>601</v>
      </c>
      <c r="L252" s="220">
        <v>0.02</v>
      </c>
      <c r="M252" s="626">
        <v>0</v>
      </c>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row>
    <row r="253" spans="1:39" ht="12.75" customHeight="1">
      <c r="A253" s="144"/>
      <c r="B253" s="150"/>
      <c r="C253" s="151" t="s">
        <v>353</v>
      </c>
      <c r="D253" s="151" t="s">
        <v>296</v>
      </c>
      <c r="E253" s="151" t="s">
        <v>306</v>
      </c>
      <c r="F253" s="152">
        <f>52*1000</f>
        <v>52000</v>
      </c>
      <c r="G253" s="151" t="s">
        <v>245</v>
      </c>
      <c r="H253" s="151">
        <v>139</v>
      </c>
      <c r="I253" s="151" t="s">
        <v>350</v>
      </c>
      <c r="J253" s="151">
        <f t="shared" si="70"/>
        <v>7228</v>
      </c>
      <c r="K253" s="152">
        <v>592</v>
      </c>
      <c r="L253" s="220">
        <v>0.02</v>
      </c>
      <c r="M253" s="626">
        <v>0</v>
      </c>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row>
    <row r="254" spans="1:39" ht="12.75" customHeight="1">
      <c r="A254" s="144"/>
      <c r="B254" s="150"/>
      <c r="C254" s="151"/>
      <c r="D254" s="151"/>
      <c r="E254" s="151"/>
      <c r="F254" s="151"/>
      <c r="G254" s="151"/>
      <c r="H254" s="151"/>
      <c r="I254" s="151"/>
      <c r="J254" s="151"/>
      <c r="K254" s="158"/>
      <c r="L254" s="151"/>
      <c r="M254" s="587"/>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row>
    <row r="255" spans="1:39" ht="12.75" customHeight="1">
      <c r="A255" s="144"/>
      <c r="B255" s="153"/>
      <c r="C255" s="155"/>
      <c r="D255" s="155"/>
      <c r="E255" s="155"/>
      <c r="F255" s="155"/>
      <c r="G255" s="155"/>
      <c r="H255" s="155"/>
      <c r="I255" s="155"/>
      <c r="J255" s="155"/>
      <c r="K255" s="155"/>
      <c r="L255" s="155"/>
      <c r="M255" s="588"/>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row>
    <row r="256" spans="1:39" ht="12.75" customHeight="1">
      <c r="A256" s="144"/>
      <c r="B256" s="150"/>
      <c r="C256" s="151"/>
      <c r="D256" s="151"/>
      <c r="E256" s="151"/>
      <c r="F256" s="151"/>
      <c r="G256" s="151"/>
      <c r="H256" s="151"/>
      <c r="I256" s="151"/>
      <c r="J256" s="151"/>
      <c r="K256" s="151"/>
      <c r="L256" s="151"/>
      <c r="M256" s="587"/>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row>
    <row r="257" spans="1:39" ht="12.75" customHeight="1">
      <c r="A257" s="144"/>
      <c r="B257" s="150" t="s">
        <v>489</v>
      </c>
      <c r="C257" s="168" t="s">
        <v>490</v>
      </c>
      <c r="D257" s="151"/>
      <c r="E257" s="151"/>
      <c r="F257" s="151"/>
      <c r="G257" s="151"/>
      <c r="H257" s="151"/>
      <c r="I257" s="151"/>
      <c r="J257" s="151"/>
      <c r="K257" s="151"/>
      <c r="L257" s="151"/>
      <c r="M257" s="587"/>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row>
    <row r="258" spans="1:39" ht="12.75" customHeight="1">
      <c r="A258" s="144"/>
      <c r="B258" s="150"/>
      <c r="C258" s="151" t="s">
        <v>491</v>
      </c>
      <c r="D258" s="151" t="s">
        <v>492</v>
      </c>
      <c r="E258" s="151" t="s">
        <v>456</v>
      </c>
      <c r="F258" s="152">
        <f t="shared" ref="F258:F261" si="71">(J258*1000)/H258</f>
        <v>857635996.15014446</v>
      </c>
      <c r="G258" s="151" t="s">
        <v>457</v>
      </c>
      <c r="H258" s="228">
        <v>1.0389999999999999</v>
      </c>
      <c r="I258" s="151" t="s">
        <v>475</v>
      </c>
      <c r="J258" s="152">
        <v>891083.8</v>
      </c>
      <c r="K258" s="220">
        <v>47869.4</v>
      </c>
      <c r="L258" s="220">
        <v>0.81</v>
      </c>
      <c r="M258" s="627">
        <v>0.08</v>
      </c>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row>
    <row r="259" spans="1:39" ht="12.75" customHeight="1">
      <c r="A259" s="144"/>
      <c r="B259" s="150"/>
      <c r="C259" s="151" t="s">
        <v>493</v>
      </c>
      <c r="D259" s="151" t="s">
        <v>494</v>
      </c>
      <c r="E259" s="151" t="s">
        <v>456</v>
      </c>
      <c r="F259" s="152">
        <f t="shared" si="71"/>
        <v>700504331.08758426</v>
      </c>
      <c r="G259" s="151" t="s">
        <v>457</v>
      </c>
      <c r="H259" s="228">
        <v>1.0389999999999999</v>
      </c>
      <c r="I259" s="151" t="s">
        <v>475</v>
      </c>
      <c r="J259" s="152">
        <v>727824</v>
      </c>
      <c r="K259" s="220">
        <v>40398.400000000001</v>
      </c>
      <c r="L259" s="220">
        <v>0.68</v>
      </c>
      <c r="M259" s="627">
        <v>7.0000000000000007E-2</v>
      </c>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row>
    <row r="260" spans="1:39" ht="12.75" customHeight="1">
      <c r="A260" s="144"/>
      <c r="B260" s="150"/>
      <c r="C260" s="151" t="s">
        <v>495</v>
      </c>
      <c r="D260" s="151" t="s">
        <v>496</v>
      </c>
      <c r="E260" s="151" t="s">
        <v>456</v>
      </c>
      <c r="F260" s="152">
        <f t="shared" si="71"/>
        <v>1936556304.1385949</v>
      </c>
      <c r="G260" s="151" t="s">
        <v>457</v>
      </c>
      <c r="H260" s="228">
        <v>1.0389999999999999</v>
      </c>
      <c r="I260" s="151" t="s">
        <v>475</v>
      </c>
      <c r="J260" s="152">
        <v>2012082</v>
      </c>
      <c r="K260" s="220">
        <v>111845.6</v>
      </c>
      <c r="L260" s="220">
        <v>1.88</v>
      </c>
      <c r="M260" s="627">
        <v>0.19</v>
      </c>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row>
    <row r="261" spans="1:39" ht="12.75" customHeight="1">
      <c r="A261" s="144"/>
      <c r="B261" s="150"/>
      <c r="C261" s="151" t="s">
        <v>497</v>
      </c>
      <c r="D261" s="151" t="s">
        <v>498</v>
      </c>
      <c r="E261" s="151" t="s">
        <v>456</v>
      </c>
      <c r="F261" s="152">
        <f t="shared" si="71"/>
        <v>1661330125.1203082</v>
      </c>
      <c r="G261" s="151" t="s">
        <v>457</v>
      </c>
      <c r="H261" s="228">
        <v>1.0389999999999999</v>
      </c>
      <c r="I261" s="151" t="s">
        <v>475</v>
      </c>
      <c r="J261" s="152">
        <v>1726122</v>
      </c>
      <c r="K261" s="220">
        <v>96395.9</v>
      </c>
      <c r="L261" s="220">
        <v>1.62</v>
      </c>
      <c r="M261" s="627">
        <v>0.16</v>
      </c>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row>
    <row r="262" spans="1:39" ht="12.75" customHeight="1">
      <c r="A262" s="144"/>
      <c r="B262" s="150"/>
      <c r="C262" s="151" t="s">
        <v>499</v>
      </c>
      <c r="D262" s="151" t="s">
        <v>500</v>
      </c>
      <c r="E262" s="151" t="s">
        <v>456</v>
      </c>
      <c r="F262" s="152">
        <v>6716790</v>
      </c>
      <c r="G262" s="151" t="s">
        <v>457</v>
      </c>
      <c r="H262" s="228">
        <v>1.0389999999999999</v>
      </c>
      <c r="I262" s="151" t="s">
        <v>475</v>
      </c>
      <c r="J262" s="152">
        <f>(F262*H262)/1000</f>
        <v>6978.7448099999992</v>
      </c>
      <c r="K262" s="220">
        <v>403</v>
      </c>
      <c r="L262" s="220">
        <v>7.0000000000000001E-3</v>
      </c>
      <c r="M262" s="627">
        <v>7.0000000000000001E-3</v>
      </c>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row>
    <row r="263" spans="1:39" ht="12.75" customHeight="1">
      <c r="A263" s="144"/>
      <c r="B263" s="150"/>
      <c r="C263" s="151"/>
      <c r="D263" s="151"/>
      <c r="E263" s="151"/>
      <c r="F263" s="151"/>
      <c r="G263" s="151"/>
      <c r="H263" s="151"/>
      <c r="I263" s="151"/>
      <c r="J263" s="151"/>
      <c r="K263" s="151"/>
      <c r="L263" s="151"/>
      <c r="M263" s="587"/>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row>
    <row r="264" spans="1:39" ht="12.75" customHeight="1">
      <c r="A264" s="144"/>
      <c r="B264" s="153"/>
      <c r="C264" s="155"/>
      <c r="D264" s="155"/>
      <c r="E264" s="155"/>
      <c r="F264" s="155"/>
      <c r="G264" s="155"/>
      <c r="H264" s="155"/>
      <c r="I264" s="155"/>
      <c r="J264" s="155"/>
      <c r="K264" s="155"/>
      <c r="L264" s="155"/>
      <c r="M264" s="588"/>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row>
    <row r="265" spans="1:39" ht="12.75" customHeight="1">
      <c r="A265" s="144"/>
      <c r="B265" s="150"/>
      <c r="C265" s="151"/>
      <c r="D265" s="151"/>
      <c r="E265" s="151"/>
      <c r="F265" s="151"/>
      <c r="G265" s="151"/>
      <c r="H265" s="151"/>
      <c r="I265" s="151"/>
      <c r="J265" s="151"/>
      <c r="K265" s="151"/>
      <c r="L265" s="151"/>
      <c r="M265" s="587"/>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row>
    <row r="266" spans="1:39" ht="12.75" customHeight="1">
      <c r="A266" s="144"/>
      <c r="B266" s="150" t="s">
        <v>354</v>
      </c>
      <c r="C266" s="177" t="s">
        <v>355</v>
      </c>
      <c r="D266" s="151"/>
      <c r="E266" s="151"/>
      <c r="F266" s="151"/>
      <c r="G266" s="151"/>
      <c r="H266" s="151"/>
      <c r="I266" s="151"/>
      <c r="J266" s="151"/>
      <c r="K266" s="151"/>
      <c r="L266" s="151"/>
      <c r="M266" s="587"/>
      <c r="N266" s="144"/>
      <c r="O266" s="144" t="s">
        <v>668</v>
      </c>
      <c r="P266" s="142"/>
      <c r="Q266" s="142"/>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row>
    <row r="267" spans="1:39" ht="12.75" customHeight="1">
      <c r="A267" s="144"/>
      <c r="B267" s="150"/>
      <c r="C267" s="151" t="s">
        <v>356</v>
      </c>
      <c r="D267" s="151" t="s">
        <v>357</v>
      </c>
      <c r="E267" s="151" t="s">
        <v>306</v>
      </c>
      <c r="F267" s="152">
        <v>2513</v>
      </c>
      <c r="G267" s="151" t="s">
        <v>245</v>
      </c>
      <c r="H267" s="151">
        <v>137</v>
      </c>
      <c r="I267" s="151" t="s">
        <v>350</v>
      </c>
      <c r="J267" s="167">
        <f t="shared" ref="J267:J276" si="72">F267*H267/1000</f>
        <v>344.28100000000001</v>
      </c>
      <c r="K267" s="172">
        <v>28</v>
      </c>
      <c r="L267" s="172">
        <v>1.4E-3</v>
      </c>
      <c r="M267" s="628">
        <v>1E-4</v>
      </c>
      <c r="N267" s="144"/>
      <c r="O267" s="142"/>
      <c r="P267" s="142"/>
      <c r="Q267" s="142"/>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row>
    <row r="268" spans="1:39" ht="12.75" customHeight="1">
      <c r="A268" s="144"/>
      <c r="B268" s="150"/>
      <c r="C268" s="151" t="s">
        <v>358</v>
      </c>
      <c r="D268" s="151" t="s">
        <v>359</v>
      </c>
      <c r="E268" s="151" t="s">
        <v>306</v>
      </c>
      <c r="F268" s="152">
        <v>1970</v>
      </c>
      <c r="G268" s="151" t="s">
        <v>245</v>
      </c>
      <c r="H268" s="151">
        <v>137</v>
      </c>
      <c r="I268" s="151" t="s">
        <v>350</v>
      </c>
      <c r="J268" s="167">
        <f t="shared" si="72"/>
        <v>269.89</v>
      </c>
      <c r="K268" s="172">
        <v>22</v>
      </c>
      <c r="L268" s="172">
        <v>1.1000000000000001E-3</v>
      </c>
      <c r="M268" s="628">
        <v>1E-4</v>
      </c>
      <c r="N268" s="144"/>
      <c r="O268" s="142" t="s">
        <v>669</v>
      </c>
      <c r="P268" s="142"/>
      <c r="Q268" s="142"/>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row>
    <row r="269" spans="1:39" ht="12.75" customHeight="1">
      <c r="A269" s="144"/>
      <c r="B269" s="150"/>
      <c r="C269" s="151" t="s">
        <v>360</v>
      </c>
      <c r="D269" s="151" t="s">
        <v>361</v>
      </c>
      <c r="E269" s="151" t="s">
        <v>306</v>
      </c>
      <c r="F269" s="152">
        <v>4854</v>
      </c>
      <c r="G269" s="151" t="s">
        <v>245</v>
      </c>
      <c r="H269" s="151">
        <v>137</v>
      </c>
      <c r="I269" s="151" t="s">
        <v>350</v>
      </c>
      <c r="J269" s="167">
        <f t="shared" si="72"/>
        <v>664.99800000000005</v>
      </c>
      <c r="K269" s="172">
        <v>55</v>
      </c>
      <c r="L269" s="172">
        <v>2.7000000000000001E-3</v>
      </c>
      <c r="M269" s="628">
        <v>2.9999999999999997E-4</v>
      </c>
      <c r="N269" s="144"/>
      <c r="O269" s="142"/>
      <c r="P269" s="142"/>
      <c r="Q269" s="142"/>
      <c r="R269" s="144"/>
      <c r="S269" s="144"/>
      <c r="T269" s="144"/>
      <c r="U269" s="144"/>
      <c r="V269" s="144"/>
      <c r="W269" s="144"/>
      <c r="X269" s="144"/>
      <c r="Y269" s="144"/>
      <c r="Z269" s="144"/>
      <c r="AA269" s="144"/>
      <c r="AB269" s="144"/>
      <c r="AC269" s="144"/>
      <c r="AD269" s="144"/>
      <c r="AE269" s="144"/>
      <c r="AF269" s="144"/>
      <c r="AG269" s="144"/>
      <c r="AH269" s="144"/>
      <c r="AI269" s="144"/>
      <c r="AJ269" s="144"/>
      <c r="AK269" s="144"/>
      <c r="AL269" s="144"/>
      <c r="AM269" s="144"/>
    </row>
    <row r="270" spans="1:39" ht="12.75" customHeight="1">
      <c r="A270" s="144"/>
      <c r="B270" s="150"/>
      <c r="C270" s="151" t="s">
        <v>362</v>
      </c>
      <c r="D270" s="151" t="s">
        <v>315</v>
      </c>
      <c r="E270" s="151" t="s">
        <v>306</v>
      </c>
      <c r="F270" s="152">
        <v>4066</v>
      </c>
      <c r="G270" s="151" t="s">
        <v>245</v>
      </c>
      <c r="H270" s="151">
        <v>137</v>
      </c>
      <c r="I270" s="151" t="s">
        <v>350</v>
      </c>
      <c r="J270" s="167">
        <f t="shared" si="72"/>
        <v>557.04200000000003</v>
      </c>
      <c r="K270" s="172">
        <v>46</v>
      </c>
      <c r="L270" s="172">
        <v>2.3E-3</v>
      </c>
      <c r="M270" s="628">
        <v>2.0000000000000001E-4</v>
      </c>
      <c r="N270" s="144"/>
      <c r="O270" s="142" t="s">
        <v>670</v>
      </c>
      <c r="P270" s="142" t="s">
        <v>671</v>
      </c>
      <c r="Q270" s="142"/>
      <c r="R270" s="144"/>
      <c r="S270" s="144"/>
      <c r="T270" s="144"/>
      <c r="U270" s="144"/>
      <c r="V270" s="144"/>
      <c r="W270" s="144"/>
      <c r="X270" s="144"/>
      <c r="Y270" s="144"/>
      <c r="Z270" s="144"/>
      <c r="AA270" s="144"/>
      <c r="AB270" s="144"/>
      <c r="AC270" s="144"/>
      <c r="AD270" s="144"/>
      <c r="AE270" s="144"/>
      <c r="AF270" s="144"/>
      <c r="AG270" s="144"/>
      <c r="AH270" s="144"/>
      <c r="AI270" s="144"/>
      <c r="AJ270" s="144"/>
      <c r="AK270" s="144"/>
      <c r="AL270" s="144"/>
      <c r="AM270" s="144"/>
    </row>
    <row r="271" spans="1:39" ht="12.75" customHeight="1">
      <c r="A271" s="144"/>
      <c r="B271" s="150"/>
      <c r="C271" s="151" t="s">
        <v>363</v>
      </c>
      <c r="D271" s="151" t="s">
        <v>364</v>
      </c>
      <c r="E271" s="151" t="s">
        <v>306</v>
      </c>
      <c r="F271" s="152">
        <v>2530</v>
      </c>
      <c r="G271" s="151" t="s">
        <v>245</v>
      </c>
      <c r="H271" s="151">
        <v>137</v>
      </c>
      <c r="I271" s="151" t="s">
        <v>350</v>
      </c>
      <c r="J271" s="167">
        <f t="shared" si="72"/>
        <v>346.61</v>
      </c>
      <c r="K271" s="172">
        <v>29</v>
      </c>
      <c r="L271" s="172">
        <v>1.4E-3</v>
      </c>
      <c r="M271" s="628">
        <v>1E-4</v>
      </c>
      <c r="N271" s="144"/>
      <c r="O271" s="142" t="s">
        <v>672</v>
      </c>
      <c r="P271" s="142" t="s">
        <v>673</v>
      </c>
      <c r="Q271" s="142"/>
      <c r="R271" s="144"/>
      <c r="S271" s="144"/>
      <c r="T271" s="144"/>
      <c r="U271" s="144"/>
      <c r="V271" s="144"/>
      <c r="W271" s="144"/>
      <c r="X271" s="144"/>
      <c r="Y271" s="144"/>
      <c r="Z271" s="144"/>
      <c r="AA271" s="144"/>
      <c r="AB271" s="144"/>
      <c r="AC271" s="144"/>
      <c r="AD271" s="144"/>
      <c r="AE271" s="144"/>
      <c r="AF271" s="144"/>
      <c r="AG271" s="144"/>
      <c r="AH271" s="144"/>
      <c r="AI271" s="144"/>
      <c r="AJ271" s="144"/>
      <c r="AK271" s="144"/>
      <c r="AL271" s="144"/>
      <c r="AM271" s="144"/>
    </row>
    <row r="272" spans="1:39" ht="12.75" customHeight="1">
      <c r="A272" s="144"/>
      <c r="B272" s="150"/>
      <c r="C272" s="151" t="s">
        <v>365</v>
      </c>
      <c r="D272" s="151" t="s">
        <v>366</v>
      </c>
      <c r="E272" s="151" t="s">
        <v>306</v>
      </c>
      <c r="F272" s="152">
        <v>6889</v>
      </c>
      <c r="G272" s="151" t="s">
        <v>245</v>
      </c>
      <c r="H272" s="151">
        <v>137</v>
      </c>
      <c r="I272" s="151" t="s">
        <v>350</v>
      </c>
      <c r="J272" s="167">
        <f t="shared" si="72"/>
        <v>943.79300000000001</v>
      </c>
      <c r="K272" s="172">
        <v>78</v>
      </c>
      <c r="L272" s="172">
        <v>3.8E-3</v>
      </c>
      <c r="M272" s="628">
        <v>4.0000000000000002E-4</v>
      </c>
      <c r="N272" s="144"/>
      <c r="O272" s="142" t="s">
        <v>674</v>
      </c>
      <c r="P272" s="142" t="s">
        <v>675</v>
      </c>
      <c r="Q272" s="142"/>
      <c r="R272" s="144"/>
      <c r="S272" s="144"/>
      <c r="T272" s="144"/>
      <c r="U272" s="144"/>
      <c r="V272" s="144"/>
      <c r="W272" s="144"/>
      <c r="X272" s="144"/>
      <c r="Y272" s="144"/>
      <c r="Z272" s="144"/>
      <c r="AA272" s="144"/>
      <c r="AB272" s="144"/>
      <c r="AC272" s="144"/>
      <c r="AD272" s="144"/>
      <c r="AE272" s="144"/>
      <c r="AF272" s="144"/>
      <c r="AG272" s="144"/>
      <c r="AH272" s="144"/>
      <c r="AI272" s="144"/>
      <c r="AJ272" s="144"/>
      <c r="AK272" s="144"/>
      <c r="AL272" s="144"/>
      <c r="AM272" s="144"/>
    </row>
    <row r="273" spans="1:39" ht="12.75" customHeight="1">
      <c r="A273" s="144"/>
      <c r="B273" s="150"/>
      <c r="C273" s="151" t="s">
        <v>367</v>
      </c>
      <c r="D273" s="151" t="s">
        <v>368</v>
      </c>
      <c r="E273" s="151" t="s">
        <v>306</v>
      </c>
      <c r="F273" s="152">
        <v>8151</v>
      </c>
      <c r="G273" s="151" t="s">
        <v>245</v>
      </c>
      <c r="H273" s="151">
        <v>137</v>
      </c>
      <c r="I273" s="151" t="s">
        <v>350</v>
      </c>
      <c r="J273" s="167">
        <f t="shared" si="72"/>
        <v>1116.6869999999999</v>
      </c>
      <c r="K273" s="172">
        <v>92</v>
      </c>
      <c r="L273" s="172">
        <v>4.4999999999999997E-3</v>
      </c>
      <c r="M273" s="628">
        <v>4.0000000000000002E-4</v>
      </c>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c r="AL273" s="144"/>
      <c r="AM273" s="144"/>
    </row>
    <row r="274" spans="1:39" ht="12.75" customHeight="1">
      <c r="A274" s="144"/>
      <c r="B274" s="150"/>
      <c r="C274" s="151" t="s">
        <v>369</v>
      </c>
      <c r="D274" s="151" t="s">
        <v>370</v>
      </c>
      <c r="E274" s="151" t="s">
        <v>306</v>
      </c>
      <c r="F274" s="152">
        <v>12285</v>
      </c>
      <c r="G274" s="151" t="s">
        <v>245</v>
      </c>
      <c r="H274" s="151">
        <v>137</v>
      </c>
      <c r="I274" s="151" t="s">
        <v>350</v>
      </c>
      <c r="J274" s="167">
        <f t="shared" si="72"/>
        <v>1683.0450000000001</v>
      </c>
      <c r="K274" s="172">
        <v>139</v>
      </c>
      <c r="L274" s="172">
        <v>6.7999999999999996E-3</v>
      </c>
      <c r="M274" s="628">
        <v>6.9999999999999999E-4</v>
      </c>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4"/>
    </row>
    <row r="275" spans="1:39" ht="12.75" customHeight="1">
      <c r="A275" s="144"/>
      <c r="B275" s="150"/>
      <c r="C275" s="151" t="s">
        <v>371</v>
      </c>
      <c r="D275" s="151" t="s">
        <v>372</v>
      </c>
      <c r="E275" s="151" t="s">
        <v>306</v>
      </c>
      <c r="F275" s="152">
        <v>27170</v>
      </c>
      <c r="G275" s="151" t="s">
        <v>245</v>
      </c>
      <c r="H275" s="151">
        <v>137</v>
      </c>
      <c r="I275" s="151" t="s">
        <v>350</v>
      </c>
      <c r="J275" s="167">
        <f t="shared" si="72"/>
        <v>3722.29</v>
      </c>
      <c r="K275" s="172">
        <v>307</v>
      </c>
      <c r="L275" s="172">
        <v>1.5100000000000001E-2</v>
      </c>
      <c r="M275" s="628">
        <v>1.5E-3</v>
      </c>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4"/>
    </row>
    <row r="276" spans="1:39" ht="12.75" customHeight="1">
      <c r="A276" s="144"/>
      <c r="B276" s="150"/>
      <c r="C276" s="151" t="s">
        <v>373</v>
      </c>
      <c r="D276" s="151" t="s">
        <v>374</v>
      </c>
      <c r="E276" s="151" t="s">
        <v>306</v>
      </c>
      <c r="F276" s="152">
        <v>28504</v>
      </c>
      <c r="G276" s="151" t="s">
        <v>245</v>
      </c>
      <c r="H276" s="151">
        <v>137</v>
      </c>
      <c r="I276" s="151" t="s">
        <v>350</v>
      </c>
      <c r="J276" s="167">
        <f t="shared" si="72"/>
        <v>3905.0479999999998</v>
      </c>
      <c r="K276" s="172">
        <v>322</v>
      </c>
      <c r="L276" s="172">
        <v>1.5800000000000002E-2</v>
      </c>
      <c r="M276" s="628">
        <v>1.6000000000000001E-3</v>
      </c>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c r="AL276" s="144"/>
      <c r="AM276" s="144"/>
    </row>
    <row r="277" spans="1:39" ht="12.75" customHeight="1">
      <c r="A277" s="144"/>
      <c r="B277" s="150"/>
      <c r="C277" s="151"/>
      <c r="D277" s="151"/>
      <c r="E277" s="151"/>
      <c r="F277" s="151"/>
      <c r="G277" s="151"/>
      <c r="H277" s="151"/>
      <c r="I277" s="151"/>
      <c r="J277" s="151"/>
      <c r="K277" s="151"/>
      <c r="L277" s="151"/>
      <c r="M277" s="587"/>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4"/>
    </row>
    <row r="278" spans="1:39" ht="12.75" customHeight="1">
      <c r="A278" s="144"/>
      <c r="B278" s="153"/>
      <c r="C278" s="155"/>
      <c r="D278" s="155"/>
      <c r="E278" s="155"/>
      <c r="F278" s="155"/>
      <c r="G278" s="155"/>
      <c r="H278" s="155"/>
      <c r="I278" s="155"/>
      <c r="J278" s="155"/>
      <c r="K278" s="155"/>
      <c r="L278" s="155"/>
      <c r="M278" s="588"/>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c r="AL278" s="144"/>
      <c r="AM278" s="144"/>
    </row>
    <row r="279" spans="1:39" ht="12.75" customHeight="1">
      <c r="A279" s="144"/>
      <c r="B279" s="150"/>
      <c r="C279" s="151"/>
      <c r="D279" s="151"/>
      <c r="E279" s="151"/>
      <c r="F279" s="151"/>
      <c r="G279" s="151"/>
      <c r="H279" s="151"/>
      <c r="I279" s="151"/>
      <c r="J279" s="151"/>
      <c r="K279" s="151"/>
      <c r="L279" s="151"/>
      <c r="M279" s="587"/>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c r="AL279" s="144"/>
      <c r="AM279" s="144"/>
    </row>
    <row r="280" spans="1:39" ht="12.75" customHeight="1">
      <c r="A280" s="144"/>
      <c r="B280" s="150" t="s">
        <v>375</v>
      </c>
      <c r="C280" s="177" t="s">
        <v>376</v>
      </c>
      <c r="D280" s="151"/>
      <c r="E280" s="151"/>
      <c r="F280" s="151"/>
      <c r="G280" s="151"/>
      <c r="H280" s="151"/>
      <c r="I280" s="151"/>
      <c r="J280" s="151"/>
      <c r="K280" s="151"/>
      <c r="L280" s="151"/>
      <c r="M280" s="587"/>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4"/>
    </row>
    <row r="281" spans="1:39" ht="12.75" customHeight="1">
      <c r="A281" s="144"/>
      <c r="B281" s="150"/>
      <c r="C281" s="151" t="s">
        <v>377</v>
      </c>
      <c r="D281" s="151" t="s">
        <v>378</v>
      </c>
      <c r="E281" s="151" t="s">
        <v>306</v>
      </c>
      <c r="F281" s="152">
        <v>6889</v>
      </c>
      <c r="G281" s="151" t="s">
        <v>245</v>
      </c>
      <c r="H281" s="151">
        <v>137</v>
      </c>
      <c r="I281" s="151" t="s">
        <v>350</v>
      </c>
      <c r="J281" s="167">
        <f t="shared" ref="J281:J288" si="73">F281*H281/1000</f>
        <v>943.79300000000001</v>
      </c>
      <c r="K281" s="220">
        <v>78</v>
      </c>
      <c r="L281" s="223">
        <v>3.8E-3</v>
      </c>
      <c r="M281" s="629">
        <v>4.0000000000000002E-4</v>
      </c>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c r="AL281" s="144"/>
      <c r="AM281" s="144"/>
    </row>
    <row r="282" spans="1:39" ht="12.75" customHeight="1">
      <c r="A282" s="144"/>
      <c r="B282" s="150"/>
      <c r="C282" s="151" t="s">
        <v>379</v>
      </c>
      <c r="D282" s="151" t="s">
        <v>380</v>
      </c>
      <c r="E282" s="151" t="s">
        <v>306</v>
      </c>
      <c r="F282" s="152">
        <v>6851</v>
      </c>
      <c r="G282" s="151" t="s">
        <v>245</v>
      </c>
      <c r="H282" s="151">
        <v>137</v>
      </c>
      <c r="I282" s="151" t="s">
        <v>350</v>
      </c>
      <c r="J282" s="167">
        <f t="shared" si="73"/>
        <v>938.58699999999999</v>
      </c>
      <c r="K282" s="220">
        <v>77</v>
      </c>
      <c r="L282" s="223">
        <v>3.8E-3</v>
      </c>
      <c r="M282" s="629">
        <v>4.0000000000000002E-4</v>
      </c>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c r="AL282" s="144"/>
      <c r="AM282" s="144"/>
    </row>
    <row r="283" spans="1:39" ht="12.75" customHeight="1">
      <c r="A283" s="144"/>
      <c r="B283" s="150"/>
      <c r="C283" s="151" t="s">
        <v>381</v>
      </c>
      <c r="D283" s="151" t="s">
        <v>382</v>
      </c>
      <c r="E283" s="151" t="s">
        <v>306</v>
      </c>
      <c r="F283" s="152">
        <v>26106</v>
      </c>
      <c r="G283" s="151" t="s">
        <v>245</v>
      </c>
      <c r="H283" s="151">
        <v>137</v>
      </c>
      <c r="I283" s="151" t="s">
        <v>350</v>
      </c>
      <c r="J283" s="167">
        <f t="shared" si="73"/>
        <v>3576.5219999999999</v>
      </c>
      <c r="K283" s="220">
        <v>295</v>
      </c>
      <c r="L283" s="223">
        <v>0</v>
      </c>
      <c r="M283" s="629">
        <v>0</v>
      </c>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4"/>
    </row>
    <row r="284" spans="1:39" ht="12.75" customHeight="1">
      <c r="A284" s="144"/>
      <c r="B284" s="150"/>
      <c r="C284" s="151" t="s">
        <v>383</v>
      </c>
      <c r="D284" s="151" t="s">
        <v>384</v>
      </c>
      <c r="E284" s="151" t="s">
        <v>306</v>
      </c>
      <c r="F284" s="152">
        <v>11826</v>
      </c>
      <c r="G284" s="151" t="s">
        <v>245</v>
      </c>
      <c r="H284" s="151">
        <v>137</v>
      </c>
      <c r="I284" s="151" t="s">
        <v>350</v>
      </c>
      <c r="J284" s="167">
        <f t="shared" si="73"/>
        <v>1620.162</v>
      </c>
      <c r="K284" s="220">
        <v>134</v>
      </c>
      <c r="L284" s="223">
        <v>0</v>
      </c>
      <c r="M284" s="629">
        <v>0</v>
      </c>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c r="AL284" s="144"/>
      <c r="AM284" s="144"/>
    </row>
    <row r="285" spans="1:39" ht="12.75" customHeight="1">
      <c r="A285" s="144"/>
      <c r="B285" s="150"/>
      <c r="C285" s="151" t="s">
        <v>385</v>
      </c>
      <c r="D285" s="151" t="s">
        <v>386</v>
      </c>
      <c r="E285" s="151" t="s">
        <v>306</v>
      </c>
      <c r="F285" s="152">
        <v>22997</v>
      </c>
      <c r="G285" s="151" t="s">
        <v>245</v>
      </c>
      <c r="H285" s="151">
        <v>137</v>
      </c>
      <c r="I285" s="151" t="s">
        <v>350</v>
      </c>
      <c r="J285" s="167">
        <f t="shared" si="73"/>
        <v>3150.5889999999999</v>
      </c>
      <c r="K285" s="220">
        <v>260</v>
      </c>
      <c r="L285" s="223">
        <v>1.2800000000000001E-2</v>
      </c>
      <c r="M285" s="594">
        <v>1.2999999999999999E-3</v>
      </c>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c r="AL285" s="144"/>
      <c r="AM285" s="144"/>
    </row>
    <row r="286" spans="1:39" ht="12.75" customHeight="1">
      <c r="A286" s="144"/>
      <c r="B286" s="150"/>
      <c r="C286" s="151" t="s">
        <v>387</v>
      </c>
      <c r="D286" s="151" t="s">
        <v>388</v>
      </c>
      <c r="E286" s="151" t="s">
        <v>306</v>
      </c>
      <c r="F286" s="152">
        <v>14592</v>
      </c>
      <c r="G286" s="151" t="s">
        <v>245</v>
      </c>
      <c r="H286" s="151">
        <v>137</v>
      </c>
      <c r="I286" s="151" t="s">
        <v>350</v>
      </c>
      <c r="J286" s="167">
        <f t="shared" si="73"/>
        <v>1999.104</v>
      </c>
      <c r="K286" s="220">
        <v>165</v>
      </c>
      <c r="L286" s="223">
        <v>8.0999999999999996E-3</v>
      </c>
      <c r="M286" s="594">
        <v>8.0000000000000004E-4</v>
      </c>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c r="AL286" s="144"/>
      <c r="AM286" s="144"/>
    </row>
    <row r="287" spans="1:39" ht="12.75" customHeight="1">
      <c r="A287" s="144"/>
      <c r="B287" s="150"/>
      <c r="C287" s="151" t="s">
        <v>389</v>
      </c>
      <c r="D287" s="151" t="s">
        <v>390</v>
      </c>
      <c r="E287" s="151" t="s">
        <v>306</v>
      </c>
      <c r="F287" s="152">
        <v>24984</v>
      </c>
      <c r="G287" s="151" t="s">
        <v>245</v>
      </c>
      <c r="H287" s="151">
        <v>137</v>
      </c>
      <c r="I287" s="151" t="s">
        <v>350</v>
      </c>
      <c r="J287" s="167">
        <f t="shared" si="73"/>
        <v>3422.808</v>
      </c>
      <c r="K287" s="220">
        <v>282</v>
      </c>
      <c r="L287" s="223">
        <v>1.3899999999999999E-2</v>
      </c>
      <c r="M287" s="594">
        <v>1.4E-3</v>
      </c>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4"/>
    </row>
    <row r="288" spans="1:39" ht="12.75" customHeight="1">
      <c r="A288" s="144"/>
      <c r="B288" s="150"/>
      <c r="C288" s="151" t="s">
        <v>391</v>
      </c>
      <c r="D288" s="151" t="s">
        <v>392</v>
      </c>
      <c r="E288" s="151" t="s">
        <v>306</v>
      </c>
      <c r="F288" s="152">
        <v>24301</v>
      </c>
      <c r="G288" s="151" t="s">
        <v>245</v>
      </c>
      <c r="H288" s="151">
        <v>137</v>
      </c>
      <c r="I288" s="151" t="s">
        <v>350</v>
      </c>
      <c r="J288" s="167">
        <f t="shared" si="73"/>
        <v>3329.2370000000001</v>
      </c>
      <c r="K288" s="220">
        <v>275</v>
      </c>
      <c r="L288" s="223">
        <v>1.35E-2</v>
      </c>
      <c r="M288" s="594">
        <v>1.2999999999999999E-3</v>
      </c>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c r="AL288" s="144"/>
      <c r="AM288" s="144"/>
    </row>
    <row r="289" spans="1:39" ht="12.75" customHeight="1">
      <c r="A289" s="144"/>
      <c r="B289" s="150"/>
      <c r="C289" s="151"/>
      <c r="D289" s="151"/>
      <c r="E289" s="151"/>
      <c r="F289" s="151"/>
      <c r="G289" s="151"/>
      <c r="H289" s="151"/>
      <c r="I289" s="151"/>
      <c r="J289" s="151"/>
      <c r="K289" s="151"/>
      <c r="L289" s="151"/>
      <c r="M289" s="587"/>
      <c r="N289" s="144"/>
      <c r="O289" s="144"/>
      <c r="P289" s="144"/>
      <c r="Q289" s="144"/>
      <c r="R289" s="144"/>
      <c r="S289" s="144"/>
      <c r="T289" s="144"/>
      <c r="U289" s="144"/>
      <c r="V289" s="144"/>
      <c r="W289" s="144"/>
      <c r="X289" s="144"/>
      <c r="Y289" s="144"/>
      <c r="Z289" s="144"/>
      <c r="AA289" s="144"/>
      <c r="AB289" s="144"/>
      <c r="AC289" s="144"/>
      <c r="AD289" s="144"/>
      <c r="AE289" s="144"/>
      <c r="AF289" s="144"/>
      <c r="AG289" s="144"/>
      <c r="AH289" s="144"/>
      <c r="AI289" s="144"/>
      <c r="AJ289" s="144"/>
      <c r="AK289" s="144"/>
      <c r="AL289" s="144"/>
      <c r="AM289" s="144"/>
    </row>
    <row r="290" spans="1:39" ht="12.75" customHeight="1">
      <c r="A290" s="144"/>
      <c r="B290" s="153"/>
      <c r="C290" s="155"/>
      <c r="D290" s="155"/>
      <c r="E290" s="155"/>
      <c r="F290" s="155"/>
      <c r="G290" s="155"/>
      <c r="H290" s="155"/>
      <c r="I290" s="155"/>
      <c r="J290" s="155"/>
      <c r="K290" s="155"/>
      <c r="L290" s="155"/>
      <c r="M290" s="588"/>
      <c r="N290" s="144"/>
      <c r="O290" s="144"/>
      <c r="P290" s="144"/>
      <c r="Q290" s="144"/>
      <c r="R290" s="144"/>
      <c r="S290" s="144"/>
      <c r="T290" s="144"/>
      <c r="U290" s="144"/>
      <c r="V290" s="144"/>
      <c r="W290" s="144"/>
      <c r="X290" s="144"/>
      <c r="Y290" s="144"/>
      <c r="Z290" s="144"/>
      <c r="AA290" s="144"/>
      <c r="AB290" s="144"/>
      <c r="AC290" s="144"/>
      <c r="AD290" s="144"/>
      <c r="AE290" s="144"/>
      <c r="AF290" s="144"/>
      <c r="AG290" s="144"/>
      <c r="AH290" s="144"/>
      <c r="AI290" s="144"/>
      <c r="AJ290" s="144"/>
      <c r="AK290" s="144"/>
      <c r="AL290" s="144"/>
      <c r="AM290" s="144"/>
    </row>
    <row r="291" spans="1:39" ht="12.75" customHeight="1">
      <c r="A291" s="144"/>
      <c r="B291" s="150"/>
      <c r="C291" s="151"/>
      <c r="D291" s="151"/>
      <c r="E291" s="151"/>
      <c r="F291" s="151"/>
      <c r="G291" s="151"/>
      <c r="H291" s="151"/>
      <c r="I291" s="151"/>
      <c r="J291" s="151"/>
      <c r="K291" s="151"/>
      <c r="L291" s="151"/>
      <c r="M291" s="587"/>
      <c r="N291" s="144"/>
      <c r="O291" s="142" t="s">
        <v>676</v>
      </c>
      <c r="P291" s="144"/>
      <c r="Q291" s="144"/>
      <c r="R291" s="144"/>
      <c r="S291" s="144"/>
      <c r="T291" s="144"/>
      <c r="U291" s="144"/>
      <c r="V291" s="144"/>
      <c r="W291" s="144"/>
      <c r="X291" s="144"/>
      <c r="Y291" s="144"/>
      <c r="Z291" s="144"/>
      <c r="AA291" s="144"/>
      <c r="AB291" s="144"/>
      <c r="AC291" s="144"/>
      <c r="AD291" s="144"/>
      <c r="AE291" s="144"/>
      <c r="AF291" s="144"/>
      <c r="AG291" s="144"/>
      <c r="AH291" s="144"/>
      <c r="AI291" s="144"/>
      <c r="AJ291" s="144"/>
      <c r="AK291" s="144"/>
      <c r="AL291" s="144"/>
      <c r="AM291" s="144"/>
    </row>
    <row r="292" spans="1:39" ht="12.75" customHeight="1">
      <c r="A292" s="144"/>
      <c r="B292" s="150" t="s">
        <v>393</v>
      </c>
      <c r="C292" s="177" t="s">
        <v>394</v>
      </c>
      <c r="D292" s="151"/>
      <c r="E292" s="151"/>
      <c r="F292" s="151"/>
      <c r="G292" s="151"/>
      <c r="H292" s="151"/>
      <c r="I292" s="151"/>
      <c r="J292" s="151"/>
      <c r="K292" s="151"/>
      <c r="L292" s="151"/>
      <c r="M292" s="587"/>
      <c r="N292" s="144"/>
      <c r="O292" s="144" t="s">
        <v>677</v>
      </c>
      <c r="P292" s="144"/>
      <c r="Q292" s="144"/>
      <c r="R292" s="142"/>
      <c r="S292" s="142"/>
      <c r="T292" s="144"/>
      <c r="U292" s="144"/>
      <c r="V292" s="144"/>
      <c r="W292" s="144"/>
      <c r="X292" s="144"/>
      <c r="Y292" s="144"/>
      <c r="Z292" s="144"/>
      <c r="AA292" s="144"/>
      <c r="AB292" s="144"/>
      <c r="AC292" s="144"/>
      <c r="AD292" s="144"/>
      <c r="AE292" s="144"/>
      <c r="AF292" s="144"/>
      <c r="AG292" s="144"/>
      <c r="AH292" s="144"/>
      <c r="AI292" s="144"/>
      <c r="AJ292" s="144"/>
      <c r="AK292" s="144"/>
      <c r="AL292" s="144"/>
      <c r="AM292" s="144"/>
    </row>
    <row r="293" spans="1:39" ht="12.75" customHeight="1">
      <c r="A293" s="144"/>
      <c r="B293" s="150"/>
      <c r="C293" s="151" t="s">
        <v>371</v>
      </c>
      <c r="D293" s="151" t="s">
        <v>395</v>
      </c>
      <c r="E293" s="151" t="s">
        <v>306</v>
      </c>
      <c r="F293" s="152">
        <v>3269</v>
      </c>
      <c r="G293" s="151" t="s">
        <v>245</v>
      </c>
      <c r="H293" s="158">
        <v>140984</v>
      </c>
      <c r="I293" s="151" t="s">
        <v>345</v>
      </c>
      <c r="J293" s="167">
        <f t="shared" ref="J293:J296" si="74">F293*H293/1000000</f>
        <v>460.87669599999998</v>
      </c>
      <c r="K293" s="172">
        <v>36.28</v>
      </c>
      <c r="L293" s="184">
        <v>0</v>
      </c>
      <c r="M293" s="619">
        <v>0</v>
      </c>
      <c r="N293" s="144"/>
      <c r="O293" s="144" t="s">
        <v>678</v>
      </c>
      <c r="P293" s="144" t="s">
        <v>679</v>
      </c>
      <c r="Q293" s="144">
        <v>0.9</v>
      </c>
      <c r="R293" s="142"/>
      <c r="S293" s="142"/>
      <c r="T293" s="144"/>
      <c r="U293" s="144"/>
      <c r="V293" s="144"/>
      <c r="W293" s="144"/>
      <c r="X293" s="144"/>
      <c r="Y293" s="144"/>
      <c r="Z293" s="144"/>
      <c r="AA293" s="144"/>
      <c r="AB293" s="144"/>
      <c r="AC293" s="144"/>
      <c r="AD293" s="144"/>
      <c r="AE293" s="144"/>
      <c r="AF293" s="144"/>
      <c r="AG293" s="144"/>
      <c r="AH293" s="144"/>
      <c r="AI293" s="144"/>
      <c r="AJ293" s="144"/>
      <c r="AK293" s="144"/>
      <c r="AL293" s="144"/>
      <c r="AM293" s="144"/>
    </row>
    <row r="294" spans="1:39" ht="12.75" customHeight="1">
      <c r="A294" s="144"/>
      <c r="B294" s="150"/>
      <c r="C294" s="151" t="s">
        <v>369</v>
      </c>
      <c r="D294" s="151" t="s">
        <v>396</v>
      </c>
      <c r="E294" s="151" t="s">
        <v>306</v>
      </c>
      <c r="F294" s="152">
        <v>3014</v>
      </c>
      <c r="G294" s="151" t="s">
        <v>245</v>
      </c>
      <c r="H294" s="158">
        <v>140983</v>
      </c>
      <c r="I294" s="151" t="s">
        <v>345</v>
      </c>
      <c r="J294" s="167">
        <f t="shared" si="74"/>
        <v>424.92276199999998</v>
      </c>
      <c r="K294" s="172">
        <v>85.14</v>
      </c>
      <c r="L294" s="184">
        <v>0</v>
      </c>
      <c r="M294" s="619">
        <v>0</v>
      </c>
      <c r="N294" s="144"/>
      <c r="O294" s="144" t="s">
        <v>680</v>
      </c>
      <c r="P294" s="144" t="s">
        <v>681</v>
      </c>
      <c r="Q294" s="144">
        <v>0.2</v>
      </c>
      <c r="R294" s="142"/>
      <c r="S294" s="142"/>
      <c r="T294" s="144"/>
      <c r="U294" s="144"/>
      <c r="V294" s="144"/>
      <c r="W294" s="144"/>
      <c r="X294" s="144"/>
      <c r="Y294" s="144"/>
      <c r="Z294" s="144"/>
      <c r="AA294" s="144"/>
      <c r="AB294" s="144"/>
      <c r="AC294" s="144"/>
      <c r="AD294" s="144"/>
      <c r="AE294" s="144"/>
      <c r="AF294" s="144"/>
      <c r="AG294" s="144"/>
      <c r="AH294" s="144"/>
      <c r="AI294" s="144"/>
      <c r="AJ294" s="144"/>
      <c r="AK294" s="144"/>
      <c r="AL294" s="144"/>
      <c r="AM294" s="144"/>
    </row>
    <row r="295" spans="1:39" ht="12.75" customHeight="1">
      <c r="A295" s="144"/>
      <c r="B295" s="150"/>
      <c r="C295" s="151" t="s">
        <v>358</v>
      </c>
      <c r="D295" s="151" t="s">
        <v>397</v>
      </c>
      <c r="E295" s="151" t="s">
        <v>306</v>
      </c>
      <c r="F295" s="152">
        <v>3234</v>
      </c>
      <c r="G295" s="151" t="s">
        <v>245</v>
      </c>
      <c r="H295" s="158">
        <v>140987</v>
      </c>
      <c r="I295" s="151" t="s">
        <v>345</v>
      </c>
      <c r="J295" s="167">
        <f t="shared" si="74"/>
        <v>455.95195799999999</v>
      </c>
      <c r="K295" s="172">
        <v>33.46</v>
      </c>
      <c r="L295" s="184">
        <v>0</v>
      </c>
      <c r="M295" s="619">
        <v>0</v>
      </c>
      <c r="N295" s="144"/>
      <c r="O295" s="142" t="s">
        <v>682</v>
      </c>
      <c r="P295" s="142" t="s">
        <v>683</v>
      </c>
      <c r="Q295" s="142">
        <v>22</v>
      </c>
      <c r="R295" s="142"/>
      <c r="S295" s="142"/>
      <c r="T295" s="144"/>
      <c r="U295" s="144"/>
      <c r="V295" s="144"/>
      <c r="W295" s="144"/>
      <c r="X295" s="144"/>
      <c r="Y295" s="144"/>
      <c r="Z295" s="144"/>
      <c r="AA295" s="144"/>
      <c r="AB295" s="144"/>
      <c r="AC295" s="144"/>
      <c r="AD295" s="144"/>
      <c r="AE295" s="144"/>
      <c r="AF295" s="144"/>
      <c r="AG295" s="144"/>
      <c r="AH295" s="144"/>
      <c r="AI295" s="144"/>
      <c r="AJ295" s="144"/>
      <c r="AK295" s="144"/>
      <c r="AL295" s="144"/>
      <c r="AM295" s="144"/>
    </row>
    <row r="296" spans="1:39" ht="12.75" customHeight="1">
      <c r="A296" s="144"/>
      <c r="B296" s="150"/>
      <c r="C296" s="151" t="s">
        <v>398</v>
      </c>
      <c r="D296" s="151" t="s">
        <v>397</v>
      </c>
      <c r="E296" s="151" t="s">
        <v>306</v>
      </c>
      <c r="F296" s="152">
        <v>7670</v>
      </c>
      <c r="G296" s="151" t="s">
        <v>245</v>
      </c>
      <c r="H296" s="158">
        <v>140987</v>
      </c>
      <c r="I296" s="151" t="s">
        <v>345</v>
      </c>
      <c r="J296" s="167">
        <f t="shared" si="74"/>
        <v>1081.3702900000001</v>
      </c>
      <c r="K296" s="184">
        <v>35.9</v>
      </c>
      <c r="L296" s="184">
        <v>0</v>
      </c>
      <c r="M296" s="619">
        <v>0</v>
      </c>
      <c r="N296" s="144"/>
      <c r="O296" s="144"/>
      <c r="P296" s="144"/>
      <c r="Q296" s="144"/>
      <c r="R296" s="144"/>
      <c r="S296" s="144"/>
      <c r="T296" s="144"/>
      <c r="U296" s="144"/>
      <c r="V296" s="144"/>
      <c r="W296" s="144"/>
      <c r="X296" s="144"/>
      <c r="Y296" s="144"/>
      <c r="Z296" s="144"/>
      <c r="AA296" s="144"/>
      <c r="AB296" s="144"/>
      <c r="AC296" s="144"/>
      <c r="AD296" s="144"/>
      <c r="AE296" s="144"/>
      <c r="AF296" s="144"/>
      <c r="AG296" s="144"/>
      <c r="AH296" s="144"/>
      <c r="AI296" s="144"/>
      <c r="AJ296" s="144"/>
      <c r="AK296" s="144"/>
      <c r="AL296" s="144"/>
      <c r="AM296" s="144"/>
    </row>
    <row r="297" spans="1:39" ht="12.75" customHeight="1">
      <c r="A297" s="144"/>
      <c r="B297" s="150"/>
      <c r="C297" s="151"/>
      <c r="D297" s="151"/>
      <c r="E297" s="151"/>
      <c r="F297" s="158"/>
      <c r="G297" s="151"/>
      <c r="H297" s="151"/>
      <c r="I297" s="151"/>
      <c r="J297" s="158"/>
      <c r="K297" s="151"/>
      <c r="L297" s="151"/>
      <c r="M297" s="587"/>
      <c r="N297" s="144"/>
      <c r="O297" s="144"/>
      <c r="P297" s="144"/>
      <c r="Q297" s="144"/>
      <c r="R297" s="144"/>
      <c r="S297" s="144"/>
      <c r="T297" s="144"/>
      <c r="U297" s="144"/>
      <c r="V297" s="144"/>
      <c r="W297" s="144"/>
      <c r="X297" s="144"/>
      <c r="Y297" s="144"/>
      <c r="Z297" s="144"/>
      <c r="AA297" s="144"/>
      <c r="AB297" s="144"/>
      <c r="AC297" s="144"/>
      <c r="AD297" s="144"/>
      <c r="AE297" s="144"/>
      <c r="AF297" s="144"/>
      <c r="AG297" s="144"/>
      <c r="AH297" s="144"/>
      <c r="AI297" s="144"/>
      <c r="AJ297" s="144"/>
      <c r="AK297" s="144"/>
      <c r="AL297" s="144"/>
      <c r="AM297" s="144"/>
    </row>
    <row r="298" spans="1:39" ht="12.75" customHeight="1">
      <c r="A298" s="144"/>
      <c r="B298" s="153"/>
      <c r="C298" s="155"/>
      <c r="D298" s="155"/>
      <c r="E298" s="155"/>
      <c r="F298" s="155"/>
      <c r="G298" s="155"/>
      <c r="H298" s="155"/>
      <c r="I298" s="155"/>
      <c r="J298" s="155"/>
      <c r="K298" s="155"/>
      <c r="L298" s="155"/>
      <c r="M298" s="588"/>
      <c r="N298" s="144"/>
      <c r="O298" s="144"/>
      <c r="P298" s="144"/>
      <c r="Q298" s="144"/>
      <c r="R298" s="144"/>
      <c r="S298" s="144"/>
      <c r="T298" s="144"/>
      <c r="U298" s="144"/>
      <c r="V298" s="144"/>
      <c r="W298" s="144"/>
      <c r="X298" s="144"/>
      <c r="Y298" s="144"/>
      <c r="Z298" s="144"/>
      <c r="AA298" s="144"/>
      <c r="AB298" s="144"/>
      <c r="AC298" s="144"/>
      <c r="AD298" s="144"/>
      <c r="AE298" s="144"/>
      <c r="AF298" s="144"/>
      <c r="AG298" s="144"/>
      <c r="AH298" s="144"/>
      <c r="AI298" s="144"/>
      <c r="AJ298" s="144"/>
      <c r="AK298" s="144"/>
      <c r="AL298" s="144"/>
      <c r="AM298" s="144"/>
    </row>
    <row r="299" spans="1:39" ht="12.75" customHeight="1">
      <c r="A299" s="144"/>
      <c r="B299" s="150"/>
      <c r="C299" s="151"/>
      <c r="D299" s="151"/>
      <c r="E299" s="151"/>
      <c r="F299" s="151"/>
      <c r="G299" s="151"/>
      <c r="H299" s="151"/>
      <c r="I299" s="151"/>
      <c r="J299" s="151"/>
      <c r="K299" s="151"/>
      <c r="L299" s="151"/>
      <c r="M299" s="587"/>
      <c r="N299" s="144"/>
      <c r="O299" s="142" t="s">
        <v>684</v>
      </c>
      <c r="P299" s="144"/>
      <c r="Q299" s="144"/>
      <c r="R299" s="144"/>
      <c r="S299" s="144"/>
      <c r="T299" s="144"/>
      <c r="U299" s="144"/>
      <c r="V299" s="144"/>
      <c r="W299" s="144"/>
      <c r="X299" s="144"/>
      <c r="Y299" s="144"/>
      <c r="Z299" s="144"/>
      <c r="AA299" s="144"/>
      <c r="AB299" s="144"/>
      <c r="AC299" s="144"/>
      <c r="AD299" s="144"/>
      <c r="AE299" s="144"/>
      <c r="AF299" s="144"/>
      <c r="AG299" s="144"/>
      <c r="AH299" s="144"/>
      <c r="AI299" s="144"/>
      <c r="AJ299" s="144"/>
      <c r="AK299" s="144"/>
      <c r="AL299" s="144"/>
      <c r="AM299" s="144"/>
    </row>
    <row r="300" spans="1:39" ht="12.75" customHeight="1">
      <c r="A300" s="144"/>
      <c r="B300" s="150" t="s">
        <v>399</v>
      </c>
      <c r="C300" s="218" t="s">
        <v>400</v>
      </c>
      <c r="D300" s="151"/>
      <c r="E300" s="151"/>
      <c r="F300" s="151"/>
      <c r="G300" s="151"/>
      <c r="H300" s="151"/>
      <c r="I300" s="151"/>
      <c r="J300" s="151"/>
      <c r="K300" s="151"/>
      <c r="L300" s="151"/>
      <c r="M300" s="587"/>
      <c r="N300" s="144"/>
      <c r="O300" s="144" t="s">
        <v>685</v>
      </c>
      <c r="P300" s="144" t="s">
        <v>686</v>
      </c>
      <c r="Q300" s="144"/>
      <c r="R300" s="144"/>
      <c r="S300" s="144"/>
      <c r="T300" s="144"/>
      <c r="U300" s="144"/>
      <c r="V300" s="144"/>
      <c r="W300" s="144"/>
      <c r="X300" s="144"/>
      <c r="Y300" s="144"/>
      <c r="Z300" s="144"/>
      <c r="AA300" s="144"/>
      <c r="AB300" s="144"/>
      <c r="AC300" s="144"/>
      <c r="AD300" s="144"/>
      <c r="AE300" s="144"/>
      <c r="AF300" s="144"/>
      <c r="AG300" s="144"/>
      <c r="AH300" s="144"/>
      <c r="AI300" s="144"/>
      <c r="AJ300" s="144"/>
      <c r="AK300" s="144"/>
      <c r="AL300" s="144"/>
      <c r="AM300" s="144"/>
    </row>
    <row r="301" spans="1:39" ht="12.75" customHeight="1">
      <c r="A301" s="144"/>
      <c r="B301" s="150"/>
      <c r="C301" s="151" t="s">
        <v>401</v>
      </c>
      <c r="D301" s="151" t="s">
        <v>402</v>
      </c>
      <c r="E301" s="151" t="s">
        <v>306</v>
      </c>
      <c r="F301" s="152">
        <v>30919</v>
      </c>
      <c r="G301" s="151" t="s">
        <v>245</v>
      </c>
      <c r="H301" s="158">
        <v>141494</v>
      </c>
      <c r="I301" s="151" t="s">
        <v>345</v>
      </c>
      <c r="J301" s="167">
        <f t="shared" ref="J301:J304" si="75">F301*H301/1000000</f>
        <v>4374.8529859999999</v>
      </c>
      <c r="K301" s="172">
        <v>349</v>
      </c>
      <c r="L301" s="223">
        <v>1.7000000000000001E-2</v>
      </c>
      <c r="M301" s="619">
        <v>0</v>
      </c>
      <c r="N301" s="144"/>
      <c r="O301" s="603" t="s">
        <v>687</v>
      </c>
      <c r="P301" s="144">
        <v>22600</v>
      </c>
      <c r="Q301" s="144"/>
      <c r="R301" s="144"/>
      <c r="S301" s="144"/>
      <c r="T301" s="144"/>
      <c r="U301" s="144"/>
      <c r="V301" s="144"/>
      <c r="W301" s="144"/>
      <c r="X301" s="144"/>
      <c r="Y301" s="144"/>
      <c r="Z301" s="144"/>
      <c r="AA301" s="144"/>
      <c r="AB301" s="144"/>
      <c r="AC301" s="144"/>
      <c r="AD301" s="144"/>
      <c r="AE301" s="144"/>
      <c r="AF301" s="144"/>
      <c r="AG301" s="144"/>
      <c r="AH301" s="144"/>
      <c r="AI301" s="144"/>
      <c r="AJ301" s="144"/>
      <c r="AK301" s="144"/>
      <c r="AL301" s="144"/>
      <c r="AM301" s="144"/>
    </row>
    <row r="302" spans="1:39" ht="12.75" customHeight="1">
      <c r="A302" s="144"/>
      <c r="B302" s="150"/>
      <c r="C302" s="151" t="s">
        <v>403</v>
      </c>
      <c r="D302" s="151" t="s">
        <v>204</v>
      </c>
      <c r="E302" s="151" t="s">
        <v>306</v>
      </c>
      <c r="F302" s="152">
        <v>28591</v>
      </c>
      <c r="G302" s="151" t="s">
        <v>245</v>
      </c>
      <c r="H302" s="158">
        <v>141494</v>
      </c>
      <c r="I302" s="151" t="s">
        <v>345</v>
      </c>
      <c r="J302" s="167">
        <f t="shared" si="75"/>
        <v>4045.4549539999998</v>
      </c>
      <c r="K302" s="172">
        <v>323</v>
      </c>
      <c r="L302" s="223">
        <v>1.6E-2</v>
      </c>
      <c r="M302" s="619">
        <v>0</v>
      </c>
      <c r="N302" s="144"/>
      <c r="O302" s="613" t="s">
        <v>688</v>
      </c>
      <c r="P302" s="614">
        <v>1.1100000000000001</v>
      </c>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c r="AL302" s="144"/>
      <c r="AM302" s="144"/>
    </row>
    <row r="303" spans="1:39" ht="12.75" customHeight="1">
      <c r="A303" s="144"/>
      <c r="B303" s="150"/>
      <c r="C303" s="151" t="s">
        <v>404</v>
      </c>
      <c r="D303" s="151" t="s">
        <v>220</v>
      </c>
      <c r="E303" s="151" t="s">
        <v>306</v>
      </c>
      <c r="F303" s="152">
        <v>24896</v>
      </c>
      <c r="G303" s="151" t="s">
        <v>245</v>
      </c>
      <c r="H303" s="158">
        <v>141494</v>
      </c>
      <c r="I303" s="151" t="s">
        <v>345</v>
      </c>
      <c r="J303" s="167">
        <f t="shared" si="75"/>
        <v>3522.6346239999998</v>
      </c>
      <c r="K303" s="172">
        <v>281</v>
      </c>
      <c r="L303" s="223">
        <v>1.4E-2</v>
      </c>
      <c r="M303" s="619">
        <v>0</v>
      </c>
      <c r="N303" s="144"/>
      <c r="O303" s="606" t="s">
        <v>689</v>
      </c>
      <c r="P303" s="630" t="s">
        <v>690</v>
      </c>
      <c r="Q303" s="144"/>
      <c r="R303" s="144"/>
      <c r="S303" s="144"/>
      <c r="T303" s="144"/>
      <c r="U303" s="144"/>
      <c r="V303" s="144"/>
      <c r="W303" s="144"/>
      <c r="X303" s="144"/>
      <c r="Y303" s="144"/>
      <c r="Z303" s="144"/>
      <c r="AA303" s="144"/>
      <c r="AB303" s="144"/>
      <c r="AC303" s="144"/>
      <c r="AD303" s="144"/>
      <c r="AE303" s="144"/>
      <c r="AF303" s="144"/>
      <c r="AG303" s="144"/>
      <c r="AH303" s="144"/>
      <c r="AI303" s="144"/>
      <c r="AJ303" s="144"/>
      <c r="AK303" s="144"/>
      <c r="AL303" s="144"/>
      <c r="AM303" s="144"/>
    </row>
    <row r="304" spans="1:39" ht="12.75" customHeight="1">
      <c r="A304" s="144"/>
      <c r="B304" s="150"/>
      <c r="C304" s="151" t="s">
        <v>405</v>
      </c>
      <c r="D304" s="151" t="s">
        <v>222</v>
      </c>
      <c r="E304" s="151" t="s">
        <v>306</v>
      </c>
      <c r="F304" s="152">
        <v>29876</v>
      </c>
      <c r="G304" s="151" t="s">
        <v>245</v>
      </c>
      <c r="H304" s="158">
        <v>141494</v>
      </c>
      <c r="I304" s="151" t="s">
        <v>345</v>
      </c>
      <c r="J304" s="167">
        <f t="shared" si="75"/>
        <v>4227.2747440000003</v>
      </c>
      <c r="K304" s="172">
        <v>338</v>
      </c>
      <c r="L304" s="223">
        <v>1.7000000000000001E-2</v>
      </c>
      <c r="M304" s="619">
        <v>0</v>
      </c>
      <c r="N304" s="144"/>
      <c r="O304" s="144"/>
      <c r="P304" s="144"/>
      <c r="Q304" s="144"/>
      <c r="R304" s="144"/>
      <c r="S304" s="144"/>
      <c r="T304" s="144"/>
      <c r="U304" s="144"/>
      <c r="V304" s="144"/>
      <c r="W304" s="144"/>
      <c r="X304" s="144"/>
      <c r="Y304" s="144"/>
      <c r="Z304" s="144"/>
      <c r="AA304" s="144"/>
      <c r="AB304" s="144"/>
      <c r="AC304" s="144"/>
      <c r="AD304" s="144"/>
      <c r="AE304" s="144"/>
      <c r="AF304" s="144"/>
      <c r="AG304" s="144"/>
      <c r="AH304" s="144"/>
      <c r="AI304" s="144"/>
      <c r="AJ304" s="144"/>
      <c r="AK304" s="144"/>
      <c r="AL304" s="144"/>
      <c r="AM304" s="144"/>
    </row>
    <row r="305" spans="1:39" ht="12.75" customHeight="1">
      <c r="A305" s="144"/>
      <c r="B305" s="150"/>
      <c r="C305" s="151"/>
      <c r="D305" s="151"/>
      <c r="E305" s="151"/>
      <c r="F305" s="151"/>
      <c r="G305" s="151"/>
      <c r="H305" s="151"/>
      <c r="I305" s="151"/>
      <c r="J305" s="151"/>
      <c r="K305" s="151"/>
      <c r="L305" s="151"/>
      <c r="M305" s="587"/>
      <c r="N305" s="144"/>
      <c r="O305" s="624">
        <f>J302*P301*0.0005</f>
        <v>45713.640980199998</v>
      </c>
      <c r="P305" s="144"/>
      <c r="Q305" s="144"/>
      <c r="R305" s="144"/>
      <c r="S305" s="144"/>
      <c r="T305" s="144"/>
      <c r="U305" s="144"/>
      <c r="V305" s="144"/>
      <c r="W305" s="144"/>
      <c r="X305" s="144"/>
      <c r="Y305" s="144"/>
      <c r="Z305" s="144"/>
      <c r="AA305" s="144"/>
      <c r="AB305" s="144"/>
      <c r="AC305" s="144"/>
      <c r="AD305" s="144"/>
      <c r="AE305" s="144"/>
      <c r="AF305" s="144"/>
      <c r="AG305" s="144"/>
      <c r="AH305" s="144"/>
      <c r="AI305" s="144"/>
      <c r="AJ305" s="144"/>
      <c r="AK305" s="144"/>
      <c r="AL305" s="144"/>
      <c r="AM305" s="144"/>
    </row>
    <row r="306" spans="1:39" ht="12.75" customHeight="1">
      <c r="A306" s="144"/>
      <c r="B306" s="153"/>
      <c r="C306" s="155"/>
      <c r="D306" s="155"/>
      <c r="E306" s="155"/>
      <c r="F306" s="155"/>
      <c r="G306" s="155"/>
      <c r="H306" s="155"/>
      <c r="I306" s="155"/>
      <c r="J306" s="155"/>
      <c r="K306" s="155"/>
      <c r="L306" s="155"/>
      <c r="M306" s="588"/>
      <c r="N306" s="144"/>
      <c r="O306" s="144"/>
      <c r="P306" s="624"/>
      <c r="Q306" s="144"/>
      <c r="R306" s="144"/>
      <c r="S306" s="144"/>
      <c r="T306" s="144"/>
      <c r="U306" s="144"/>
      <c r="V306" s="144"/>
      <c r="W306" s="144"/>
      <c r="X306" s="144"/>
      <c r="Y306" s="144"/>
      <c r="Z306" s="144"/>
      <c r="AA306" s="144"/>
      <c r="AB306" s="144"/>
      <c r="AC306" s="144"/>
      <c r="AD306" s="144"/>
      <c r="AE306" s="144"/>
      <c r="AF306" s="144"/>
      <c r="AG306" s="144"/>
      <c r="AH306" s="144"/>
      <c r="AI306" s="144"/>
      <c r="AJ306" s="144"/>
      <c r="AK306" s="144"/>
      <c r="AL306" s="144"/>
      <c r="AM306" s="144"/>
    </row>
    <row r="307" spans="1:39" ht="12.75" customHeight="1">
      <c r="A307" s="144"/>
      <c r="B307" s="150"/>
      <c r="C307" s="151"/>
      <c r="D307" s="151"/>
      <c r="E307" s="151"/>
      <c r="F307" s="151"/>
      <c r="G307" s="151"/>
      <c r="H307" s="151"/>
      <c r="I307" s="151"/>
      <c r="J307" s="151"/>
      <c r="K307" s="151"/>
      <c r="L307" s="151"/>
      <c r="M307" s="587"/>
      <c r="N307" s="144"/>
      <c r="O307" s="142" t="s">
        <v>691</v>
      </c>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c r="AK307" s="144"/>
      <c r="AL307" s="144"/>
      <c r="AM307" s="144"/>
    </row>
    <row r="308" spans="1:39" ht="12.75" customHeight="1">
      <c r="A308" s="144"/>
      <c r="B308" s="150" t="s">
        <v>406</v>
      </c>
      <c r="C308" s="177" t="s">
        <v>407</v>
      </c>
      <c r="D308" s="151"/>
      <c r="E308" s="151"/>
      <c r="F308" s="151"/>
      <c r="G308" s="151"/>
      <c r="H308" s="151"/>
      <c r="I308" s="151"/>
      <c r="J308" s="151"/>
      <c r="K308" s="151"/>
      <c r="L308" s="151"/>
      <c r="M308" s="587"/>
      <c r="N308" s="144"/>
      <c r="O308" s="144"/>
      <c r="P308" s="144"/>
      <c r="Q308" s="144"/>
      <c r="R308" s="144"/>
      <c r="S308" s="144"/>
      <c r="T308" s="144"/>
      <c r="U308" s="144"/>
      <c r="V308" s="144"/>
      <c r="W308" s="144"/>
      <c r="X308" s="144"/>
      <c r="Y308" s="144"/>
      <c r="Z308" s="144"/>
      <c r="AA308" s="144"/>
      <c r="AB308" s="144"/>
      <c r="AC308" s="144"/>
      <c r="AD308" s="144"/>
      <c r="AE308" s="144"/>
      <c r="AF308" s="144"/>
      <c r="AG308" s="144"/>
      <c r="AH308" s="144"/>
      <c r="AI308" s="144"/>
      <c r="AJ308" s="144"/>
      <c r="AK308" s="144"/>
      <c r="AL308" s="144"/>
      <c r="AM308" s="144"/>
    </row>
    <row r="309" spans="1:39" ht="12.75" customHeight="1">
      <c r="A309" s="144"/>
      <c r="B309" s="150"/>
      <c r="C309" s="151" t="s">
        <v>408</v>
      </c>
      <c r="D309" s="151" t="s">
        <v>409</v>
      </c>
      <c r="E309" s="151" t="s">
        <v>306</v>
      </c>
      <c r="F309" s="152">
        <v>422</v>
      </c>
      <c r="G309" s="151" t="s">
        <v>245</v>
      </c>
      <c r="H309" s="158">
        <v>137030</v>
      </c>
      <c r="I309" s="151" t="s">
        <v>345</v>
      </c>
      <c r="J309" s="167">
        <f t="shared" ref="J309:J316" si="76">F309*H309/1000000</f>
        <v>57.826659999999997</v>
      </c>
      <c r="K309" s="174">
        <v>5</v>
      </c>
      <c r="L309" s="184">
        <v>0</v>
      </c>
      <c r="M309" s="184">
        <v>0</v>
      </c>
      <c r="N309" s="144"/>
      <c r="O309" s="144" t="s">
        <v>692</v>
      </c>
      <c r="P309" s="144"/>
      <c r="Q309" s="144"/>
      <c r="R309" s="144"/>
      <c r="S309" s="144"/>
      <c r="T309" s="144"/>
      <c r="U309" s="144"/>
      <c r="V309" s="144"/>
      <c r="W309" s="144"/>
      <c r="X309" s="144"/>
      <c r="Y309" s="144"/>
      <c r="Z309" s="144"/>
      <c r="AA309" s="144"/>
      <c r="AB309" s="144"/>
      <c r="AC309" s="144"/>
      <c r="AD309" s="144"/>
      <c r="AE309" s="144"/>
      <c r="AF309" s="144"/>
      <c r="AG309" s="144"/>
      <c r="AH309" s="144"/>
      <c r="AI309" s="144"/>
      <c r="AJ309" s="144"/>
      <c r="AK309" s="144"/>
      <c r="AL309" s="144"/>
      <c r="AM309" s="144"/>
    </row>
    <row r="310" spans="1:39" ht="12.75" customHeight="1">
      <c r="A310" s="144"/>
      <c r="B310" s="150"/>
      <c r="C310" s="151" t="s">
        <v>410</v>
      </c>
      <c r="D310" s="151" t="s">
        <v>411</v>
      </c>
      <c r="E310" s="151" t="s">
        <v>306</v>
      </c>
      <c r="F310" s="152">
        <v>622</v>
      </c>
      <c r="G310" s="151" t="s">
        <v>245</v>
      </c>
      <c r="H310" s="158">
        <v>137030</v>
      </c>
      <c r="I310" s="151" t="s">
        <v>345</v>
      </c>
      <c r="J310" s="167">
        <f t="shared" si="76"/>
        <v>85.232659999999996</v>
      </c>
      <c r="K310" s="174">
        <v>7</v>
      </c>
      <c r="L310" s="184">
        <v>0</v>
      </c>
      <c r="M310" s="184">
        <v>0</v>
      </c>
      <c r="N310" s="144"/>
      <c r="O310" s="144" t="s">
        <v>693</v>
      </c>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c r="AK310" s="144"/>
      <c r="AL310" s="144"/>
      <c r="AM310" s="144"/>
    </row>
    <row r="311" spans="1:39" ht="12.75" customHeight="1">
      <c r="A311" s="144"/>
      <c r="B311" s="150"/>
      <c r="C311" s="151" t="s">
        <v>412</v>
      </c>
      <c r="D311" s="151" t="s">
        <v>413</v>
      </c>
      <c r="E311" s="151" t="s">
        <v>306</v>
      </c>
      <c r="F311" s="152">
        <v>12264</v>
      </c>
      <c r="G311" s="151" t="s">
        <v>245</v>
      </c>
      <c r="H311" s="158">
        <v>138200</v>
      </c>
      <c r="I311" s="151" t="s">
        <v>345</v>
      </c>
      <c r="J311" s="167">
        <f t="shared" si="76"/>
        <v>1694.8848</v>
      </c>
      <c r="K311" s="174">
        <v>140</v>
      </c>
      <c r="L311" s="184">
        <v>0.01</v>
      </c>
      <c r="M311" s="184">
        <v>0</v>
      </c>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4"/>
    </row>
    <row r="312" spans="1:39" ht="12.75" customHeight="1">
      <c r="A312" s="144"/>
      <c r="B312" s="150"/>
      <c r="C312" s="151" t="s">
        <v>414</v>
      </c>
      <c r="D312" s="151" t="s">
        <v>415</v>
      </c>
      <c r="E312" s="151" t="s">
        <v>306</v>
      </c>
      <c r="F312" s="152">
        <v>15360</v>
      </c>
      <c r="G312" s="151" t="s">
        <v>245</v>
      </c>
      <c r="H312" s="158">
        <v>138200</v>
      </c>
      <c r="I312" s="151" t="s">
        <v>345</v>
      </c>
      <c r="J312" s="167">
        <f t="shared" si="76"/>
        <v>2122.752</v>
      </c>
      <c r="K312" s="174">
        <v>175</v>
      </c>
      <c r="L312" s="184">
        <v>0.01</v>
      </c>
      <c r="M312" s="184">
        <v>0</v>
      </c>
      <c r="N312" s="144"/>
      <c r="O312" s="144" t="s">
        <v>694</v>
      </c>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4"/>
    </row>
    <row r="313" spans="1:39" ht="12.75" customHeight="1">
      <c r="A313" s="144"/>
      <c r="B313" s="150"/>
      <c r="C313" s="151" t="s">
        <v>416</v>
      </c>
      <c r="D313" s="151" t="s">
        <v>417</v>
      </c>
      <c r="E313" s="151" t="s">
        <v>306</v>
      </c>
      <c r="F313" s="152">
        <v>15672</v>
      </c>
      <c r="G313" s="151" t="s">
        <v>245</v>
      </c>
      <c r="H313" s="158">
        <v>138200</v>
      </c>
      <c r="I313" s="151" t="s">
        <v>345</v>
      </c>
      <c r="J313" s="167">
        <f t="shared" si="76"/>
        <v>2165.8703999999998</v>
      </c>
      <c r="K313" s="174">
        <v>179</v>
      </c>
      <c r="L313" s="184">
        <v>0.01</v>
      </c>
      <c r="M313" s="184">
        <v>0</v>
      </c>
      <c r="N313" s="144"/>
      <c r="O313" s="144" t="s">
        <v>695</v>
      </c>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4"/>
    </row>
    <row r="314" spans="1:39" ht="12.75" customHeight="1">
      <c r="A314" s="144"/>
      <c r="B314" s="150"/>
      <c r="C314" s="151" t="s">
        <v>418</v>
      </c>
      <c r="D314" s="151" t="s">
        <v>419</v>
      </c>
      <c r="E314" s="151" t="s">
        <v>306</v>
      </c>
      <c r="F314" s="152">
        <v>33156</v>
      </c>
      <c r="G314" s="151" t="s">
        <v>245</v>
      </c>
      <c r="H314" s="158">
        <v>139400</v>
      </c>
      <c r="I314" s="151" t="s">
        <v>345</v>
      </c>
      <c r="J314" s="167">
        <f t="shared" si="76"/>
        <v>4621.9463999999998</v>
      </c>
      <c r="K314" s="174">
        <v>381</v>
      </c>
      <c r="L314" s="184">
        <v>0.02</v>
      </c>
      <c r="M314" s="184">
        <v>0</v>
      </c>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4"/>
    </row>
    <row r="315" spans="1:39" ht="12.75" customHeight="1">
      <c r="A315" s="144"/>
      <c r="B315" s="150"/>
      <c r="C315" s="151" t="s">
        <v>420</v>
      </c>
      <c r="D315" s="151" t="s">
        <v>421</v>
      </c>
      <c r="E315" s="151" t="s">
        <v>306</v>
      </c>
      <c r="F315" s="152">
        <v>9396</v>
      </c>
      <c r="G315" s="151" t="s">
        <v>245</v>
      </c>
      <c r="H315" s="158">
        <v>138600</v>
      </c>
      <c r="I315" s="151" t="s">
        <v>345</v>
      </c>
      <c r="J315" s="167">
        <f t="shared" si="76"/>
        <v>1302.2855999999999</v>
      </c>
      <c r="K315" s="174">
        <v>107</v>
      </c>
      <c r="L315" s="184">
        <v>0.01</v>
      </c>
      <c r="M315" s="184">
        <v>0</v>
      </c>
      <c r="N315" s="144"/>
      <c r="O315" s="144" t="s">
        <v>696</v>
      </c>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row>
    <row r="316" spans="1:39" ht="12.75" customHeight="1">
      <c r="A316" s="144"/>
      <c r="B316" s="150"/>
      <c r="C316" s="151" t="s">
        <v>422</v>
      </c>
      <c r="D316" s="151" t="s">
        <v>423</v>
      </c>
      <c r="E316" s="151" t="s">
        <v>306</v>
      </c>
      <c r="F316" s="152">
        <v>510</v>
      </c>
      <c r="G316" s="151" t="s">
        <v>245</v>
      </c>
      <c r="H316" s="158">
        <v>138500</v>
      </c>
      <c r="I316" s="151" t="s">
        <v>345</v>
      </c>
      <c r="J316" s="167">
        <f t="shared" si="76"/>
        <v>70.635000000000005</v>
      </c>
      <c r="K316" s="174">
        <v>6</v>
      </c>
      <c r="L316" s="184">
        <v>0</v>
      </c>
      <c r="M316" s="184">
        <v>0</v>
      </c>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row>
    <row r="317" spans="1:39" ht="12.75" customHeight="1">
      <c r="A317" s="144"/>
      <c r="B317" s="150"/>
      <c r="C317" s="151"/>
      <c r="D317" s="151"/>
      <c r="E317" s="151"/>
      <c r="F317" s="151"/>
      <c r="G317" s="151"/>
      <c r="H317" s="151"/>
      <c r="I317" s="151"/>
      <c r="J317" s="158"/>
      <c r="K317" s="151"/>
      <c r="L317" s="151"/>
      <c r="M317" s="587"/>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row>
    <row r="318" spans="1:39" ht="12.75" customHeight="1">
      <c r="A318" s="144"/>
      <c r="B318" s="153"/>
      <c r="C318" s="155"/>
      <c r="D318" s="155"/>
      <c r="E318" s="155"/>
      <c r="F318" s="155"/>
      <c r="G318" s="155"/>
      <c r="H318" s="155"/>
      <c r="I318" s="155"/>
      <c r="J318" s="155"/>
      <c r="K318" s="155"/>
      <c r="L318" s="155"/>
      <c r="M318" s="588"/>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row>
    <row r="319" spans="1:39" ht="12.75" customHeight="1">
      <c r="A319" s="144"/>
      <c r="B319" s="150" t="s">
        <v>434</v>
      </c>
      <c r="C319" s="177" t="s">
        <v>435</v>
      </c>
      <c r="D319" s="151"/>
      <c r="E319" s="151"/>
      <c r="F319" s="151"/>
      <c r="G319" s="151"/>
      <c r="H319" s="151"/>
      <c r="I319" s="151"/>
      <c r="J319" s="151"/>
      <c r="K319" s="151"/>
      <c r="L319" s="151"/>
      <c r="M319" s="587"/>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row>
    <row r="320" spans="1:39" ht="12.75" customHeight="1">
      <c r="A320" s="144"/>
      <c r="B320" s="150"/>
      <c r="C320" s="151" t="s">
        <v>436</v>
      </c>
      <c r="D320" s="151" t="s">
        <v>437</v>
      </c>
      <c r="E320" s="151" t="s">
        <v>433</v>
      </c>
      <c r="F320" s="167">
        <v>1687.2</v>
      </c>
      <c r="G320" s="151" t="s">
        <v>245</v>
      </c>
      <c r="H320" s="158">
        <v>152802</v>
      </c>
      <c r="I320" s="151" t="s">
        <v>345</v>
      </c>
      <c r="J320" s="167">
        <f t="shared" ref="J320:J324" si="77">F320*H320/1000000</f>
        <v>257.80753440000001</v>
      </c>
      <c r="K320" s="172">
        <v>20</v>
      </c>
      <c r="L320" s="172">
        <v>1.1999999999999999E-3</v>
      </c>
      <c r="M320" s="594">
        <v>0</v>
      </c>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row>
    <row r="321" spans="1:39" ht="12.75" customHeight="1">
      <c r="A321" s="144"/>
      <c r="B321" s="150"/>
      <c r="C321" s="151" t="s">
        <v>438</v>
      </c>
      <c r="D321" s="151" t="s">
        <v>439</v>
      </c>
      <c r="E321" s="151" t="s">
        <v>433</v>
      </c>
      <c r="F321" s="167">
        <v>1732.8</v>
      </c>
      <c r="G321" s="151" t="s">
        <v>245</v>
      </c>
      <c r="H321" s="158">
        <v>152802</v>
      </c>
      <c r="I321" s="151" t="s">
        <v>345</v>
      </c>
      <c r="J321" s="167">
        <f t="shared" si="77"/>
        <v>264.77530559999997</v>
      </c>
      <c r="K321" s="172">
        <v>20</v>
      </c>
      <c r="L321" s="172">
        <v>1.1999999999999999E-3</v>
      </c>
      <c r="M321" s="594">
        <v>0</v>
      </c>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row>
    <row r="322" spans="1:39" ht="12.75" customHeight="1">
      <c r="A322" s="144"/>
      <c r="B322" s="150"/>
      <c r="C322" s="151" t="s">
        <v>440</v>
      </c>
      <c r="D322" s="151" t="s">
        <v>441</v>
      </c>
      <c r="E322" s="151" t="s">
        <v>433</v>
      </c>
      <c r="F322" s="167">
        <v>1732.8</v>
      </c>
      <c r="G322" s="151" t="s">
        <v>245</v>
      </c>
      <c r="H322" s="158">
        <v>152802</v>
      </c>
      <c r="I322" s="151" t="s">
        <v>345</v>
      </c>
      <c r="J322" s="167">
        <f t="shared" si="77"/>
        <v>264.77530559999997</v>
      </c>
      <c r="K322" s="172">
        <v>21</v>
      </c>
      <c r="L322" s="172">
        <v>1.1999999999999999E-3</v>
      </c>
      <c r="M322" s="594">
        <v>0</v>
      </c>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row>
    <row r="323" spans="1:39" ht="12.75" customHeight="1">
      <c r="A323" s="144"/>
      <c r="B323" s="150"/>
      <c r="C323" s="151" t="s">
        <v>442</v>
      </c>
      <c r="D323" s="151" t="s">
        <v>443</v>
      </c>
      <c r="E323" s="151" t="s">
        <v>433</v>
      </c>
      <c r="F323" s="167">
        <v>1732.8</v>
      </c>
      <c r="G323" s="151" t="s">
        <v>245</v>
      </c>
      <c r="H323" s="158">
        <v>152802</v>
      </c>
      <c r="I323" s="151" t="s">
        <v>345</v>
      </c>
      <c r="J323" s="167">
        <f t="shared" si="77"/>
        <v>264.77530559999997</v>
      </c>
      <c r="K323" s="172">
        <v>21</v>
      </c>
      <c r="L323" s="172">
        <v>1.1999999999999999E-3</v>
      </c>
      <c r="M323" s="594">
        <v>0</v>
      </c>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row>
    <row r="324" spans="1:39" ht="12.75" customHeight="1">
      <c r="A324" s="144"/>
      <c r="B324" s="150"/>
      <c r="C324" s="151" t="s">
        <v>444</v>
      </c>
      <c r="D324" s="151" t="s">
        <v>445</v>
      </c>
      <c r="E324" s="151" t="s">
        <v>433</v>
      </c>
      <c r="F324" s="167">
        <v>1778.4</v>
      </c>
      <c r="G324" s="151" t="s">
        <v>245</v>
      </c>
      <c r="H324" s="158">
        <v>152802</v>
      </c>
      <c r="I324" s="151" t="s">
        <v>345</v>
      </c>
      <c r="J324" s="167">
        <f t="shared" si="77"/>
        <v>271.74307680000004</v>
      </c>
      <c r="K324" s="172">
        <v>21</v>
      </c>
      <c r="L324" s="172">
        <v>1.1999999999999999E-3</v>
      </c>
      <c r="M324" s="594">
        <v>0</v>
      </c>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row>
    <row r="325" spans="1:39" ht="12.75" customHeight="1">
      <c r="A325" s="144"/>
      <c r="B325" s="150"/>
      <c r="C325" s="151"/>
      <c r="D325" s="151"/>
      <c r="E325" s="151"/>
      <c r="F325" s="151"/>
      <c r="G325" s="151"/>
      <c r="H325" s="151"/>
      <c r="I325" s="151"/>
      <c r="J325" s="151"/>
      <c r="K325" s="172"/>
      <c r="L325" s="172"/>
      <c r="M325" s="59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row>
    <row r="326" spans="1:39" ht="12.75" customHeight="1">
      <c r="A326" s="144"/>
      <c r="B326" s="161"/>
      <c r="C326" s="162"/>
      <c r="D326" s="162"/>
      <c r="E326" s="162"/>
      <c r="F326" s="162"/>
      <c r="G326" s="162"/>
      <c r="H326" s="162"/>
      <c r="I326" s="162"/>
      <c r="J326" s="162"/>
      <c r="K326" s="162"/>
      <c r="L326" s="162"/>
      <c r="M326" s="593"/>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row>
    <row r="327" spans="1:39" ht="12.75" customHeight="1">
      <c r="A327" s="144"/>
      <c r="B327" s="150"/>
      <c r="C327" s="151"/>
      <c r="D327" s="151"/>
      <c r="E327" s="151"/>
      <c r="F327" s="151"/>
      <c r="G327" s="151"/>
      <c r="H327" s="151"/>
      <c r="I327" s="151"/>
      <c r="J327" s="151"/>
      <c r="K327" s="151"/>
      <c r="L327" s="151"/>
      <c r="M327" s="587"/>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row>
    <row r="328" spans="1:39" ht="12.75" customHeight="1">
      <c r="A328" s="144"/>
      <c r="B328" s="150" t="s">
        <v>446</v>
      </c>
      <c r="C328" s="177" t="s">
        <v>447</v>
      </c>
      <c r="D328" s="151"/>
      <c r="E328" s="151"/>
      <c r="F328" s="151"/>
      <c r="G328" s="151"/>
      <c r="H328" s="151"/>
      <c r="I328" s="151"/>
      <c r="J328" s="151"/>
      <c r="K328" s="151"/>
      <c r="L328" s="151"/>
      <c r="M328" s="587"/>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row>
    <row r="329" spans="1:39" ht="12.75" customHeight="1">
      <c r="A329" s="144"/>
      <c r="B329" s="150"/>
      <c r="C329" s="151" t="s">
        <v>487</v>
      </c>
      <c r="D329" s="151" t="s">
        <v>501</v>
      </c>
      <c r="E329" s="151" t="s">
        <v>461</v>
      </c>
      <c r="F329" s="152">
        <v>11784250000</v>
      </c>
      <c r="G329" s="151" t="s">
        <v>457</v>
      </c>
      <c r="H329" s="151">
        <v>1.0589999999999999</v>
      </c>
      <c r="I329" s="151" t="s">
        <v>502</v>
      </c>
      <c r="J329" s="173">
        <v>12479521</v>
      </c>
      <c r="K329" s="152">
        <v>766132</v>
      </c>
      <c r="L329" s="223">
        <v>0.13800000000000001</v>
      </c>
      <c r="M329" s="619">
        <v>1.38</v>
      </c>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row>
    <row r="330" spans="1:39" ht="12.75" customHeight="1">
      <c r="A330" s="144"/>
      <c r="B330" s="150"/>
      <c r="C330" s="151" t="s">
        <v>503</v>
      </c>
      <c r="D330" s="151" t="s">
        <v>504</v>
      </c>
      <c r="E330" s="151"/>
      <c r="F330" s="152">
        <v>12856810000</v>
      </c>
      <c r="G330" s="151" t="s">
        <v>457</v>
      </c>
      <c r="H330" s="151">
        <v>1.0589999999999999</v>
      </c>
      <c r="I330" s="151" t="s">
        <v>502</v>
      </c>
      <c r="J330" s="173">
        <v>13615362</v>
      </c>
      <c r="K330" s="152">
        <v>837399</v>
      </c>
      <c r="L330" s="223">
        <v>0.15</v>
      </c>
      <c r="M330" s="619">
        <v>1.5</v>
      </c>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4"/>
    </row>
    <row r="331" spans="1:39" ht="12.75" customHeight="1">
      <c r="A331" s="144"/>
      <c r="B331" s="150"/>
      <c r="C331" s="151" t="s">
        <v>505</v>
      </c>
      <c r="D331" s="151" t="s">
        <v>506</v>
      </c>
      <c r="E331" s="151"/>
      <c r="F331" s="152">
        <v>14921000</v>
      </c>
      <c r="G331" s="151" t="s">
        <v>457</v>
      </c>
      <c r="H331" s="151">
        <v>1.0589999999999999</v>
      </c>
      <c r="I331" s="151" t="s">
        <v>502</v>
      </c>
      <c r="J331" s="173">
        <v>15801.339</v>
      </c>
      <c r="K331" s="152">
        <v>682</v>
      </c>
      <c r="L331" s="223">
        <v>1.7399999999999999E-2</v>
      </c>
      <c r="M331" s="619">
        <v>1.74E-3</v>
      </c>
      <c r="N331" s="144"/>
      <c r="O331" s="144"/>
      <c r="P331" s="595" t="s">
        <v>697</v>
      </c>
      <c r="Q331" s="595" t="s">
        <v>698</v>
      </c>
      <c r="R331" s="595" t="s">
        <v>699</v>
      </c>
      <c r="S331" s="595" t="s">
        <v>700</v>
      </c>
      <c r="T331" s="144"/>
      <c r="U331" s="144"/>
      <c r="V331" s="144"/>
      <c r="W331" s="144"/>
      <c r="X331" s="144"/>
      <c r="Y331" s="144"/>
      <c r="Z331" s="144"/>
      <c r="AA331" s="144"/>
      <c r="AB331" s="144"/>
      <c r="AC331" s="144"/>
      <c r="AD331" s="144"/>
      <c r="AE331" s="144"/>
      <c r="AF331" s="144"/>
      <c r="AG331" s="144"/>
      <c r="AH331" s="144"/>
      <c r="AI331" s="144"/>
      <c r="AJ331" s="144"/>
      <c r="AK331" s="144"/>
      <c r="AL331" s="144"/>
      <c r="AM331" s="144"/>
    </row>
    <row r="332" spans="1:39" ht="12.75" customHeight="1">
      <c r="A332" s="144"/>
      <c r="B332" s="150"/>
      <c r="C332" s="151" t="s">
        <v>507</v>
      </c>
      <c r="D332" s="151" t="s">
        <v>508</v>
      </c>
      <c r="E332" s="151"/>
      <c r="F332" s="152">
        <v>18227000</v>
      </c>
      <c r="G332" s="151" t="s">
        <v>457</v>
      </c>
      <c r="H332" s="151">
        <v>1.0589999999999999</v>
      </c>
      <c r="I332" s="151" t="s">
        <v>502</v>
      </c>
      <c r="J332" s="173">
        <v>19302</v>
      </c>
      <c r="K332" s="152">
        <v>1129</v>
      </c>
      <c r="L332" s="223">
        <v>2.1299999999999999E-2</v>
      </c>
      <c r="M332" s="619">
        <v>2.1299999999999999E-3</v>
      </c>
      <c r="N332" s="144"/>
      <c r="O332" s="144"/>
      <c r="P332" s="631">
        <v>20</v>
      </c>
      <c r="Q332" s="631">
        <v>37</v>
      </c>
      <c r="R332" s="631">
        <v>1081.0999999999999</v>
      </c>
      <c r="S332" s="632">
        <f t="shared" ref="S332:S335" si="78">Q332*R332/2000</f>
        <v>20.000349999999997</v>
      </c>
      <c r="T332" s="144"/>
      <c r="U332" s="144"/>
      <c r="V332" s="144"/>
      <c r="W332" s="144"/>
      <c r="X332" s="144"/>
      <c r="Y332" s="144"/>
      <c r="Z332" s="144"/>
      <c r="AA332" s="144"/>
      <c r="AB332" s="144"/>
      <c r="AC332" s="144"/>
      <c r="AD332" s="144"/>
      <c r="AE332" s="144"/>
      <c r="AF332" s="144"/>
      <c r="AG332" s="144"/>
      <c r="AH332" s="144"/>
      <c r="AI332" s="144"/>
      <c r="AJ332" s="144"/>
      <c r="AK332" s="144"/>
      <c r="AL332" s="144"/>
      <c r="AM332" s="144"/>
    </row>
    <row r="333" spans="1:39" ht="12.75" customHeight="1">
      <c r="A333" s="144"/>
      <c r="B333" s="150"/>
      <c r="C333" s="151" t="s">
        <v>448</v>
      </c>
      <c r="D333" s="151" t="s">
        <v>449</v>
      </c>
      <c r="E333" s="151" t="s">
        <v>433</v>
      </c>
      <c r="F333" s="152">
        <v>108</v>
      </c>
      <c r="G333" s="151" t="s">
        <v>245</v>
      </c>
      <c r="H333" s="158">
        <v>137030</v>
      </c>
      <c r="I333" s="151" t="s">
        <v>345</v>
      </c>
      <c r="J333" s="225">
        <v>14.827</v>
      </c>
      <c r="K333" s="152">
        <v>1</v>
      </c>
      <c r="L333" s="223">
        <v>4.8999999999999998E-5</v>
      </c>
      <c r="M333" s="619">
        <v>9.810000000000001E-4</v>
      </c>
      <c r="N333" s="144"/>
      <c r="O333" s="144"/>
      <c r="P333" s="631">
        <v>20</v>
      </c>
      <c r="Q333" s="631">
        <v>38</v>
      </c>
      <c r="R333" s="631">
        <v>1081.0999999999999</v>
      </c>
      <c r="S333" s="632">
        <f t="shared" si="78"/>
        <v>20.540899999999997</v>
      </c>
      <c r="T333" s="144"/>
      <c r="U333" s="144"/>
      <c r="V333" s="144"/>
      <c r="W333" s="144"/>
      <c r="X333" s="144"/>
      <c r="Y333" s="144"/>
      <c r="Z333" s="144"/>
      <c r="AA333" s="144"/>
      <c r="AB333" s="144"/>
      <c r="AC333" s="144"/>
      <c r="AD333" s="144"/>
      <c r="AE333" s="144"/>
      <c r="AF333" s="144"/>
      <c r="AG333" s="144"/>
      <c r="AH333" s="144"/>
      <c r="AI333" s="144"/>
      <c r="AJ333" s="144"/>
      <c r="AK333" s="144"/>
      <c r="AL333" s="144"/>
      <c r="AM333" s="144"/>
    </row>
    <row r="334" spans="1:39" ht="12.75" customHeight="1">
      <c r="A334" s="144"/>
      <c r="B334" s="150"/>
      <c r="C334" s="151"/>
      <c r="D334" s="151"/>
      <c r="E334" s="151"/>
      <c r="F334" s="151"/>
      <c r="G334" s="151"/>
      <c r="H334" s="151"/>
      <c r="I334" s="151"/>
      <c r="J334" s="151"/>
      <c r="K334" s="151"/>
      <c r="L334" s="151"/>
      <c r="M334" s="587"/>
      <c r="N334" s="144"/>
      <c r="O334" s="144"/>
      <c r="P334" s="631">
        <v>21</v>
      </c>
      <c r="Q334" s="631">
        <v>38</v>
      </c>
      <c r="R334" s="631">
        <v>1081.0999999999999</v>
      </c>
      <c r="S334" s="632">
        <f t="shared" si="78"/>
        <v>20.540899999999997</v>
      </c>
      <c r="T334" s="144"/>
      <c r="U334" s="144"/>
      <c r="V334" s="144"/>
      <c r="W334" s="144"/>
      <c r="X334" s="144"/>
      <c r="Y334" s="144"/>
      <c r="Z334" s="144"/>
      <c r="AA334" s="144"/>
      <c r="AB334" s="144"/>
      <c r="AC334" s="144"/>
      <c r="AD334" s="144"/>
      <c r="AE334" s="144"/>
      <c r="AF334" s="144"/>
      <c r="AG334" s="144"/>
      <c r="AH334" s="144"/>
      <c r="AI334" s="144"/>
      <c r="AJ334" s="144"/>
      <c r="AK334" s="144"/>
      <c r="AL334" s="144"/>
      <c r="AM334" s="144"/>
    </row>
    <row r="335" spans="1:39" ht="12.75" customHeight="1">
      <c r="A335" s="144"/>
      <c r="B335" s="153"/>
      <c r="C335" s="155"/>
      <c r="D335" s="155"/>
      <c r="E335" s="155"/>
      <c r="F335" s="155"/>
      <c r="G335" s="155"/>
      <c r="H335" s="155"/>
      <c r="I335" s="155"/>
      <c r="J335" s="155"/>
      <c r="K335" s="155"/>
      <c r="L335" s="155"/>
      <c r="M335" s="588"/>
      <c r="N335" s="144"/>
      <c r="O335" s="144"/>
      <c r="P335" s="631">
        <v>21</v>
      </c>
      <c r="Q335" s="631">
        <v>39</v>
      </c>
      <c r="R335" s="631">
        <v>1081.0999999999999</v>
      </c>
      <c r="S335" s="632">
        <f t="shared" si="78"/>
        <v>21.081449999999997</v>
      </c>
      <c r="T335" s="144"/>
      <c r="U335" s="144"/>
      <c r="V335" s="144"/>
      <c r="W335" s="144"/>
      <c r="X335" s="144"/>
      <c r="Y335" s="144"/>
      <c r="Z335" s="144"/>
      <c r="AA335" s="144"/>
      <c r="AB335" s="144"/>
      <c r="AC335" s="144"/>
      <c r="AD335" s="144"/>
      <c r="AE335" s="144"/>
      <c r="AF335" s="144"/>
      <c r="AG335" s="144"/>
      <c r="AH335" s="144"/>
      <c r="AI335" s="144"/>
      <c r="AJ335" s="144"/>
      <c r="AK335" s="144"/>
      <c r="AL335" s="144"/>
      <c r="AM335" s="144"/>
    </row>
    <row r="336" spans="1:39" ht="12.75" customHeight="1">
      <c r="A336" s="144"/>
      <c r="B336" s="150"/>
      <c r="C336" s="151"/>
      <c r="D336" s="151"/>
      <c r="E336" s="151"/>
      <c r="F336" s="151"/>
      <c r="G336" s="151"/>
      <c r="H336" s="151"/>
      <c r="I336" s="151"/>
      <c r="J336" s="151"/>
      <c r="K336" s="151"/>
      <c r="L336" s="151"/>
      <c r="M336" s="587"/>
      <c r="N336" s="144"/>
      <c r="O336" s="144"/>
      <c r="P336" s="610"/>
      <c r="Q336" s="610"/>
      <c r="R336" s="610"/>
      <c r="S336" s="610"/>
      <c r="T336" s="144"/>
      <c r="U336" s="144"/>
      <c r="V336" s="144"/>
      <c r="W336" s="144"/>
      <c r="X336" s="144"/>
      <c r="Y336" s="144"/>
      <c r="Z336" s="144"/>
      <c r="AA336" s="144"/>
      <c r="AB336" s="144"/>
      <c r="AC336" s="144"/>
      <c r="AD336" s="144"/>
      <c r="AE336" s="144"/>
      <c r="AF336" s="144"/>
      <c r="AG336" s="144"/>
      <c r="AH336" s="144"/>
      <c r="AI336" s="144"/>
      <c r="AJ336" s="144"/>
      <c r="AK336" s="144"/>
      <c r="AL336" s="144"/>
      <c r="AM336" s="144"/>
    </row>
    <row r="337" spans="1:39" ht="12.75" customHeight="1">
      <c r="A337" s="144"/>
      <c r="B337" s="150" t="s">
        <v>509</v>
      </c>
      <c r="C337" s="177" t="s">
        <v>510</v>
      </c>
      <c r="D337" s="151"/>
      <c r="E337" s="151" t="s">
        <v>511</v>
      </c>
      <c r="F337" s="229">
        <v>0</v>
      </c>
      <c r="G337" s="151" t="s">
        <v>245</v>
      </c>
      <c r="H337" s="158">
        <v>91333</v>
      </c>
      <c r="I337" s="151" t="s">
        <v>345</v>
      </c>
      <c r="J337" s="158">
        <f>F337*H337/1000000</f>
        <v>0</v>
      </c>
      <c r="K337" s="158"/>
      <c r="L337" s="158">
        <v>0</v>
      </c>
      <c r="M337" s="633">
        <v>0</v>
      </c>
      <c r="N337" s="144"/>
      <c r="O337" s="144"/>
      <c r="P337" s="144"/>
      <c r="Q337" s="144"/>
      <c r="R337" s="144"/>
      <c r="S337" s="144"/>
      <c r="T337" s="144"/>
      <c r="U337" s="144"/>
      <c r="V337" s="144"/>
      <c r="W337" s="144"/>
      <c r="X337" s="144"/>
      <c r="Y337" s="144"/>
      <c r="Z337" s="144"/>
      <c r="AA337" s="144"/>
      <c r="AB337" s="144"/>
      <c r="AC337" s="144"/>
      <c r="AD337" s="144"/>
      <c r="AE337" s="144"/>
      <c r="AF337" s="144"/>
      <c r="AG337" s="144"/>
      <c r="AH337" s="144"/>
      <c r="AI337" s="144"/>
      <c r="AJ337" s="144"/>
      <c r="AK337" s="144"/>
      <c r="AL337" s="144"/>
      <c r="AM337" s="144"/>
    </row>
    <row r="338" spans="1:39" ht="12.75" customHeight="1">
      <c r="A338" s="144"/>
      <c r="B338" s="150"/>
      <c r="C338" s="177"/>
      <c r="D338" s="151"/>
      <c r="E338" s="151"/>
      <c r="F338" s="158"/>
      <c r="G338" s="151"/>
      <c r="H338" s="158"/>
      <c r="I338" s="151"/>
      <c r="J338" s="158"/>
      <c r="K338" s="158"/>
      <c r="L338" s="158"/>
      <c r="M338" s="633"/>
      <c r="N338" s="144"/>
      <c r="O338" s="144"/>
      <c r="P338" s="144"/>
      <c r="Q338" s="144"/>
      <c r="R338" s="144"/>
      <c r="S338" s="144"/>
      <c r="T338" s="144"/>
      <c r="U338" s="144"/>
      <c r="V338" s="144"/>
      <c r="W338" s="144"/>
      <c r="X338" s="144"/>
      <c r="Y338" s="144"/>
      <c r="Z338" s="144"/>
      <c r="AA338" s="144"/>
      <c r="AB338" s="144"/>
      <c r="AC338" s="144"/>
      <c r="AD338" s="144"/>
      <c r="AE338" s="144"/>
      <c r="AF338" s="144"/>
      <c r="AG338" s="144"/>
      <c r="AH338" s="144"/>
      <c r="AI338" s="144"/>
      <c r="AJ338" s="144"/>
      <c r="AK338" s="144"/>
      <c r="AL338" s="144"/>
      <c r="AM338" s="144"/>
    </row>
    <row r="339" spans="1:39" ht="12.75" customHeight="1">
      <c r="A339" s="144"/>
      <c r="B339" s="153"/>
      <c r="C339" s="155"/>
      <c r="D339" s="155"/>
      <c r="E339" s="155"/>
      <c r="F339" s="155"/>
      <c r="G339" s="155"/>
      <c r="H339" s="155"/>
      <c r="I339" s="155"/>
      <c r="J339" s="156"/>
      <c r="K339" s="156"/>
      <c r="L339" s="156"/>
      <c r="M339" s="634"/>
      <c r="N339" s="144"/>
      <c r="O339" s="144"/>
      <c r="P339" s="595" t="s">
        <v>697</v>
      </c>
      <c r="Q339" s="595" t="s">
        <v>698</v>
      </c>
      <c r="R339" s="595" t="s">
        <v>701</v>
      </c>
      <c r="S339" s="595" t="s">
        <v>702</v>
      </c>
      <c r="T339" s="144"/>
      <c r="U339" s="144"/>
      <c r="V339" s="144"/>
      <c r="W339" s="144"/>
      <c r="X339" s="144"/>
      <c r="Y339" s="144"/>
      <c r="Z339" s="144"/>
      <c r="AA339" s="144"/>
      <c r="AB339" s="144"/>
      <c r="AC339" s="144"/>
      <c r="AD339" s="144"/>
      <c r="AE339" s="144"/>
      <c r="AF339" s="144"/>
      <c r="AG339" s="144"/>
      <c r="AH339" s="144"/>
      <c r="AI339" s="144"/>
      <c r="AJ339" s="144"/>
      <c r="AK339" s="144"/>
      <c r="AL339" s="144"/>
      <c r="AM339" s="144"/>
    </row>
    <row r="340" spans="1:39" ht="12.75" customHeight="1">
      <c r="A340" s="144"/>
      <c r="B340" s="150" t="s">
        <v>512</v>
      </c>
      <c r="C340" s="177" t="s">
        <v>703</v>
      </c>
      <c r="D340" s="151"/>
      <c r="E340" s="151"/>
      <c r="F340" s="151"/>
      <c r="G340" s="151"/>
      <c r="H340" s="151"/>
      <c r="I340" s="151"/>
      <c r="J340" s="158"/>
      <c r="K340" s="158"/>
      <c r="L340" s="158"/>
      <c r="M340" s="633"/>
      <c r="N340" s="144"/>
      <c r="O340" s="144" t="s">
        <v>704</v>
      </c>
      <c r="P340" s="631">
        <v>20</v>
      </c>
      <c r="Q340" s="631">
        <v>37</v>
      </c>
      <c r="R340" s="631">
        <v>45.6</v>
      </c>
      <c r="S340" s="635">
        <f t="shared" ref="S340:S344" si="79">Q340*R340</f>
        <v>1687.2</v>
      </c>
      <c r="T340" s="144"/>
      <c r="U340" s="144"/>
      <c r="V340" s="144"/>
      <c r="W340" s="144"/>
      <c r="X340" s="144"/>
      <c r="Y340" s="144"/>
      <c r="Z340" s="144"/>
      <c r="AA340" s="144"/>
      <c r="AB340" s="144"/>
      <c r="AC340" s="144"/>
      <c r="AD340" s="144"/>
      <c r="AE340" s="144"/>
      <c r="AF340" s="144"/>
      <c r="AG340" s="144"/>
      <c r="AH340" s="144"/>
      <c r="AI340" s="144"/>
      <c r="AJ340" s="144"/>
      <c r="AK340" s="144"/>
      <c r="AL340" s="144"/>
      <c r="AM340" s="144"/>
    </row>
    <row r="341" spans="1:39" ht="12.75" customHeight="1">
      <c r="A341" s="144"/>
      <c r="B341" s="150"/>
      <c r="C341" s="151" t="s">
        <v>514</v>
      </c>
      <c r="D341" s="151" t="s">
        <v>515</v>
      </c>
      <c r="E341" s="151" t="s">
        <v>461</v>
      </c>
      <c r="F341" s="152">
        <f>170*1000000</f>
        <v>170000000</v>
      </c>
      <c r="G341" s="151" t="s">
        <v>457</v>
      </c>
      <c r="H341" s="158">
        <v>1027</v>
      </c>
      <c r="I341" s="151" t="s">
        <v>474</v>
      </c>
      <c r="J341" s="173">
        <f>F341*H341/1000000</f>
        <v>174590</v>
      </c>
      <c r="K341" s="152">
        <v>10273</v>
      </c>
      <c r="L341" s="171">
        <v>0.19</v>
      </c>
      <c r="M341" s="636">
        <v>0.02</v>
      </c>
      <c r="N341" s="144"/>
      <c r="O341" s="144"/>
      <c r="P341" s="631">
        <v>20</v>
      </c>
      <c r="Q341" s="631">
        <v>38</v>
      </c>
      <c r="R341" s="631">
        <v>45.6</v>
      </c>
      <c r="S341" s="635">
        <f t="shared" si="79"/>
        <v>1732.8</v>
      </c>
      <c r="T341" s="144"/>
      <c r="U341" s="144"/>
      <c r="V341" s="144"/>
      <c r="W341" s="144"/>
      <c r="X341" s="144"/>
      <c r="Y341" s="144"/>
      <c r="Z341" s="144"/>
      <c r="AA341" s="144"/>
      <c r="AB341" s="144"/>
      <c r="AC341" s="144"/>
      <c r="AD341" s="144"/>
      <c r="AE341" s="144"/>
      <c r="AF341" s="144"/>
      <c r="AG341" s="144"/>
      <c r="AH341" s="144"/>
      <c r="AI341" s="144"/>
      <c r="AJ341" s="144"/>
      <c r="AK341" s="144"/>
      <c r="AL341" s="144"/>
      <c r="AM341" s="144"/>
    </row>
    <row r="342" spans="1:39" ht="12.75" customHeight="1">
      <c r="A342" s="144"/>
      <c r="B342" s="189"/>
      <c r="C342" s="190"/>
      <c r="D342" s="190"/>
      <c r="E342" s="190"/>
      <c r="F342" s="190"/>
      <c r="G342" s="190"/>
      <c r="H342" s="190"/>
      <c r="I342" s="190"/>
      <c r="J342" s="190"/>
      <c r="K342" s="190"/>
      <c r="L342" s="190"/>
      <c r="M342" s="637"/>
      <c r="N342" s="144"/>
      <c r="O342" s="144"/>
      <c r="P342" s="631">
        <v>21</v>
      </c>
      <c r="Q342" s="631">
        <v>38</v>
      </c>
      <c r="R342" s="631">
        <v>45.6</v>
      </c>
      <c r="S342" s="635">
        <f t="shared" si="79"/>
        <v>1732.8</v>
      </c>
      <c r="T342" s="144"/>
      <c r="U342" s="144"/>
      <c r="V342" s="144"/>
      <c r="W342" s="144"/>
      <c r="X342" s="144"/>
      <c r="Y342" s="144"/>
      <c r="Z342" s="144"/>
      <c r="AA342" s="144"/>
      <c r="AB342" s="144"/>
      <c r="AC342" s="144"/>
      <c r="AD342" s="144"/>
      <c r="AE342" s="144"/>
      <c r="AF342" s="144"/>
      <c r="AG342" s="144"/>
      <c r="AH342" s="144"/>
      <c r="AI342" s="144"/>
      <c r="AJ342" s="144"/>
      <c r="AK342" s="144"/>
      <c r="AL342" s="144"/>
      <c r="AM342" s="144"/>
    </row>
    <row r="343" spans="1:39" ht="12.75" customHeight="1">
      <c r="A343" s="144"/>
      <c r="B343" s="144"/>
      <c r="C343" s="144"/>
      <c r="D343" s="144"/>
      <c r="E343" s="144"/>
      <c r="F343" s="144"/>
      <c r="G343" s="144"/>
      <c r="H343" s="144"/>
      <c r="I343" s="144"/>
      <c r="J343" s="144"/>
      <c r="K343" s="144"/>
      <c r="L343" s="144"/>
      <c r="M343" s="144"/>
      <c r="N343" s="144"/>
      <c r="O343" s="144"/>
      <c r="P343" s="631">
        <v>21</v>
      </c>
      <c r="Q343" s="631">
        <v>38</v>
      </c>
      <c r="R343" s="631">
        <v>45.6</v>
      </c>
      <c r="S343" s="635">
        <f t="shared" si="79"/>
        <v>1732.8</v>
      </c>
      <c r="T343" s="144"/>
      <c r="U343" s="144"/>
      <c r="V343" s="144"/>
      <c r="W343" s="144"/>
      <c r="X343" s="144"/>
      <c r="Y343" s="144"/>
      <c r="Z343" s="144"/>
      <c r="AA343" s="144"/>
      <c r="AB343" s="144"/>
      <c r="AC343" s="144"/>
      <c r="AD343" s="144"/>
      <c r="AE343" s="144"/>
      <c r="AF343" s="144"/>
      <c r="AG343" s="144"/>
      <c r="AH343" s="144"/>
      <c r="AI343" s="144"/>
      <c r="AJ343" s="144"/>
      <c r="AK343" s="144"/>
      <c r="AL343" s="144"/>
      <c r="AM343" s="144"/>
    </row>
    <row r="344" spans="1:39" ht="12.75" customHeight="1">
      <c r="A344" s="144"/>
      <c r="B344" s="144"/>
      <c r="C344" s="144"/>
      <c r="D344" s="144"/>
      <c r="E344" s="144"/>
      <c r="F344" s="144"/>
      <c r="G344" s="144"/>
      <c r="H344" s="144"/>
      <c r="I344" s="144"/>
      <c r="J344" s="144"/>
      <c r="K344" s="144"/>
      <c r="L344" s="144"/>
      <c r="M344" s="144"/>
      <c r="N344" s="144"/>
      <c r="O344" s="144"/>
      <c r="P344" s="631">
        <v>21</v>
      </c>
      <c r="Q344" s="631">
        <v>39</v>
      </c>
      <c r="R344" s="631">
        <v>45.6</v>
      </c>
      <c r="S344" s="635">
        <f t="shared" si="79"/>
        <v>1778.4</v>
      </c>
      <c r="T344" s="144"/>
      <c r="U344" s="144"/>
      <c r="V344" s="144"/>
      <c r="W344" s="144"/>
      <c r="X344" s="144"/>
      <c r="Y344" s="144"/>
      <c r="Z344" s="144"/>
      <c r="AA344" s="144"/>
      <c r="AB344" s="144"/>
      <c r="AC344" s="144"/>
      <c r="AD344" s="144"/>
      <c r="AE344" s="144"/>
      <c r="AF344" s="144"/>
      <c r="AG344" s="144"/>
      <c r="AH344" s="144"/>
      <c r="AI344" s="144"/>
      <c r="AJ344" s="144"/>
      <c r="AK344" s="144"/>
      <c r="AL344" s="144"/>
      <c r="AM344" s="144"/>
    </row>
    <row r="345" spans="1:39" ht="12.75" customHeight="1">
      <c r="A345" s="144"/>
      <c r="B345" s="144"/>
      <c r="C345" s="144"/>
      <c r="D345" s="144"/>
      <c r="E345" s="144"/>
      <c r="F345" s="144"/>
      <c r="G345" s="144"/>
      <c r="H345" s="144"/>
      <c r="I345" s="144"/>
      <c r="J345" s="144"/>
      <c r="K345" s="144"/>
      <c r="L345" s="144"/>
      <c r="M345" s="144"/>
      <c r="N345" s="144"/>
      <c r="O345" s="144"/>
      <c r="P345" s="610"/>
      <c r="Q345" s="610"/>
      <c r="R345" s="610"/>
      <c r="S345" s="610"/>
      <c r="T345" s="144"/>
      <c r="U345" s="144"/>
      <c r="V345" s="144"/>
      <c r="W345" s="144"/>
      <c r="X345" s="144"/>
      <c r="Y345" s="144"/>
      <c r="Z345" s="144"/>
      <c r="AA345" s="144"/>
      <c r="AB345" s="144"/>
      <c r="AC345" s="144"/>
      <c r="AD345" s="144"/>
      <c r="AE345" s="144"/>
      <c r="AF345" s="144"/>
      <c r="AG345" s="144"/>
      <c r="AH345" s="144"/>
      <c r="AI345" s="144"/>
      <c r="AJ345" s="144"/>
      <c r="AK345" s="144"/>
      <c r="AL345" s="144"/>
      <c r="AM345" s="144"/>
    </row>
    <row r="346" spans="1:39" ht="12.75" customHeight="1">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c r="AA346" s="144"/>
      <c r="AB346" s="144"/>
      <c r="AC346" s="144"/>
      <c r="AD346" s="144"/>
      <c r="AE346" s="144"/>
      <c r="AF346" s="144"/>
      <c r="AG346" s="144"/>
      <c r="AH346" s="144"/>
      <c r="AI346" s="144"/>
      <c r="AJ346" s="144"/>
      <c r="AK346" s="144"/>
      <c r="AL346" s="144"/>
      <c r="AM346" s="144"/>
    </row>
    <row r="347" spans="1:39" ht="12.75" customHeight="1">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c r="AA347" s="144"/>
      <c r="AB347" s="144"/>
      <c r="AC347" s="144"/>
      <c r="AD347" s="144"/>
      <c r="AE347" s="144"/>
      <c r="AF347" s="144"/>
      <c r="AG347" s="144"/>
      <c r="AH347" s="144"/>
      <c r="AI347" s="144"/>
      <c r="AJ347" s="144"/>
      <c r="AK347" s="144"/>
      <c r="AL347" s="144"/>
      <c r="AM347" s="144"/>
    </row>
    <row r="348" spans="1:39" ht="12.75" customHeight="1">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c r="AA348" s="144"/>
      <c r="AB348" s="144"/>
      <c r="AC348" s="144"/>
      <c r="AD348" s="144"/>
      <c r="AE348" s="144"/>
      <c r="AF348" s="144"/>
      <c r="AG348" s="144"/>
      <c r="AH348" s="144"/>
      <c r="AI348" s="144"/>
      <c r="AJ348" s="144"/>
      <c r="AK348" s="144"/>
      <c r="AL348" s="144"/>
      <c r="AM348" s="144"/>
    </row>
    <row r="349" spans="1:39" ht="12.75" customHeight="1">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c r="AA349" s="144"/>
      <c r="AB349" s="144"/>
      <c r="AC349" s="144"/>
      <c r="AD349" s="144"/>
      <c r="AE349" s="144"/>
      <c r="AF349" s="144"/>
      <c r="AG349" s="144"/>
      <c r="AH349" s="144"/>
      <c r="AI349" s="144"/>
      <c r="AJ349" s="144"/>
      <c r="AK349" s="144"/>
      <c r="AL349" s="144"/>
      <c r="AM349" s="144"/>
    </row>
    <row r="350" spans="1:39" ht="12.75" customHeight="1">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c r="AA350" s="144"/>
      <c r="AB350" s="144"/>
      <c r="AC350" s="144"/>
      <c r="AD350" s="144"/>
      <c r="AE350" s="144"/>
      <c r="AF350" s="144"/>
      <c r="AG350" s="144"/>
      <c r="AH350" s="144"/>
      <c r="AI350" s="144"/>
      <c r="AJ350" s="144"/>
      <c r="AK350" s="144"/>
      <c r="AL350" s="144"/>
      <c r="AM350" s="144"/>
    </row>
    <row r="351" spans="1:39" ht="12.75" customHeight="1">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c r="AK351" s="144"/>
      <c r="AL351" s="144"/>
      <c r="AM351" s="144"/>
    </row>
    <row r="352" spans="1:39" ht="12.75" customHeight="1">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c r="AA352" s="144"/>
      <c r="AB352" s="144"/>
      <c r="AC352" s="144"/>
      <c r="AD352" s="144"/>
      <c r="AE352" s="144"/>
      <c r="AF352" s="144"/>
      <c r="AG352" s="144"/>
      <c r="AH352" s="144"/>
      <c r="AI352" s="144"/>
      <c r="AJ352" s="144"/>
      <c r="AK352" s="144"/>
      <c r="AL352" s="144"/>
      <c r="AM352" s="144"/>
    </row>
    <row r="353" spans="1:39" ht="12.75" customHeight="1">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c r="AA353" s="144"/>
      <c r="AB353" s="144"/>
      <c r="AC353" s="144"/>
      <c r="AD353" s="144"/>
      <c r="AE353" s="144"/>
      <c r="AF353" s="144"/>
      <c r="AG353" s="144"/>
      <c r="AH353" s="144"/>
      <c r="AI353" s="144"/>
      <c r="AJ353" s="144"/>
      <c r="AK353" s="144"/>
      <c r="AL353" s="144"/>
      <c r="AM353" s="144"/>
    </row>
    <row r="354" spans="1:39" ht="12.75" customHeight="1">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c r="AA354" s="144"/>
      <c r="AB354" s="144"/>
      <c r="AC354" s="144"/>
      <c r="AD354" s="144"/>
      <c r="AE354" s="144"/>
      <c r="AF354" s="144"/>
      <c r="AG354" s="144"/>
      <c r="AH354" s="144"/>
      <c r="AI354" s="144"/>
      <c r="AJ354" s="144"/>
      <c r="AK354" s="144"/>
      <c r="AL354" s="144"/>
      <c r="AM354" s="144"/>
    </row>
    <row r="355" spans="1:39" ht="12.75" customHeight="1">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c r="AA355" s="144"/>
      <c r="AB355" s="144"/>
      <c r="AC355" s="144"/>
      <c r="AD355" s="144"/>
      <c r="AE355" s="144"/>
      <c r="AF355" s="144"/>
      <c r="AG355" s="144"/>
      <c r="AH355" s="144"/>
      <c r="AI355" s="144"/>
      <c r="AJ355" s="144"/>
      <c r="AK355" s="144"/>
      <c r="AL355" s="144"/>
      <c r="AM355" s="144"/>
    </row>
    <row r="356" spans="1:39" ht="12.75" customHeight="1">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c r="AA356" s="144"/>
      <c r="AB356" s="144"/>
      <c r="AC356" s="144"/>
      <c r="AD356" s="144"/>
      <c r="AE356" s="144"/>
      <c r="AF356" s="144"/>
      <c r="AG356" s="144"/>
      <c r="AH356" s="144"/>
      <c r="AI356" s="144"/>
      <c r="AJ356" s="144"/>
      <c r="AK356" s="144"/>
      <c r="AL356" s="144"/>
      <c r="AM356" s="144"/>
    </row>
    <row r="357" spans="1:39" ht="12.75" customHeight="1">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c r="AA357" s="144"/>
      <c r="AB357" s="144"/>
      <c r="AC357" s="144"/>
      <c r="AD357" s="144"/>
      <c r="AE357" s="144"/>
      <c r="AF357" s="144"/>
      <c r="AG357" s="144"/>
      <c r="AH357" s="144"/>
      <c r="AI357" s="144"/>
      <c r="AJ357" s="144"/>
      <c r="AK357" s="144"/>
      <c r="AL357" s="144"/>
      <c r="AM357" s="144"/>
    </row>
    <row r="358" spans="1:39" ht="12.75" customHeight="1">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c r="AA358" s="144"/>
      <c r="AB358" s="144"/>
      <c r="AC358" s="144"/>
      <c r="AD358" s="144"/>
      <c r="AE358" s="144"/>
      <c r="AF358" s="144"/>
      <c r="AG358" s="144"/>
      <c r="AH358" s="144"/>
      <c r="AI358" s="144"/>
      <c r="AJ358" s="144"/>
      <c r="AK358" s="144"/>
      <c r="AL358" s="144"/>
      <c r="AM358" s="144"/>
    </row>
    <row r="359" spans="1:39" ht="12.75" customHeight="1">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c r="AA359" s="144"/>
      <c r="AB359" s="144"/>
      <c r="AC359" s="144"/>
      <c r="AD359" s="144"/>
      <c r="AE359" s="144"/>
      <c r="AF359" s="144"/>
      <c r="AG359" s="144"/>
      <c r="AH359" s="144"/>
      <c r="AI359" s="144"/>
      <c r="AJ359" s="144"/>
      <c r="AK359" s="144"/>
      <c r="AL359" s="144"/>
      <c r="AM359" s="144"/>
    </row>
    <row r="360" spans="1:39" ht="12.75" customHeight="1">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c r="AA360" s="144"/>
      <c r="AB360" s="144"/>
      <c r="AC360" s="144"/>
      <c r="AD360" s="144"/>
      <c r="AE360" s="144"/>
      <c r="AF360" s="144"/>
      <c r="AG360" s="144"/>
      <c r="AH360" s="144"/>
      <c r="AI360" s="144"/>
      <c r="AJ360" s="144"/>
      <c r="AK360" s="144"/>
      <c r="AL360" s="144"/>
      <c r="AM360" s="144"/>
    </row>
    <row r="361" spans="1:39" ht="12.75" customHeight="1">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c r="AA361" s="144"/>
      <c r="AB361" s="144"/>
      <c r="AC361" s="144"/>
      <c r="AD361" s="144"/>
      <c r="AE361" s="144"/>
      <c r="AF361" s="144"/>
      <c r="AG361" s="144"/>
      <c r="AH361" s="144"/>
      <c r="AI361" s="144"/>
      <c r="AJ361" s="144"/>
      <c r="AK361" s="144"/>
      <c r="AL361" s="144"/>
      <c r="AM361" s="144"/>
    </row>
    <row r="362" spans="1:39" ht="12.75" customHeight="1">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c r="AA362" s="144"/>
      <c r="AB362" s="144"/>
      <c r="AC362" s="144"/>
      <c r="AD362" s="144"/>
      <c r="AE362" s="144"/>
      <c r="AF362" s="144"/>
      <c r="AG362" s="144"/>
      <c r="AH362" s="144"/>
      <c r="AI362" s="144"/>
      <c r="AJ362" s="144"/>
      <c r="AK362" s="144"/>
      <c r="AL362" s="144"/>
      <c r="AM362" s="144"/>
    </row>
    <row r="363" spans="1:39" ht="12.75" customHeight="1">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c r="AA363" s="144"/>
      <c r="AB363" s="144"/>
      <c r="AC363" s="144"/>
      <c r="AD363" s="144"/>
      <c r="AE363" s="144"/>
      <c r="AF363" s="144"/>
      <c r="AG363" s="144"/>
      <c r="AH363" s="144"/>
      <c r="AI363" s="144"/>
      <c r="AJ363" s="144"/>
      <c r="AK363" s="144"/>
      <c r="AL363" s="144"/>
      <c r="AM363" s="144"/>
    </row>
    <row r="364" spans="1:39" ht="12.75" customHeight="1">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c r="AA364" s="144"/>
      <c r="AB364" s="144"/>
      <c r="AC364" s="144"/>
      <c r="AD364" s="144"/>
      <c r="AE364" s="144"/>
      <c r="AF364" s="144"/>
      <c r="AG364" s="144"/>
      <c r="AH364" s="144"/>
      <c r="AI364" s="144"/>
      <c r="AJ364" s="144"/>
      <c r="AK364" s="144"/>
      <c r="AL364" s="144"/>
      <c r="AM364" s="144"/>
    </row>
    <row r="365" spans="1:39" ht="12.75" customHeight="1">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c r="AA365" s="144"/>
      <c r="AB365" s="144"/>
      <c r="AC365" s="144"/>
      <c r="AD365" s="144"/>
      <c r="AE365" s="144"/>
      <c r="AF365" s="144"/>
      <c r="AG365" s="144"/>
      <c r="AH365" s="144"/>
      <c r="AI365" s="144"/>
      <c r="AJ365" s="144"/>
      <c r="AK365" s="144"/>
      <c r="AL365" s="144"/>
      <c r="AM365" s="144"/>
    </row>
    <row r="366" spans="1:39" ht="12.75" customHeight="1">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4"/>
    </row>
    <row r="367" spans="1:39" ht="12.75" customHeight="1">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c r="AL367" s="144"/>
      <c r="AM367" s="144"/>
    </row>
    <row r="368" spans="1:39" ht="12.75" customHeight="1">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c r="AL368" s="144"/>
      <c r="AM368" s="144"/>
    </row>
    <row r="369" spans="1:39" ht="12.75" customHeight="1">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4"/>
    </row>
    <row r="370" spans="1:39" ht="12.75" customHeight="1">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c r="AL370" s="144"/>
      <c r="AM370" s="144"/>
    </row>
    <row r="371" spans="1:39" ht="12.75" customHeight="1">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4"/>
    </row>
    <row r="372" spans="1:39" ht="12.75" customHeight="1">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c r="AL372" s="144"/>
      <c r="AM372" s="144"/>
    </row>
    <row r="373" spans="1:39" ht="12.75" customHeight="1">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4"/>
    </row>
    <row r="374" spans="1:39" ht="12.75" customHeight="1">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4"/>
    </row>
    <row r="375" spans="1:39" ht="12.75" customHeight="1">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4"/>
    </row>
    <row r="376" spans="1:39" ht="12.75" customHeight="1">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4"/>
    </row>
    <row r="377" spans="1:39" ht="12.75" customHeight="1">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4"/>
    </row>
    <row r="378" spans="1:39" ht="12.75" customHeight="1">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4"/>
    </row>
    <row r="379" spans="1:39" ht="12.75" customHeight="1">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4"/>
    </row>
    <row r="380" spans="1:39" ht="12.75" customHeight="1">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4"/>
    </row>
    <row r="381" spans="1:39" ht="12.75" customHeight="1">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4"/>
    </row>
    <row r="382" spans="1:39" ht="12.75" customHeight="1">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4"/>
    </row>
    <row r="383" spans="1:39" ht="12.75" customHeight="1">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c r="AK383" s="144"/>
      <c r="AL383" s="144"/>
      <c r="AM383" s="144"/>
    </row>
    <row r="384" spans="1:39" ht="12.75" customHeight="1">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44"/>
      <c r="AF384" s="144"/>
      <c r="AG384" s="144"/>
      <c r="AH384" s="144"/>
      <c r="AI384" s="144"/>
      <c r="AJ384" s="144"/>
      <c r="AK384" s="144"/>
      <c r="AL384" s="144"/>
      <c r="AM384" s="144"/>
    </row>
    <row r="385" spans="1:39" ht="12.75" customHeight="1">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c r="AA385" s="144"/>
      <c r="AB385" s="144"/>
      <c r="AC385" s="144"/>
      <c r="AD385" s="144"/>
      <c r="AE385" s="144"/>
      <c r="AF385" s="144"/>
      <c r="AG385" s="144"/>
      <c r="AH385" s="144"/>
      <c r="AI385" s="144"/>
      <c r="AJ385" s="144"/>
      <c r="AK385" s="144"/>
      <c r="AL385" s="144"/>
      <c r="AM385" s="144"/>
    </row>
    <row r="386" spans="1:39" ht="12.75" customHeight="1">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144"/>
      <c r="AG386" s="144"/>
      <c r="AH386" s="144"/>
      <c r="AI386" s="144"/>
      <c r="AJ386" s="144"/>
      <c r="AK386" s="144"/>
      <c r="AL386" s="144"/>
      <c r="AM386" s="144"/>
    </row>
    <row r="387" spans="1:39" ht="12.75" customHeight="1">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4"/>
      <c r="AC387" s="144"/>
      <c r="AD387" s="144"/>
      <c r="AE387" s="144"/>
      <c r="AF387" s="144"/>
      <c r="AG387" s="144"/>
      <c r="AH387" s="144"/>
      <c r="AI387" s="144"/>
      <c r="AJ387" s="144"/>
      <c r="AK387" s="144"/>
      <c r="AL387" s="144"/>
      <c r="AM387" s="144"/>
    </row>
    <row r="388" spans="1:39" ht="12.75" customHeight="1">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44"/>
      <c r="AF388" s="144"/>
      <c r="AG388" s="144"/>
      <c r="AH388" s="144"/>
      <c r="AI388" s="144"/>
      <c r="AJ388" s="144"/>
      <c r="AK388" s="144"/>
      <c r="AL388" s="144"/>
      <c r="AM388" s="144"/>
    </row>
    <row r="389" spans="1:39" ht="12.75" customHeight="1">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c r="AK389" s="144"/>
      <c r="AL389" s="144"/>
      <c r="AM389" s="144"/>
    </row>
    <row r="390" spans="1:39" ht="12.75" customHeight="1">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44"/>
      <c r="AF390" s="144"/>
      <c r="AG390" s="144"/>
      <c r="AH390" s="144"/>
      <c r="AI390" s="144"/>
      <c r="AJ390" s="144"/>
      <c r="AK390" s="144"/>
      <c r="AL390" s="144"/>
      <c r="AM390" s="144"/>
    </row>
    <row r="391" spans="1:39" ht="12.75" customHeight="1">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c r="AA391" s="144"/>
      <c r="AB391" s="144"/>
      <c r="AC391" s="144"/>
      <c r="AD391" s="144"/>
      <c r="AE391" s="144"/>
      <c r="AF391" s="144"/>
      <c r="AG391" s="144"/>
      <c r="AH391" s="144"/>
      <c r="AI391" s="144"/>
      <c r="AJ391" s="144"/>
      <c r="AK391" s="144"/>
      <c r="AL391" s="144"/>
      <c r="AM391" s="144"/>
    </row>
    <row r="392" spans="1:39" ht="12.75" customHeight="1">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c r="AA392" s="144"/>
      <c r="AB392" s="144"/>
      <c r="AC392" s="144"/>
      <c r="AD392" s="144"/>
      <c r="AE392" s="144"/>
      <c r="AF392" s="144"/>
      <c r="AG392" s="144"/>
      <c r="AH392" s="144"/>
      <c r="AI392" s="144"/>
      <c r="AJ392" s="144"/>
      <c r="AK392" s="144"/>
      <c r="AL392" s="144"/>
      <c r="AM392" s="144"/>
    </row>
    <row r="393" spans="1:39" ht="12.75" customHeight="1">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c r="AA393" s="144"/>
      <c r="AB393" s="144"/>
      <c r="AC393" s="144"/>
      <c r="AD393" s="144"/>
      <c r="AE393" s="144"/>
      <c r="AF393" s="144"/>
      <c r="AG393" s="144"/>
      <c r="AH393" s="144"/>
      <c r="AI393" s="144"/>
      <c r="AJ393" s="144"/>
      <c r="AK393" s="144"/>
      <c r="AL393" s="144"/>
      <c r="AM393" s="144"/>
    </row>
    <row r="394" spans="1:39" ht="12.75" customHeight="1">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c r="AA394" s="144"/>
      <c r="AB394" s="144"/>
      <c r="AC394" s="144"/>
      <c r="AD394" s="144"/>
      <c r="AE394" s="144"/>
      <c r="AF394" s="144"/>
      <c r="AG394" s="144"/>
      <c r="AH394" s="144"/>
      <c r="AI394" s="144"/>
      <c r="AJ394" s="144"/>
      <c r="AK394" s="144"/>
      <c r="AL394" s="144"/>
      <c r="AM394" s="144"/>
    </row>
    <row r="395" spans="1:39" ht="12.75" customHeight="1">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c r="AA395" s="144"/>
      <c r="AB395" s="144"/>
      <c r="AC395" s="144"/>
      <c r="AD395" s="144"/>
      <c r="AE395" s="144"/>
      <c r="AF395" s="144"/>
      <c r="AG395" s="144"/>
      <c r="AH395" s="144"/>
      <c r="AI395" s="144"/>
      <c r="AJ395" s="144"/>
      <c r="AK395" s="144"/>
      <c r="AL395" s="144"/>
      <c r="AM395" s="144"/>
    </row>
    <row r="396" spans="1:39" ht="12.75" customHeight="1">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c r="AA396" s="144"/>
      <c r="AB396" s="144"/>
      <c r="AC396" s="144"/>
      <c r="AD396" s="144"/>
      <c r="AE396" s="144"/>
      <c r="AF396" s="144"/>
      <c r="AG396" s="144"/>
      <c r="AH396" s="144"/>
      <c r="AI396" s="144"/>
      <c r="AJ396" s="144"/>
      <c r="AK396" s="144"/>
      <c r="AL396" s="144"/>
      <c r="AM396" s="144"/>
    </row>
    <row r="397" spans="1:39" ht="12.75" customHeight="1">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c r="AA397" s="144"/>
      <c r="AB397" s="144"/>
      <c r="AC397" s="144"/>
      <c r="AD397" s="144"/>
      <c r="AE397" s="144"/>
      <c r="AF397" s="144"/>
      <c r="AG397" s="144"/>
      <c r="AH397" s="144"/>
      <c r="AI397" s="144"/>
      <c r="AJ397" s="144"/>
      <c r="AK397" s="144"/>
      <c r="AL397" s="144"/>
      <c r="AM397" s="144"/>
    </row>
    <row r="398" spans="1:39" ht="12.75" customHeight="1">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c r="AA398" s="144"/>
      <c r="AB398" s="144"/>
      <c r="AC398" s="144"/>
      <c r="AD398" s="144"/>
      <c r="AE398" s="144"/>
      <c r="AF398" s="144"/>
      <c r="AG398" s="144"/>
      <c r="AH398" s="144"/>
      <c r="AI398" s="144"/>
      <c r="AJ398" s="144"/>
      <c r="AK398" s="144"/>
      <c r="AL398" s="144"/>
      <c r="AM398" s="144"/>
    </row>
    <row r="399" spans="1:39" ht="12.75" customHeight="1">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c r="AA399" s="144"/>
      <c r="AB399" s="144"/>
      <c r="AC399" s="144"/>
      <c r="AD399" s="144"/>
      <c r="AE399" s="144"/>
      <c r="AF399" s="144"/>
      <c r="AG399" s="144"/>
      <c r="AH399" s="144"/>
      <c r="AI399" s="144"/>
      <c r="AJ399" s="144"/>
      <c r="AK399" s="144"/>
      <c r="AL399" s="144"/>
      <c r="AM399" s="144"/>
    </row>
    <row r="400" spans="1:39" ht="12.75" customHeight="1">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c r="AA400" s="144"/>
      <c r="AB400" s="144"/>
      <c r="AC400" s="144"/>
      <c r="AD400" s="144"/>
      <c r="AE400" s="144"/>
      <c r="AF400" s="144"/>
      <c r="AG400" s="144"/>
      <c r="AH400" s="144"/>
      <c r="AI400" s="144"/>
      <c r="AJ400" s="144"/>
      <c r="AK400" s="144"/>
      <c r="AL400" s="144"/>
      <c r="AM400" s="144"/>
    </row>
    <row r="401" spans="1:39" ht="12.75" customHeight="1">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c r="AA401" s="144"/>
      <c r="AB401" s="144"/>
      <c r="AC401" s="144"/>
      <c r="AD401" s="144"/>
      <c r="AE401" s="144"/>
      <c r="AF401" s="144"/>
      <c r="AG401" s="144"/>
      <c r="AH401" s="144"/>
      <c r="AI401" s="144"/>
      <c r="AJ401" s="144"/>
      <c r="AK401" s="144"/>
      <c r="AL401" s="144"/>
      <c r="AM401" s="144"/>
    </row>
    <row r="402" spans="1:39" ht="12.75" customHeight="1">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c r="AA402" s="144"/>
      <c r="AB402" s="144"/>
      <c r="AC402" s="144"/>
      <c r="AD402" s="144"/>
      <c r="AE402" s="144"/>
      <c r="AF402" s="144"/>
      <c r="AG402" s="144"/>
      <c r="AH402" s="144"/>
      <c r="AI402" s="144"/>
      <c r="AJ402" s="144"/>
      <c r="AK402" s="144"/>
      <c r="AL402" s="144"/>
      <c r="AM402" s="144"/>
    </row>
    <row r="403" spans="1:39" ht="12.75" customHeight="1">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c r="AA403" s="144"/>
      <c r="AB403" s="144"/>
      <c r="AC403" s="144"/>
      <c r="AD403" s="144"/>
      <c r="AE403" s="144"/>
      <c r="AF403" s="144"/>
      <c r="AG403" s="144"/>
      <c r="AH403" s="144"/>
      <c r="AI403" s="144"/>
      <c r="AJ403" s="144"/>
      <c r="AK403" s="144"/>
      <c r="AL403" s="144"/>
      <c r="AM403" s="144"/>
    </row>
    <row r="404" spans="1:39" ht="12.75" customHeight="1">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c r="AA404" s="144"/>
      <c r="AB404" s="144"/>
      <c r="AC404" s="144"/>
      <c r="AD404" s="144"/>
      <c r="AE404" s="144"/>
      <c r="AF404" s="144"/>
      <c r="AG404" s="144"/>
      <c r="AH404" s="144"/>
      <c r="AI404" s="144"/>
      <c r="AJ404" s="144"/>
      <c r="AK404" s="144"/>
      <c r="AL404" s="144"/>
      <c r="AM404" s="144"/>
    </row>
    <row r="405" spans="1:39" ht="12.75" customHeight="1">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c r="AA405" s="144"/>
      <c r="AB405" s="144"/>
      <c r="AC405" s="144"/>
      <c r="AD405" s="144"/>
      <c r="AE405" s="144"/>
      <c r="AF405" s="144"/>
      <c r="AG405" s="144"/>
      <c r="AH405" s="144"/>
      <c r="AI405" s="144"/>
      <c r="AJ405" s="144"/>
      <c r="AK405" s="144"/>
      <c r="AL405" s="144"/>
      <c r="AM405" s="144"/>
    </row>
    <row r="406" spans="1:39" ht="12.75" customHeight="1">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c r="AA406" s="144"/>
      <c r="AB406" s="144"/>
      <c r="AC406" s="144"/>
      <c r="AD406" s="144"/>
      <c r="AE406" s="144"/>
      <c r="AF406" s="144"/>
      <c r="AG406" s="144"/>
      <c r="AH406" s="144"/>
      <c r="AI406" s="144"/>
      <c r="AJ406" s="144"/>
      <c r="AK406" s="144"/>
      <c r="AL406" s="144"/>
      <c r="AM406" s="144"/>
    </row>
    <row r="407" spans="1:39" ht="12.75" customHeight="1">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c r="AA407" s="144"/>
      <c r="AB407" s="144"/>
      <c r="AC407" s="144"/>
      <c r="AD407" s="144"/>
      <c r="AE407" s="144"/>
      <c r="AF407" s="144"/>
      <c r="AG407" s="144"/>
      <c r="AH407" s="144"/>
      <c r="AI407" s="144"/>
      <c r="AJ407" s="144"/>
      <c r="AK407" s="144"/>
      <c r="AL407" s="144"/>
      <c r="AM407" s="144"/>
    </row>
    <row r="408" spans="1:39" ht="12.75" customHeight="1">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c r="AA408" s="144"/>
      <c r="AB408" s="144"/>
      <c r="AC408" s="144"/>
      <c r="AD408" s="144"/>
      <c r="AE408" s="144"/>
      <c r="AF408" s="144"/>
      <c r="AG408" s="144"/>
      <c r="AH408" s="144"/>
      <c r="AI408" s="144"/>
      <c r="AJ408" s="144"/>
      <c r="AK408" s="144"/>
      <c r="AL408" s="144"/>
      <c r="AM408" s="144"/>
    </row>
    <row r="409" spans="1:39" ht="12.75" customHeight="1">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c r="AA409" s="144"/>
      <c r="AB409" s="144"/>
      <c r="AC409" s="144"/>
      <c r="AD409" s="144"/>
      <c r="AE409" s="144"/>
      <c r="AF409" s="144"/>
      <c r="AG409" s="144"/>
      <c r="AH409" s="144"/>
      <c r="AI409" s="144"/>
      <c r="AJ409" s="144"/>
      <c r="AK409" s="144"/>
      <c r="AL409" s="144"/>
      <c r="AM409" s="144"/>
    </row>
    <row r="410" spans="1:39" ht="12.75" customHeight="1">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c r="AA410" s="144"/>
      <c r="AB410" s="144"/>
      <c r="AC410" s="144"/>
      <c r="AD410" s="144"/>
      <c r="AE410" s="144"/>
      <c r="AF410" s="144"/>
      <c r="AG410" s="144"/>
      <c r="AH410" s="144"/>
      <c r="AI410" s="144"/>
      <c r="AJ410" s="144"/>
      <c r="AK410" s="144"/>
      <c r="AL410" s="144"/>
      <c r="AM410" s="144"/>
    </row>
    <row r="411" spans="1:39" ht="12.75" customHeight="1">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c r="AA411" s="144"/>
      <c r="AB411" s="144"/>
      <c r="AC411" s="144"/>
      <c r="AD411" s="144"/>
      <c r="AE411" s="144"/>
      <c r="AF411" s="144"/>
      <c r="AG411" s="144"/>
      <c r="AH411" s="144"/>
      <c r="AI411" s="144"/>
      <c r="AJ411" s="144"/>
      <c r="AK411" s="144"/>
      <c r="AL411" s="144"/>
      <c r="AM411" s="144"/>
    </row>
    <row r="412" spans="1:39" ht="12.75" customHeight="1">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c r="AA412" s="144"/>
      <c r="AB412" s="144"/>
      <c r="AC412" s="144"/>
      <c r="AD412" s="144"/>
      <c r="AE412" s="144"/>
      <c r="AF412" s="144"/>
      <c r="AG412" s="144"/>
      <c r="AH412" s="144"/>
      <c r="AI412" s="144"/>
      <c r="AJ412" s="144"/>
      <c r="AK412" s="144"/>
      <c r="AL412" s="144"/>
      <c r="AM412" s="144"/>
    </row>
    <row r="413" spans="1:39" ht="12.75" customHeight="1">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c r="AA413" s="144"/>
      <c r="AB413" s="144"/>
      <c r="AC413" s="144"/>
      <c r="AD413" s="144"/>
      <c r="AE413" s="144"/>
      <c r="AF413" s="144"/>
      <c r="AG413" s="144"/>
      <c r="AH413" s="144"/>
      <c r="AI413" s="144"/>
      <c r="AJ413" s="144"/>
      <c r="AK413" s="144"/>
      <c r="AL413" s="144"/>
      <c r="AM413" s="144"/>
    </row>
    <row r="414" spans="1:39" ht="12.75" customHeight="1">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c r="AA414" s="144"/>
      <c r="AB414" s="144"/>
      <c r="AC414" s="144"/>
      <c r="AD414" s="144"/>
      <c r="AE414" s="144"/>
      <c r="AF414" s="144"/>
      <c r="AG414" s="144"/>
      <c r="AH414" s="144"/>
      <c r="AI414" s="144"/>
      <c r="AJ414" s="144"/>
      <c r="AK414" s="144"/>
      <c r="AL414" s="144"/>
      <c r="AM414" s="144"/>
    </row>
    <row r="415" spans="1:39" ht="12.75" customHeight="1">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c r="AA415" s="144"/>
      <c r="AB415" s="144"/>
      <c r="AC415" s="144"/>
      <c r="AD415" s="144"/>
      <c r="AE415" s="144"/>
      <c r="AF415" s="144"/>
      <c r="AG415" s="144"/>
      <c r="AH415" s="144"/>
      <c r="AI415" s="144"/>
      <c r="AJ415" s="144"/>
      <c r="AK415" s="144"/>
      <c r="AL415" s="144"/>
      <c r="AM415" s="144"/>
    </row>
    <row r="416" spans="1:39" ht="12.75" customHeight="1">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c r="AA416" s="144"/>
      <c r="AB416" s="144"/>
      <c r="AC416" s="144"/>
      <c r="AD416" s="144"/>
      <c r="AE416" s="144"/>
      <c r="AF416" s="144"/>
      <c r="AG416" s="144"/>
      <c r="AH416" s="144"/>
      <c r="AI416" s="144"/>
      <c r="AJ416" s="144"/>
      <c r="AK416" s="144"/>
      <c r="AL416" s="144"/>
      <c r="AM416" s="144"/>
    </row>
    <row r="417" spans="1:39" ht="12.75" customHeight="1">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c r="AA417" s="144"/>
      <c r="AB417" s="144"/>
      <c r="AC417" s="144"/>
      <c r="AD417" s="144"/>
      <c r="AE417" s="144"/>
      <c r="AF417" s="144"/>
      <c r="AG417" s="144"/>
      <c r="AH417" s="144"/>
      <c r="AI417" s="144"/>
      <c r="AJ417" s="144"/>
      <c r="AK417" s="144"/>
      <c r="AL417" s="144"/>
      <c r="AM417" s="144"/>
    </row>
    <row r="418" spans="1:39" ht="12.75" customHeight="1">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c r="AA418" s="144"/>
      <c r="AB418" s="144"/>
      <c r="AC418" s="144"/>
      <c r="AD418" s="144"/>
      <c r="AE418" s="144"/>
      <c r="AF418" s="144"/>
      <c r="AG418" s="144"/>
      <c r="AH418" s="144"/>
      <c r="AI418" s="144"/>
      <c r="AJ418" s="144"/>
      <c r="AK418" s="144"/>
      <c r="AL418" s="144"/>
      <c r="AM418" s="144"/>
    </row>
    <row r="419" spans="1:39" ht="12.75" customHeight="1">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c r="AA419" s="144"/>
      <c r="AB419" s="144"/>
      <c r="AC419" s="144"/>
      <c r="AD419" s="144"/>
      <c r="AE419" s="144"/>
      <c r="AF419" s="144"/>
      <c r="AG419" s="144"/>
      <c r="AH419" s="144"/>
      <c r="AI419" s="144"/>
      <c r="AJ419" s="144"/>
      <c r="AK419" s="144"/>
      <c r="AL419" s="144"/>
      <c r="AM419" s="144"/>
    </row>
    <row r="420" spans="1:39" ht="12.75" customHeight="1">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c r="AA420" s="144"/>
      <c r="AB420" s="144"/>
      <c r="AC420" s="144"/>
      <c r="AD420" s="144"/>
      <c r="AE420" s="144"/>
      <c r="AF420" s="144"/>
      <c r="AG420" s="144"/>
      <c r="AH420" s="144"/>
      <c r="AI420" s="144"/>
      <c r="AJ420" s="144"/>
      <c r="AK420" s="144"/>
      <c r="AL420" s="144"/>
      <c r="AM420" s="144"/>
    </row>
    <row r="421" spans="1:39" ht="12.75" customHeight="1">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c r="AA421" s="144"/>
      <c r="AB421" s="144"/>
      <c r="AC421" s="144"/>
      <c r="AD421" s="144"/>
      <c r="AE421" s="144"/>
      <c r="AF421" s="144"/>
      <c r="AG421" s="144"/>
      <c r="AH421" s="144"/>
      <c r="AI421" s="144"/>
      <c r="AJ421" s="144"/>
      <c r="AK421" s="144"/>
      <c r="AL421" s="144"/>
      <c r="AM421" s="144"/>
    </row>
    <row r="422" spans="1:39" ht="12.75" customHeight="1">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c r="AA422" s="144"/>
      <c r="AB422" s="144"/>
      <c r="AC422" s="144"/>
      <c r="AD422" s="144"/>
      <c r="AE422" s="144"/>
      <c r="AF422" s="144"/>
      <c r="AG422" s="144"/>
      <c r="AH422" s="144"/>
      <c r="AI422" s="144"/>
      <c r="AJ422" s="144"/>
      <c r="AK422" s="144"/>
      <c r="AL422" s="144"/>
      <c r="AM422" s="144"/>
    </row>
    <row r="423" spans="1:39" ht="12.75" customHeight="1">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c r="AA423" s="144"/>
      <c r="AB423" s="144"/>
      <c r="AC423" s="144"/>
      <c r="AD423" s="144"/>
      <c r="AE423" s="144"/>
      <c r="AF423" s="144"/>
      <c r="AG423" s="144"/>
      <c r="AH423" s="144"/>
      <c r="AI423" s="144"/>
      <c r="AJ423" s="144"/>
      <c r="AK423" s="144"/>
      <c r="AL423" s="144"/>
      <c r="AM423" s="144"/>
    </row>
    <row r="424" spans="1:39" ht="12.75" customHeight="1">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c r="AA424" s="144"/>
      <c r="AB424" s="144"/>
      <c r="AC424" s="144"/>
      <c r="AD424" s="144"/>
      <c r="AE424" s="144"/>
      <c r="AF424" s="144"/>
      <c r="AG424" s="144"/>
      <c r="AH424" s="144"/>
      <c r="AI424" s="144"/>
      <c r="AJ424" s="144"/>
      <c r="AK424" s="144"/>
      <c r="AL424" s="144"/>
      <c r="AM424" s="144"/>
    </row>
    <row r="425" spans="1:39" ht="12.75" customHeight="1">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c r="AA425" s="144"/>
      <c r="AB425" s="144"/>
      <c r="AC425" s="144"/>
      <c r="AD425" s="144"/>
      <c r="AE425" s="144"/>
      <c r="AF425" s="144"/>
      <c r="AG425" s="144"/>
      <c r="AH425" s="144"/>
      <c r="AI425" s="144"/>
      <c r="AJ425" s="144"/>
      <c r="AK425" s="144"/>
      <c r="AL425" s="144"/>
      <c r="AM425" s="144"/>
    </row>
    <row r="426" spans="1:39" ht="12.75" customHeight="1">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c r="AA426" s="144"/>
      <c r="AB426" s="144"/>
      <c r="AC426" s="144"/>
      <c r="AD426" s="144"/>
      <c r="AE426" s="144"/>
      <c r="AF426" s="144"/>
      <c r="AG426" s="144"/>
      <c r="AH426" s="144"/>
      <c r="AI426" s="144"/>
      <c r="AJ426" s="144"/>
      <c r="AK426" s="144"/>
      <c r="AL426" s="144"/>
      <c r="AM426" s="144"/>
    </row>
    <row r="427" spans="1:39" ht="12.75" customHeight="1">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c r="AA427" s="144"/>
      <c r="AB427" s="144"/>
      <c r="AC427" s="144"/>
      <c r="AD427" s="144"/>
      <c r="AE427" s="144"/>
      <c r="AF427" s="144"/>
      <c r="AG427" s="144"/>
      <c r="AH427" s="144"/>
      <c r="AI427" s="144"/>
      <c r="AJ427" s="144"/>
      <c r="AK427" s="144"/>
      <c r="AL427" s="144"/>
      <c r="AM427" s="144"/>
    </row>
    <row r="428" spans="1:39" ht="12.75" customHeight="1">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c r="AA428" s="144"/>
      <c r="AB428" s="144"/>
      <c r="AC428" s="144"/>
      <c r="AD428" s="144"/>
      <c r="AE428" s="144"/>
      <c r="AF428" s="144"/>
      <c r="AG428" s="144"/>
      <c r="AH428" s="144"/>
      <c r="AI428" s="144"/>
      <c r="AJ428" s="144"/>
      <c r="AK428" s="144"/>
      <c r="AL428" s="144"/>
      <c r="AM428" s="144"/>
    </row>
    <row r="429" spans="1:39" ht="12.75" customHeight="1">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c r="AA429" s="144"/>
      <c r="AB429" s="144"/>
      <c r="AC429" s="144"/>
      <c r="AD429" s="144"/>
      <c r="AE429" s="144"/>
      <c r="AF429" s="144"/>
      <c r="AG429" s="144"/>
      <c r="AH429" s="144"/>
      <c r="AI429" s="144"/>
      <c r="AJ429" s="144"/>
      <c r="AK429" s="144"/>
      <c r="AL429" s="144"/>
      <c r="AM429" s="144"/>
    </row>
    <row r="430" spans="1:39" ht="12.75" customHeight="1">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c r="AA430" s="144"/>
      <c r="AB430" s="144"/>
      <c r="AC430" s="144"/>
      <c r="AD430" s="144"/>
      <c r="AE430" s="144"/>
      <c r="AF430" s="144"/>
      <c r="AG430" s="144"/>
      <c r="AH430" s="144"/>
      <c r="AI430" s="144"/>
      <c r="AJ430" s="144"/>
      <c r="AK430" s="144"/>
      <c r="AL430" s="144"/>
      <c r="AM430" s="144"/>
    </row>
    <row r="431" spans="1:39" ht="12.75" customHeight="1">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c r="AA431" s="144"/>
      <c r="AB431" s="144"/>
      <c r="AC431" s="144"/>
      <c r="AD431" s="144"/>
      <c r="AE431" s="144"/>
      <c r="AF431" s="144"/>
      <c r="AG431" s="144"/>
      <c r="AH431" s="144"/>
      <c r="AI431" s="144"/>
      <c r="AJ431" s="144"/>
      <c r="AK431" s="144"/>
      <c r="AL431" s="144"/>
      <c r="AM431" s="144"/>
    </row>
    <row r="432" spans="1:39" ht="12.75" customHeight="1">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c r="AA432" s="144"/>
      <c r="AB432" s="144"/>
      <c r="AC432" s="144"/>
      <c r="AD432" s="144"/>
      <c r="AE432" s="144"/>
      <c r="AF432" s="144"/>
      <c r="AG432" s="144"/>
      <c r="AH432" s="144"/>
      <c r="AI432" s="144"/>
      <c r="AJ432" s="144"/>
      <c r="AK432" s="144"/>
      <c r="AL432" s="144"/>
      <c r="AM432" s="144"/>
    </row>
    <row r="433" spans="1:39" ht="12.75" customHeight="1">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c r="AA433" s="144"/>
      <c r="AB433" s="144"/>
      <c r="AC433" s="144"/>
      <c r="AD433" s="144"/>
      <c r="AE433" s="144"/>
      <c r="AF433" s="144"/>
      <c r="AG433" s="144"/>
      <c r="AH433" s="144"/>
      <c r="AI433" s="144"/>
      <c r="AJ433" s="144"/>
      <c r="AK433" s="144"/>
      <c r="AL433" s="144"/>
      <c r="AM433" s="144"/>
    </row>
    <row r="434" spans="1:39" ht="12.75" customHeight="1">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c r="AA434" s="144"/>
      <c r="AB434" s="144"/>
      <c r="AC434" s="144"/>
      <c r="AD434" s="144"/>
      <c r="AE434" s="144"/>
      <c r="AF434" s="144"/>
      <c r="AG434" s="144"/>
      <c r="AH434" s="144"/>
      <c r="AI434" s="144"/>
      <c r="AJ434" s="144"/>
      <c r="AK434" s="144"/>
      <c r="AL434" s="144"/>
      <c r="AM434" s="144"/>
    </row>
    <row r="435" spans="1:39" ht="12.75" customHeight="1">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c r="AA435" s="144"/>
      <c r="AB435" s="144"/>
      <c r="AC435" s="144"/>
      <c r="AD435" s="144"/>
      <c r="AE435" s="144"/>
      <c r="AF435" s="144"/>
      <c r="AG435" s="144"/>
      <c r="AH435" s="144"/>
      <c r="AI435" s="144"/>
      <c r="AJ435" s="144"/>
      <c r="AK435" s="144"/>
      <c r="AL435" s="144"/>
      <c r="AM435" s="144"/>
    </row>
    <row r="436" spans="1:39" ht="12.75" customHeight="1">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c r="AA436" s="144"/>
      <c r="AB436" s="144"/>
      <c r="AC436" s="144"/>
      <c r="AD436" s="144"/>
      <c r="AE436" s="144"/>
      <c r="AF436" s="144"/>
      <c r="AG436" s="144"/>
      <c r="AH436" s="144"/>
      <c r="AI436" s="144"/>
      <c r="AJ436" s="144"/>
      <c r="AK436" s="144"/>
      <c r="AL436" s="144"/>
      <c r="AM436" s="144"/>
    </row>
    <row r="437" spans="1:39" ht="12.75" customHeight="1">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c r="AA437" s="144"/>
      <c r="AB437" s="144"/>
      <c r="AC437" s="144"/>
      <c r="AD437" s="144"/>
      <c r="AE437" s="144"/>
      <c r="AF437" s="144"/>
      <c r="AG437" s="144"/>
      <c r="AH437" s="144"/>
      <c r="AI437" s="144"/>
      <c r="AJ437" s="144"/>
      <c r="AK437" s="144"/>
      <c r="AL437" s="144"/>
      <c r="AM437" s="144"/>
    </row>
    <row r="438" spans="1:39" ht="12.75" customHeight="1">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c r="AA438" s="144"/>
      <c r="AB438" s="144"/>
      <c r="AC438" s="144"/>
      <c r="AD438" s="144"/>
      <c r="AE438" s="144"/>
      <c r="AF438" s="144"/>
      <c r="AG438" s="144"/>
      <c r="AH438" s="144"/>
      <c r="AI438" s="144"/>
      <c r="AJ438" s="144"/>
      <c r="AK438" s="144"/>
      <c r="AL438" s="144"/>
      <c r="AM438" s="144"/>
    </row>
    <row r="439" spans="1:39" ht="12.75" customHeight="1">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c r="AA439" s="144"/>
      <c r="AB439" s="144"/>
      <c r="AC439" s="144"/>
      <c r="AD439" s="144"/>
      <c r="AE439" s="144"/>
      <c r="AF439" s="144"/>
      <c r="AG439" s="144"/>
      <c r="AH439" s="144"/>
      <c r="AI439" s="144"/>
      <c r="AJ439" s="144"/>
      <c r="AK439" s="144"/>
      <c r="AL439" s="144"/>
      <c r="AM439" s="144"/>
    </row>
    <row r="440" spans="1:39" ht="12.75" customHeight="1">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c r="AA440" s="144"/>
      <c r="AB440" s="144"/>
      <c r="AC440" s="144"/>
      <c r="AD440" s="144"/>
      <c r="AE440" s="144"/>
      <c r="AF440" s="144"/>
      <c r="AG440" s="144"/>
      <c r="AH440" s="144"/>
      <c r="AI440" s="144"/>
      <c r="AJ440" s="144"/>
      <c r="AK440" s="144"/>
      <c r="AL440" s="144"/>
      <c r="AM440" s="144"/>
    </row>
    <row r="441" spans="1:39" ht="12.75" customHeight="1">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c r="AA441" s="144"/>
      <c r="AB441" s="144"/>
      <c r="AC441" s="144"/>
      <c r="AD441" s="144"/>
      <c r="AE441" s="144"/>
      <c r="AF441" s="144"/>
      <c r="AG441" s="144"/>
      <c r="AH441" s="144"/>
      <c r="AI441" s="144"/>
      <c r="AJ441" s="144"/>
      <c r="AK441" s="144"/>
      <c r="AL441" s="144"/>
      <c r="AM441" s="144"/>
    </row>
    <row r="442" spans="1:39" ht="12.75" customHeight="1">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c r="AA442" s="144"/>
      <c r="AB442" s="144"/>
      <c r="AC442" s="144"/>
      <c r="AD442" s="144"/>
      <c r="AE442" s="144"/>
      <c r="AF442" s="144"/>
      <c r="AG442" s="144"/>
      <c r="AH442" s="144"/>
      <c r="AI442" s="144"/>
      <c r="AJ442" s="144"/>
      <c r="AK442" s="144"/>
      <c r="AL442" s="144"/>
      <c r="AM442" s="144"/>
    </row>
    <row r="443" spans="1:39" ht="12.75" customHeight="1">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c r="AA443" s="144"/>
      <c r="AB443" s="144"/>
      <c r="AC443" s="144"/>
      <c r="AD443" s="144"/>
      <c r="AE443" s="144"/>
      <c r="AF443" s="144"/>
      <c r="AG443" s="144"/>
      <c r="AH443" s="144"/>
      <c r="AI443" s="144"/>
      <c r="AJ443" s="144"/>
      <c r="AK443" s="144"/>
      <c r="AL443" s="144"/>
      <c r="AM443" s="144"/>
    </row>
    <row r="444" spans="1:39" ht="12.75" customHeight="1">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c r="AA444" s="144"/>
      <c r="AB444" s="144"/>
      <c r="AC444" s="144"/>
      <c r="AD444" s="144"/>
      <c r="AE444" s="144"/>
      <c r="AF444" s="144"/>
      <c r="AG444" s="144"/>
      <c r="AH444" s="144"/>
      <c r="AI444" s="144"/>
      <c r="AJ444" s="144"/>
      <c r="AK444" s="144"/>
      <c r="AL444" s="144"/>
      <c r="AM444" s="144"/>
    </row>
    <row r="445" spans="1:39" ht="12.75" customHeight="1">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c r="AA445" s="144"/>
      <c r="AB445" s="144"/>
      <c r="AC445" s="144"/>
      <c r="AD445" s="144"/>
      <c r="AE445" s="144"/>
      <c r="AF445" s="144"/>
      <c r="AG445" s="144"/>
      <c r="AH445" s="144"/>
      <c r="AI445" s="144"/>
      <c r="AJ445" s="144"/>
      <c r="AK445" s="144"/>
      <c r="AL445" s="144"/>
      <c r="AM445" s="144"/>
    </row>
    <row r="446" spans="1:39" ht="12.75" customHeight="1">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c r="AA446" s="144"/>
      <c r="AB446" s="144"/>
      <c r="AC446" s="144"/>
      <c r="AD446" s="144"/>
      <c r="AE446" s="144"/>
      <c r="AF446" s="144"/>
      <c r="AG446" s="144"/>
      <c r="AH446" s="144"/>
      <c r="AI446" s="144"/>
      <c r="AJ446" s="144"/>
      <c r="AK446" s="144"/>
      <c r="AL446" s="144"/>
      <c r="AM446" s="144"/>
    </row>
    <row r="447" spans="1:39" ht="12.75" customHeight="1">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c r="AA447" s="144"/>
      <c r="AB447" s="144"/>
      <c r="AC447" s="144"/>
      <c r="AD447" s="144"/>
      <c r="AE447" s="144"/>
      <c r="AF447" s="144"/>
      <c r="AG447" s="144"/>
      <c r="AH447" s="144"/>
      <c r="AI447" s="144"/>
      <c r="AJ447" s="144"/>
      <c r="AK447" s="144"/>
      <c r="AL447" s="144"/>
      <c r="AM447" s="144"/>
    </row>
    <row r="448" spans="1:39" ht="12.75" customHeight="1">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c r="AA448" s="144"/>
      <c r="AB448" s="144"/>
      <c r="AC448" s="144"/>
      <c r="AD448" s="144"/>
      <c r="AE448" s="144"/>
      <c r="AF448" s="144"/>
      <c r="AG448" s="144"/>
      <c r="AH448" s="144"/>
      <c r="AI448" s="144"/>
      <c r="AJ448" s="144"/>
      <c r="AK448" s="144"/>
      <c r="AL448" s="144"/>
      <c r="AM448" s="144"/>
    </row>
    <row r="449" spans="1:39" ht="12.75" customHeight="1">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c r="AA449" s="144"/>
      <c r="AB449" s="144"/>
      <c r="AC449" s="144"/>
      <c r="AD449" s="144"/>
      <c r="AE449" s="144"/>
      <c r="AF449" s="144"/>
      <c r="AG449" s="144"/>
      <c r="AH449" s="144"/>
      <c r="AI449" s="144"/>
      <c r="AJ449" s="144"/>
      <c r="AK449" s="144"/>
      <c r="AL449" s="144"/>
      <c r="AM449" s="144"/>
    </row>
    <row r="450" spans="1:39" ht="12.75" customHeight="1">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c r="AA450" s="144"/>
      <c r="AB450" s="144"/>
      <c r="AC450" s="144"/>
      <c r="AD450" s="144"/>
      <c r="AE450" s="144"/>
      <c r="AF450" s="144"/>
      <c r="AG450" s="144"/>
      <c r="AH450" s="144"/>
      <c r="AI450" s="144"/>
      <c r="AJ450" s="144"/>
      <c r="AK450" s="144"/>
      <c r="AL450" s="144"/>
      <c r="AM450" s="144"/>
    </row>
    <row r="451" spans="1:39" ht="12.75" customHeight="1">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c r="AA451" s="144"/>
      <c r="AB451" s="144"/>
      <c r="AC451" s="144"/>
      <c r="AD451" s="144"/>
      <c r="AE451" s="144"/>
      <c r="AF451" s="144"/>
      <c r="AG451" s="144"/>
      <c r="AH451" s="144"/>
      <c r="AI451" s="144"/>
      <c r="AJ451" s="144"/>
      <c r="AK451" s="144"/>
      <c r="AL451" s="144"/>
      <c r="AM451" s="144"/>
    </row>
    <row r="452" spans="1:39" ht="12.75" customHeight="1">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c r="AA452" s="144"/>
      <c r="AB452" s="144"/>
      <c r="AC452" s="144"/>
      <c r="AD452" s="144"/>
      <c r="AE452" s="144"/>
      <c r="AF452" s="144"/>
      <c r="AG452" s="144"/>
      <c r="AH452" s="144"/>
      <c r="AI452" s="144"/>
      <c r="AJ452" s="144"/>
      <c r="AK452" s="144"/>
      <c r="AL452" s="144"/>
      <c r="AM452" s="144"/>
    </row>
    <row r="453" spans="1:39" ht="12.75" customHeight="1">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c r="AA453" s="144"/>
      <c r="AB453" s="144"/>
      <c r="AC453" s="144"/>
      <c r="AD453" s="144"/>
      <c r="AE453" s="144"/>
      <c r="AF453" s="144"/>
      <c r="AG453" s="144"/>
      <c r="AH453" s="144"/>
      <c r="AI453" s="144"/>
      <c r="AJ453" s="144"/>
      <c r="AK453" s="144"/>
      <c r="AL453" s="144"/>
      <c r="AM453" s="144"/>
    </row>
    <row r="454" spans="1:39" ht="12.75" customHeight="1">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c r="AA454" s="144"/>
      <c r="AB454" s="144"/>
      <c r="AC454" s="144"/>
      <c r="AD454" s="144"/>
      <c r="AE454" s="144"/>
      <c r="AF454" s="144"/>
      <c r="AG454" s="144"/>
      <c r="AH454" s="144"/>
      <c r="AI454" s="144"/>
      <c r="AJ454" s="144"/>
      <c r="AK454" s="144"/>
      <c r="AL454" s="144"/>
      <c r="AM454" s="144"/>
    </row>
    <row r="455" spans="1:39" ht="12.75" customHeight="1">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c r="AA455" s="144"/>
      <c r="AB455" s="144"/>
      <c r="AC455" s="144"/>
      <c r="AD455" s="144"/>
      <c r="AE455" s="144"/>
      <c r="AF455" s="144"/>
      <c r="AG455" s="144"/>
      <c r="AH455" s="144"/>
      <c r="AI455" s="144"/>
      <c r="AJ455" s="144"/>
      <c r="AK455" s="144"/>
      <c r="AL455" s="144"/>
      <c r="AM455" s="144"/>
    </row>
    <row r="456" spans="1:39" ht="12.75" customHeight="1">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c r="AA456" s="144"/>
      <c r="AB456" s="144"/>
      <c r="AC456" s="144"/>
      <c r="AD456" s="144"/>
      <c r="AE456" s="144"/>
      <c r="AF456" s="144"/>
      <c r="AG456" s="144"/>
      <c r="AH456" s="144"/>
      <c r="AI456" s="144"/>
      <c r="AJ456" s="144"/>
      <c r="AK456" s="144"/>
      <c r="AL456" s="144"/>
      <c r="AM456" s="144"/>
    </row>
    <row r="457" spans="1:39" ht="12.75" customHeight="1">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c r="AA457" s="144"/>
      <c r="AB457" s="144"/>
      <c r="AC457" s="144"/>
      <c r="AD457" s="144"/>
      <c r="AE457" s="144"/>
      <c r="AF457" s="144"/>
      <c r="AG457" s="144"/>
      <c r="AH457" s="144"/>
      <c r="AI457" s="144"/>
      <c r="AJ457" s="144"/>
      <c r="AK457" s="144"/>
      <c r="AL457" s="144"/>
      <c r="AM457" s="144"/>
    </row>
    <row r="458" spans="1:39" ht="12.75" customHeight="1">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c r="AA458" s="144"/>
      <c r="AB458" s="144"/>
      <c r="AC458" s="144"/>
      <c r="AD458" s="144"/>
      <c r="AE458" s="144"/>
      <c r="AF458" s="144"/>
      <c r="AG458" s="144"/>
      <c r="AH458" s="144"/>
      <c r="AI458" s="144"/>
      <c r="AJ458" s="144"/>
      <c r="AK458" s="144"/>
      <c r="AL458" s="144"/>
      <c r="AM458" s="144"/>
    </row>
    <row r="459" spans="1:39" ht="12.75" customHeight="1">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c r="AA459" s="144"/>
      <c r="AB459" s="144"/>
      <c r="AC459" s="144"/>
      <c r="AD459" s="144"/>
      <c r="AE459" s="144"/>
      <c r="AF459" s="144"/>
      <c r="AG459" s="144"/>
      <c r="AH459" s="144"/>
      <c r="AI459" s="144"/>
      <c r="AJ459" s="144"/>
      <c r="AK459" s="144"/>
      <c r="AL459" s="144"/>
      <c r="AM459" s="144"/>
    </row>
    <row r="460" spans="1:39" ht="12.75" customHeight="1">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c r="AA460" s="144"/>
      <c r="AB460" s="144"/>
      <c r="AC460" s="144"/>
      <c r="AD460" s="144"/>
      <c r="AE460" s="144"/>
      <c r="AF460" s="144"/>
      <c r="AG460" s="144"/>
      <c r="AH460" s="144"/>
      <c r="AI460" s="144"/>
      <c r="AJ460" s="144"/>
      <c r="AK460" s="144"/>
      <c r="AL460" s="144"/>
      <c r="AM460" s="144"/>
    </row>
    <row r="461" spans="1:39" ht="12.75" customHeight="1">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c r="AA461" s="144"/>
      <c r="AB461" s="144"/>
      <c r="AC461" s="144"/>
      <c r="AD461" s="144"/>
      <c r="AE461" s="144"/>
      <c r="AF461" s="144"/>
      <c r="AG461" s="144"/>
      <c r="AH461" s="144"/>
      <c r="AI461" s="144"/>
      <c r="AJ461" s="144"/>
      <c r="AK461" s="144"/>
      <c r="AL461" s="144"/>
      <c r="AM461" s="144"/>
    </row>
    <row r="462" spans="1:39" ht="12.75" customHeight="1">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c r="AA462" s="144"/>
      <c r="AB462" s="144"/>
      <c r="AC462" s="144"/>
      <c r="AD462" s="144"/>
      <c r="AE462" s="144"/>
      <c r="AF462" s="144"/>
      <c r="AG462" s="144"/>
      <c r="AH462" s="144"/>
      <c r="AI462" s="144"/>
      <c r="AJ462" s="144"/>
      <c r="AK462" s="144"/>
      <c r="AL462" s="144"/>
      <c r="AM462" s="144"/>
    </row>
    <row r="463" spans="1:39" ht="12.75" customHeight="1">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c r="AA463" s="144"/>
      <c r="AB463" s="144"/>
      <c r="AC463" s="144"/>
      <c r="AD463" s="144"/>
      <c r="AE463" s="144"/>
      <c r="AF463" s="144"/>
      <c r="AG463" s="144"/>
      <c r="AH463" s="144"/>
      <c r="AI463" s="144"/>
      <c r="AJ463" s="144"/>
      <c r="AK463" s="144"/>
      <c r="AL463" s="144"/>
      <c r="AM463" s="144"/>
    </row>
    <row r="464" spans="1:39" ht="12.75" customHeight="1">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c r="AA464" s="144"/>
      <c r="AB464" s="144"/>
      <c r="AC464" s="144"/>
      <c r="AD464" s="144"/>
      <c r="AE464" s="144"/>
      <c r="AF464" s="144"/>
      <c r="AG464" s="144"/>
      <c r="AH464" s="144"/>
      <c r="AI464" s="144"/>
      <c r="AJ464" s="144"/>
      <c r="AK464" s="144"/>
      <c r="AL464" s="144"/>
      <c r="AM464" s="144"/>
    </row>
    <row r="465" spans="1:39" ht="12.75" customHeight="1">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c r="AA465" s="144"/>
      <c r="AB465" s="144"/>
      <c r="AC465" s="144"/>
      <c r="AD465" s="144"/>
      <c r="AE465" s="144"/>
      <c r="AF465" s="144"/>
      <c r="AG465" s="144"/>
      <c r="AH465" s="144"/>
      <c r="AI465" s="144"/>
      <c r="AJ465" s="144"/>
      <c r="AK465" s="144"/>
      <c r="AL465" s="144"/>
      <c r="AM465" s="144"/>
    </row>
    <row r="466" spans="1:39" ht="12.75" customHeight="1">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c r="AA466" s="144"/>
      <c r="AB466" s="144"/>
      <c r="AC466" s="144"/>
      <c r="AD466" s="144"/>
      <c r="AE466" s="144"/>
      <c r="AF466" s="144"/>
      <c r="AG466" s="144"/>
      <c r="AH466" s="144"/>
      <c r="AI466" s="144"/>
      <c r="AJ466" s="144"/>
      <c r="AK466" s="144"/>
      <c r="AL466" s="144"/>
      <c r="AM466" s="144"/>
    </row>
    <row r="467" spans="1:39" ht="12.75" customHeight="1">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c r="AA467" s="144"/>
      <c r="AB467" s="144"/>
      <c r="AC467" s="144"/>
      <c r="AD467" s="144"/>
      <c r="AE467" s="144"/>
      <c r="AF467" s="144"/>
      <c r="AG467" s="144"/>
      <c r="AH467" s="144"/>
      <c r="AI467" s="144"/>
      <c r="AJ467" s="144"/>
      <c r="AK467" s="144"/>
      <c r="AL467" s="144"/>
      <c r="AM467" s="144"/>
    </row>
    <row r="468" spans="1:39" ht="12.75" customHeight="1">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c r="AA468" s="144"/>
      <c r="AB468" s="144"/>
      <c r="AC468" s="144"/>
      <c r="AD468" s="144"/>
      <c r="AE468" s="144"/>
      <c r="AF468" s="144"/>
      <c r="AG468" s="144"/>
      <c r="AH468" s="144"/>
      <c r="AI468" s="144"/>
      <c r="AJ468" s="144"/>
      <c r="AK468" s="144"/>
      <c r="AL468" s="144"/>
      <c r="AM468" s="144"/>
    </row>
    <row r="469" spans="1:39" ht="12.75" customHeight="1">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c r="AA469" s="144"/>
      <c r="AB469" s="144"/>
      <c r="AC469" s="144"/>
      <c r="AD469" s="144"/>
      <c r="AE469" s="144"/>
      <c r="AF469" s="144"/>
      <c r="AG469" s="144"/>
      <c r="AH469" s="144"/>
      <c r="AI469" s="144"/>
      <c r="AJ469" s="144"/>
      <c r="AK469" s="144"/>
      <c r="AL469" s="144"/>
      <c r="AM469" s="144"/>
    </row>
    <row r="470" spans="1:39" ht="12.75" customHeight="1">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c r="AA470" s="144"/>
      <c r="AB470" s="144"/>
      <c r="AC470" s="144"/>
      <c r="AD470" s="144"/>
      <c r="AE470" s="144"/>
      <c r="AF470" s="144"/>
      <c r="AG470" s="144"/>
      <c r="AH470" s="144"/>
      <c r="AI470" s="144"/>
      <c r="AJ470" s="144"/>
      <c r="AK470" s="144"/>
      <c r="AL470" s="144"/>
      <c r="AM470" s="144"/>
    </row>
    <row r="471" spans="1:39" ht="12.75" customHeight="1">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c r="AA471" s="144"/>
      <c r="AB471" s="144"/>
      <c r="AC471" s="144"/>
      <c r="AD471" s="144"/>
      <c r="AE471" s="144"/>
      <c r="AF471" s="144"/>
      <c r="AG471" s="144"/>
      <c r="AH471" s="144"/>
      <c r="AI471" s="144"/>
      <c r="AJ471" s="144"/>
      <c r="AK471" s="144"/>
      <c r="AL471" s="144"/>
      <c r="AM471" s="144"/>
    </row>
    <row r="472" spans="1:39" ht="12.75" customHeight="1">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c r="AA472" s="144"/>
      <c r="AB472" s="144"/>
      <c r="AC472" s="144"/>
      <c r="AD472" s="144"/>
      <c r="AE472" s="144"/>
      <c r="AF472" s="144"/>
      <c r="AG472" s="144"/>
      <c r="AH472" s="144"/>
      <c r="AI472" s="144"/>
      <c r="AJ472" s="144"/>
      <c r="AK472" s="144"/>
      <c r="AL472" s="144"/>
      <c r="AM472" s="144"/>
    </row>
    <row r="473" spans="1:39" ht="12.75" customHeight="1">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c r="AA473" s="144"/>
      <c r="AB473" s="144"/>
      <c r="AC473" s="144"/>
      <c r="AD473" s="144"/>
      <c r="AE473" s="144"/>
      <c r="AF473" s="144"/>
      <c r="AG473" s="144"/>
      <c r="AH473" s="144"/>
      <c r="AI473" s="144"/>
      <c r="AJ473" s="144"/>
      <c r="AK473" s="144"/>
      <c r="AL473" s="144"/>
      <c r="AM473" s="144"/>
    </row>
    <row r="474" spans="1:39" ht="12.75" customHeight="1">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c r="AA474" s="144"/>
      <c r="AB474" s="144"/>
      <c r="AC474" s="144"/>
      <c r="AD474" s="144"/>
      <c r="AE474" s="144"/>
      <c r="AF474" s="144"/>
      <c r="AG474" s="144"/>
      <c r="AH474" s="144"/>
      <c r="AI474" s="144"/>
      <c r="AJ474" s="144"/>
      <c r="AK474" s="144"/>
      <c r="AL474" s="144"/>
      <c r="AM474" s="144"/>
    </row>
    <row r="475" spans="1:39" ht="12.75" customHeight="1">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c r="AA475" s="144"/>
      <c r="AB475" s="144"/>
      <c r="AC475" s="144"/>
      <c r="AD475" s="144"/>
      <c r="AE475" s="144"/>
      <c r="AF475" s="144"/>
      <c r="AG475" s="144"/>
      <c r="AH475" s="144"/>
      <c r="AI475" s="144"/>
      <c r="AJ475" s="144"/>
      <c r="AK475" s="144"/>
      <c r="AL475" s="144"/>
      <c r="AM475" s="144"/>
    </row>
    <row r="476" spans="1:39" ht="12.75" customHeight="1">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c r="AA476" s="144"/>
      <c r="AB476" s="144"/>
      <c r="AC476" s="144"/>
      <c r="AD476" s="144"/>
      <c r="AE476" s="144"/>
      <c r="AF476" s="144"/>
      <c r="AG476" s="144"/>
      <c r="AH476" s="144"/>
      <c r="AI476" s="144"/>
      <c r="AJ476" s="144"/>
      <c r="AK476" s="144"/>
      <c r="AL476" s="144"/>
      <c r="AM476" s="144"/>
    </row>
    <row r="477" spans="1:39" ht="12.75" customHeight="1">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c r="AA477" s="144"/>
      <c r="AB477" s="144"/>
      <c r="AC477" s="144"/>
      <c r="AD477" s="144"/>
      <c r="AE477" s="144"/>
      <c r="AF477" s="144"/>
      <c r="AG477" s="144"/>
      <c r="AH477" s="144"/>
      <c r="AI477" s="144"/>
      <c r="AJ477" s="144"/>
      <c r="AK477" s="144"/>
      <c r="AL477" s="144"/>
      <c r="AM477" s="144"/>
    </row>
    <row r="478" spans="1:39" ht="12.75" customHeight="1">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c r="AA478" s="144"/>
      <c r="AB478" s="144"/>
      <c r="AC478" s="144"/>
      <c r="AD478" s="144"/>
      <c r="AE478" s="144"/>
      <c r="AF478" s="144"/>
      <c r="AG478" s="144"/>
      <c r="AH478" s="144"/>
      <c r="AI478" s="144"/>
      <c r="AJ478" s="144"/>
      <c r="AK478" s="144"/>
      <c r="AL478" s="144"/>
      <c r="AM478" s="144"/>
    </row>
    <row r="479" spans="1:39" ht="12.75" customHeight="1">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c r="AA479" s="144"/>
      <c r="AB479" s="144"/>
      <c r="AC479" s="144"/>
      <c r="AD479" s="144"/>
      <c r="AE479" s="144"/>
      <c r="AF479" s="144"/>
      <c r="AG479" s="144"/>
      <c r="AH479" s="144"/>
      <c r="AI479" s="144"/>
      <c r="AJ479" s="144"/>
      <c r="AK479" s="144"/>
      <c r="AL479" s="144"/>
      <c r="AM479" s="144"/>
    </row>
    <row r="480" spans="1:39" ht="12.75" customHeight="1">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c r="AA480" s="144"/>
      <c r="AB480" s="144"/>
      <c r="AC480" s="144"/>
      <c r="AD480" s="144"/>
      <c r="AE480" s="144"/>
      <c r="AF480" s="144"/>
      <c r="AG480" s="144"/>
      <c r="AH480" s="144"/>
      <c r="AI480" s="144"/>
      <c r="AJ480" s="144"/>
      <c r="AK480" s="144"/>
      <c r="AL480" s="144"/>
      <c r="AM480" s="144"/>
    </row>
    <row r="481" spans="1:39" ht="12.75" customHeight="1">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c r="AA481" s="144"/>
      <c r="AB481" s="144"/>
      <c r="AC481" s="144"/>
      <c r="AD481" s="144"/>
      <c r="AE481" s="144"/>
      <c r="AF481" s="144"/>
      <c r="AG481" s="144"/>
      <c r="AH481" s="144"/>
      <c r="AI481" s="144"/>
      <c r="AJ481" s="144"/>
      <c r="AK481" s="144"/>
      <c r="AL481" s="144"/>
      <c r="AM481" s="144"/>
    </row>
    <row r="482" spans="1:39" ht="12.75" customHeight="1">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c r="AA482" s="144"/>
      <c r="AB482" s="144"/>
      <c r="AC482" s="144"/>
      <c r="AD482" s="144"/>
      <c r="AE482" s="144"/>
      <c r="AF482" s="144"/>
      <c r="AG482" s="144"/>
      <c r="AH482" s="144"/>
      <c r="AI482" s="144"/>
      <c r="AJ482" s="144"/>
      <c r="AK482" s="144"/>
      <c r="AL482" s="144"/>
      <c r="AM482" s="144"/>
    </row>
    <row r="483" spans="1:39" ht="12.75" customHeight="1">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c r="AA483" s="144"/>
      <c r="AB483" s="144"/>
      <c r="AC483" s="144"/>
      <c r="AD483" s="144"/>
      <c r="AE483" s="144"/>
      <c r="AF483" s="144"/>
      <c r="AG483" s="144"/>
      <c r="AH483" s="144"/>
      <c r="AI483" s="144"/>
      <c r="AJ483" s="144"/>
      <c r="AK483" s="144"/>
      <c r="AL483" s="144"/>
      <c r="AM483" s="144"/>
    </row>
    <row r="484" spans="1:39" ht="12.75" customHeight="1">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c r="AA484" s="144"/>
      <c r="AB484" s="144"/>
      <c r="AC484" s="144"/>
      <c r="AD484" s="144"/>
      <c r="AE484" s="144"/>
      <c r="AF484" s="144"/>
      <c r="AG484" s="144"/>
      <c r="AH484" s="144"/>
      <c r="AI484" s="144"/>
      <c r="AJ484" s="144"/>
      <c r="AK484" s="144"/>
      <c r="AL484" s="144"/>
      <c r="AM484" s="144"/>
    </row>
    <row r="485" spans="1:39" ht="12.75" customHeight="1">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c r="AA485" s="144"/>
      <c r="AB485" s="144"/>
      <c r="AC485" s="144"/>
      <c r="AD485" s="144"/>
      <c r="AE485" s="144"/>
      <c r="AF485" s="144"/>
      <c r="AG485" s="144"/>
      <c r="AH485" s="144"/>
      <c r="AI485" s="144"/>
      <c r="AJ485" s="144"/>
      <c r="AK485" s="144"/>
      <c r="AL485" s="144"/>
      <c r="AM485" s="144"/>
    </row>
    <row r="486" spans="1:39" ht="12.75" customHeight="1">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c r="AA486" s="144"/>
      <c r="AB486" s="144"/>
      <c r="AC486" s="144"/>
      <c r="AD486" s="144"/>
      <c r="AE486" s="144"/>
      <c r="AF486" s="144"/>
      <c r="AG486" s="144"/>
      <c r="AH486" s="144"/>
      <c r="AI486" s="144"/>
      <c r="AJ486" s="144"/>
      <c r="AK486" s="144"/>
      <c r="AL486" s="144"/>
      <c r="AM486" s="144"/>
    </row>
    <row r="487" spans="1:39" ht="12.75" customHeight="1">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c r="AA487" s="144"/>
      <c r="AB487" s="144"/>
      <c r="AC487" s="144"/>
      <c r="AD487" s="144"/>
      <c r="AE487" s="144"/>
      <c r="AF487" s="144"/>
      <c r="AG487" s="144"/>
      <c r="AH487" s="144"/>
      <c r="AI487" s="144"/>
      <c r="AJ487" s="144"/>
      <c r="AK487" s="144"/>
      <c r="AL487" s="144"/>
      <c r="AM487" s="144"/>
    </row>
    <row r="488" spans="1:39" ht="12.75" customHeight="1">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c r="AA488" s="144"/>
      <c r="AB488" s="144"/>
      <c r="AC488" s="144"/>
      <c r="AD488" s="144"/>
      <c r="AE488" s="144"/>
      <c r="AF488" s="144"/>
      <c r="AG488" s="144"/>
      <c r="AH488" s="144"/>
      <c r="AI488" s="144"/>
      <c r="AJ488" s="144"/>
      <c r="AK488" s="144"/>
      <c r="AL488" s="144"/>
      <c r="AM488" s="144"/>
    </row>
    <row r="489" spans="1:39" ht="12.75" customHeight="1">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c r="AA489" s="144"/>
      <c r="AB489" s="144"/>
      <c r="AC489" s="144"/>
      <c r="AD489" s="144"/>
      <c r="AE489" s="144"/>
      <c r="AF489" s="144"/>
      <c r="AG489" s="144"/>
      <c r="AH489" s="144"/>
      <c r="AI489" s="144"/>
      <c r="AJ489" s="144"/>
      <c r="AK489" s="144"/>
      <c r="AL489" s="144"/>
      <c r="AM489" s="144"/>
    </row>
    <row r="490" spans="1:39" ht="12.75" customHeight="1">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c r="AA490" s="144"/>
      <c r="AB490" s="144"/>
      <c r="AC490" s="144"/>
      <c r="AD490" s="144"/>
      <c r="AE490" s="144"/>
      <c r="AF490" s="144"/>
      <c r="AG490" s="144"/>
      <c r="AH490" s="144"/>
      <c r="AI490" s="144"/>
      <c r="AJ490" s="144"/>
      <c r="AK490" s="144"/>
      <c r="AL490" s="144"/>
      <c r="AM490" s="144"/>
    </row>
    <row r="491" spans="1:39" ht="12.75" customHeight="1">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c r="AA491" s="144"/>
      <c r="AB491" s="144"/>
      <c r="AC491" s="144"/>
      <c r="AD491" s="144"/>
      <c r="AE491" s="144"/>
      <c r="AF491" s="144"/>
      <c r="AG491" s="144"/>
      <c r="AH491" s="144"/>
      <c r="AI491" s="144"/>
      <c r="AJ491" s="144"/>
      <c r="AK491" s="144"/>
      <c r="AL491" s="144"/>
      <c r="AM491" s="144"/>
    </row>
    <row r="492" spans="1:39" ht="12.75" customHeight="1">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c r="AA492" s="144"/>
      <c r="AB492" s="144"/>
      <c r="AC492" s="144"/>
      <c r="AD492" s="144"/>
      <c r="AE492" s="144"/>
      <c r="AF492" s="144"/>
      <c r="AG492" s="144"/>
      <c r="AH492" s="144"/>
      <c r="AI492" s="144"/>
      <c r="AJ492" s="144"/>
      <c r="AK492" s="144"/>
      <c r="AL492" s="144"/>
      <c r="AM492" s="144"/>
    </row>
    <row r="493" spans="1:39" ht="12.75" customHeight="1">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c r="AA493" s="144"/>
      <c r="AB493" s="144"/>
      <c r="AC493" s="144"/>
      <c r="AD493" s="144"/>
      <c r="AE493" s="144"/>
      <c r="AF493" s="144"/>
      <c r="AG493" s="144"/>
      <c r="AH493" s="144"/>
      <c r="AI493" s="144"/>
      <c r="AJ493" s="144"/>
      <c r="AK493" s="144"/>
      <c r="AL493" s="144"/>
      <c r="AM493" s="144"/>
    </row>
    <row r="494" spans="1:39" ht="12.75" customHeight="1">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c r="AA494" s="144"/>
      <c r="AB494" s="144"/>
      <c r="AC494" s="144"/>
      <c r="AD494" s="144"/>
      <c r="AE494" s="144"/>
      <c r="AF494" s="144"/>
      <c r="AG494" s="144"/>
      <c r="AH494" s="144"/>
      <c r="AI494" s="144"/>
      <c r="AJ494" s="144"/>
      <c r="AK494" s="144"/>
      <c r="AL494" s="144"/>
      <c r="AM494" s="144"/>
    </row>
    <row r="495" spans="1:39" ht="12.75" customHeight="1">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c r="AA495" s="144"/>
      <c r="AB495" s="144"/>
      <c r="AC495" s="144"/>
      <c r="AD495" s="144"/>
      <c r="AE495" s="144"/>
      <c r="AF495" s="144"/>
      <c r="AG495" s="144"/>
      <c r="AH495" s="144"/>
      <c r="AI495" s="144"/>
      <c r="AJ495" s="144"/>
      <c r="AK495" s="144"/>
      <c r="AL495" s="144"/>
      <c r="AM495" s="144"/>
    </row>
    <row r="496" spans="1:39" ht="12.75" customHeight="1">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c r="AA496" s="144"/>
      <c r="AB496" s="144"/>
      <c r="AC496" s="144"/>
      <c r="AD496" s="144"/>
      <c r="AE496" s="144"/>
      <c r="AF496" s="144"/>
      <c r="AG496" s="144"/>
      <c r="AH496" s="144"/>
      <c r="AI496" s="144"/>
      <c r="AJ496" s="144"/>
      <c r="AK496" s="144"/>
      <c r="AL496" s="144"/>
      <c r="AM496" s="144"/>
    </row>
    <row r="497" spans="1:39" ht="12.75" customHeight="1">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c r="AA497" s="144"/>
      <c r="AB497" s="144"/>
      <c r="AC497" s="144"/>
      <c r="AD497" s="144"/>
      <c r="AE497" s="144"/>
      <c r="AF497" s="144"/>
      <c r="AG497" s="144"/>
      <c r="AH497" s="144"/>
      <c r="AI497" s="144"/>
      <c r="AJ497" s="144"/>
      <c r="AK497" s="144"/>
      <c r="AL497" s="144"/>
      <c r="AM497" s="144"/>
    </row>
    <row r="498" spans="1:39" ht="12.75" customHeight="1">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c r="AA498" s="144"/>
      <c r="AB498" s="144"/>
      <c r="AC498" s="144"/>
      <c r="AD498" s="144"/>
      <c r="AE498" s="144"/>
      <c r="AF498" s="144"/>
      <c r="AG498" s="144"/>
      <c r="AH498" s="144"/>
      <c r="AI498" s="144"/>
      <c r="AJ498" s="144"/>
      <c r="AK498" s="144"/>
      <c r="AL498" s="144"/>
      <c r="AM498" s="144"/>
    </row>
    <row r="499" spans="1:39" ht="12.75" customHeight="1">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c r="AA499" s="144"/>
      <c r="AB499" s="144"/>
      <c r="AC499" s="144"/>
      <c r="AD499" s="144"/>
      <c r="AE499" s="144"/>
      <c r="AF499" s="144"/>
      <c r="AG499" s="144"/>
      <c r="AH499" s="144"/>
      <c r="AI499" s="144"/>
      <c r="AJ499" s="144"/>
      <c r="AK499" s="144"/>
      <c r="AL499" s="144"/>
      <c r="AM499" s="144"/>
    </row>
    <row r="500" spans="1:39" ht="12.75" customHeight="1">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c r="AA500" s="144"/>
      <c r="AB500" s="144"/>
      <c r="AC500" s="144"/>
      <c r="AD500" s="144"/>
      <c r="AE500" s="144"/>
      <c r="AF500" s="144"/>
      <c r="AG500" s="144"/>
      <c r="AH500" s="144"/>
      <c r="AI500" s="144"/>
      <c r="AJ500" s="144"/>
      <c r="AK500" s="144"/>
      <c r="AL500" s="144"/>
      <c r="AM500" s="144"/>
    </row>
    <row r="501" spans="1:39" ht="12.75" customHeight="1">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c r="AA501" s="144"/>
      <c r="AB501" s="144"/>
      <c r="AC501" s="144"/>
      <c r="AD501" s="144"/>
      <c r="AE501" s="144"/>
      <c r="AF501" s="144"/>
      <c r="AG501" s="144"/>
      <c r="AH501" s="144"/>
      <c r="AI501" s="144"/>
      <c r="AJ501" s="144"/>
      <c r="AK501" s="144"/>
      <c r="AL501" s="144"/>
      <c r="AM501" s="144"/>
    </row>
    <row r="502" spans="1:39" ht="12.75" customHeight="1">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c r="AA502" s="144"/>
      <c r="AB502" s="144"/>
      <c r="AC502" s="144"/>
      <c r="AD502" s="144"/>
      <c r="AE502" s="144"/>
      <c r="AF502" s="144"/>
      <c r="AG502" s="144"/>
      <c r="AH502" s="144"/>
      <c r="AI502" s="144"/>
      <c r="AJ502" s="144"/>
      <c r="AK502" s="144"/>
      <c r="AL502" s="144"/>
      <c r="AM502" s="144"/>
    </row>
    <row r="503" spans="1:39" ht="12.75" customHeight="1">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c r="AA503" s="144"/>
      <c r="AB503" s="144"/>
      <c r="AC503" s="144"/>
      <c r="AD503" s="144"/>
      <c r="AE503" s="144"/>
      <c r="AF503" s="144"/>
      <c r="AG503" s="144"/>
      <c r="AH503" s="144"/>
      <c r="AI503" s="144"/>
      <c r="AJ503" s="144"/>
      <c r="AK503" s="144"/>
      <c r="AL503" s="144"/>
      <c r="AM503" s="144"/>
    </row>
    <row r="504" spans="1:39" ht="12.75" customHeight="1">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c r="AA504" s="144"/>
      <c r="AB504" s="144"/>
      <c r="AC504" s="144"/>
      <c r="AD504" s="144"/>
      <c r="AE504" s="144"/>
      <c r="AF504" s="144"/>
      <c r="AG504" s="144"/>
      <c r="AH504" s="144"/>
      <c r="AI504" s="144"/>
      <c r="AJ504" s="144"/>
      <c r="AK504" s="144"/>
      <c r="AL504" s="144"/>
      <c r="AM504" s="144"/>
    </row>
    <row r="505" spans="1:39" ht="12.75" customHeight="1">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c r="AA505" s="144"/>
      <c r="AB505" s="144"/>
      <c r="AC505" s="144"/>
      <c r="AD505" s="144"/>
      <c r="AE505" s="144"/>
      <c r="AF505" s="144"/>
      <c r="AG505" s="144"/>
      <c r="AH505" s="144"/>
      <c r="AI505" s="144"/>
      <c r="AJ505" s="144"/>
      <c r="AK505" s="144"/>
      <c r="AL505" s="144"/>
      <c r="AM505" s="144"/>
    </row>
    <row r="506" spans="1:39" ht="12.75" customHeight="1">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c r="AA506" s="144"/>
      <c r="AB506" s="144"/>
      <c r="AC506" s="144"/>
      <c r="AD506" s="144"/>
      <c r="AE506" s="144"/>
      <c r="AF506" s="144"/>
      <c r="AG506" s="144"/>
      <c r="AH506" s="144"/>
      <c r="AI506" s="144"/>
      <c r="AJ506" s="144"/>
      <c r="AK506" s="144"/>
      <c r="AL506" s="144"/>
      <c r="AM506" s="144"/>
    </row>
    <row r="507" spans="1:39" ht="12.75" customHeight="1">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c r="AA507" s="144"/>
      <c r="AB507" s="144"/>
      <c r="AC507" s="144"/>
      <c r="AD507" s="144"/>
      <c r="AE507" s="144"/>
      <c r="AF507" s="144"/>
      <c r="AG507" s="144"/>
      <c r="AH507" s="144"/>
      <c r="AI507" s="144"/>
      <c r="AJ507" s="144"/>
      <c r="AK507" s="144"/>
      <c r="AL507" s="144"/>
      <c r="AM507" s="144"/>
    </row>
    <row r="508" spans="1:39" ht="12.75" customHeight="1">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c r="AA508" s="144"/>
      <c r="AB508" s="144"/>
      <c r="AC508" s="144"/>
      <c r="AD508" s="144"/>
      <c r="AE508" s="144"/>
      <c r="AF508" s="144"/>
      <c r="AG508" s="144"/>
      <c r="AH508" s="144"/>
      <c r="AI508" s="144"/>
      <c r="AJ508" s="144"/>
      <c r="AK508" s="144"/>
      <c r="AL508" s="144"/>
      <c r="AM508" s="144"/>
    </row>
    <row r="509" spans="1:39" ht="12.75" customHeight="1">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c r="AA509" s="144"/>
      <c r="AB509" s="144"/>
      <c r="AC509" s="144"/>
      <c r="AD509" s="144"/>
      <c r="AE509" s="144"/>
      <c r="AF509" s="144"/>
      <c r="AG509" s="144"/>
      <c r="AH509" s="144"/>
      <c r="AI509" s="144"/>
      <c r="AJ509" s="144"/>
      <c r="AK509" s="144"/>
      <c r="AL509" s="144"/>
      <c r="AM509" s="144"/>
    </row>
    <row r="510" spans="1:39" ht="12.75" customHeight="1">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c r="AA510" s="144"/>
      <c r="AB510" s="144"/>
      <c r="AC510" s="144"/>
      <c r="AD510" s="144"/>
      <c r="AE510" s="144"/>
      <c r="AF510" s="144"/>
      <c r="AG510" s="144"/>
      <c r="AH510" s="144"/>
      <c r="AI510" s="144"/>
      <c r="AJ510" s="144"/>
      <c r="AK510" s="144"/>
      <c r="AL510" s="144"/>
      <c r="AM510" s="144"/>
    </row>
    <row r="511" spans="1:39" ht="12.75" customHeight="1">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c r="AA511" s="144"/>
      <c r="AB511" s="144"/>
      <c r="AC511" s="144"/>
      <c r="AD511" s="144"/>
      <c r="AE511" s="144"/>
      <c r="AF511" s="144"/>
      <c r="AG511" s="144"/>
      <c r="AH511" s="144"/>
      <c r="AI511" s="144"/>
      <c r="AJ511" s="144"/>
      <c r="AK511" s="144"/>
      <c r="AL511" s="144"/>
      <c r="AM511" s="144"/>
    </row>
    <row r="512" spans="1:39" ht="12.75" customHeight="1">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c r="AA512" s="144"/>
      <c r="AB512" s="144"/>
      <c r="AC512" s="144"/>
      <c r="AD512" s="144"/>
      <c r="AE512" s="144"/>
      <c r="AF512" s="144"/>
      <c r="AG512" s="144"/>
      <c r="AH512" s="144"/>
      <c r="AI512" s="144"/>
      <c r="AJ512" s="144"/>
      <c r="AK512" s="144"/>
      <c r="AL512" s="144"/>
      <c r="AM512" s="144"/>
    </row>
    <row r="513" spans="1:39" ht="12.75" customHeight="1">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c r="AA513" s="144"/>
      <c r="AB513" s="144"/>
      <c r="AC513" s="144"/>
      <c r="AD513" s="144"/>
      <c r="AE513" s="144"/>
      <c r="AF513" s="144"/>
      <c r="AG513" s="144"/>
      <c r="AH513" s="144"/>
      <c r="AI513" s="144"/>
      <c r="AJ513" s="144"/>
      <c r="AK513" s="144"/>
      <c r="AL513" s="144"/>
      <c r="AM513" s="144"/>
    </row>
    <row r="514" spans="1:39" ht="12.75" customHeight="1">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c r="AA514" s="144"/>
      <c r="AB514" s="144"/>
      <c r="AC514" s="144"/>
      <c r="AD514" s="144"/>
      <c r="AE514" s="144"/>
      <c r="AF514" s="144"/>
      <c r="AG514" s="144"/>
      <c r="AH514" s="144"/>
      <c r="AI514" s="144"/>
      <c r="AJ514" s="144"/>
      <c r="AK514" s="144"/>
      <c r="AL514" s="144"/>
      <c r="AM514" s="144"/>
    </row>
    <row r="515" spans="1:39" ht="12.75" customHeight="1">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c r="AA515" s="144"/>
      <c r="AB515" s="144"/>
      <c r="AC515" s="144"/>
      <c r="AD515" s="144"/>
      <c r="AE515" s="144"/>
      <c r="AF515" s="144"/>
      <c r="AG515" s="144"/>
      <c r="AH515" s="144"/>
      <c r="AI515" s="144"/>
      <c r="AJ515" s="144"/>
      <c r="AK515" s="144"/>
      <c r="AL515" s="144"/>
      <c r="AM515" s="144"/>
    </row>
    <row r="516" spans="1:39" ht="12.75" customHeight="1">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c r="AA516" s="144"/>
      <c r="AB516" s="144"/>
      <c r="AC516" s="144"/>
      <c r="AD516" s="144"/>
      <c r="AE516" s="144"/>
      <c r="AF516" s="144"/>
      <c r="AG516" s="144"/>
      <c r="AH516" s="144"/>
      <c r="AI516" s="144"/>
      <c r="AJ516" s="144"/>
      <c r="AK516" s="144"/>
      <c r="AL516" s="144"/>
      <c r="AM516" s="144"/>
    </row>
    <row r="517" spans="1:39" ht="12.75" customHeight="1">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c r="AA517" s="144"/>
      <c r="AB517" s="144"/>
      <c r="AC517" s="144"/>
      <c r="AD517" s="144"/>
      <c r="AE517" s="144"/>
      <c r="AF517" s="144"/>
      <c r="AG517" s="144"/>
      <c r="AH517" s="144"/>
      <c r="AI517" s="144"/>
      <c r="AJ517" s="144"/>
      <c r="AK517" s="144"/>
      <c r="AL517" s="144"/>
      <c r="AM517" s="144"/>
    </row>
    <row r="518" spans="1:39" ht="12.75" customHeight="1">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c r="AA518" s="144"/>
      <c r="AB518" s="144"/>
      <c r="AC518" s="144"/>
      <c r="AD518" s="144"/>
      <c r="AE518" s="144"/>
      <c r="AF518" s="144"/>
      <c r="AG518" s="144"/>
      <c r="AH518" s="144"/>
      <c r="AI518" s="144"/>
      <c r="AJ518" s="144"/>
      <c r="AK518" s="144"/>
      <c r="AL518" s="144"/>
      <c r="AM518" s="144"/>
    </row>
    <row r="519" spans="1:39" ht="12.75" customHeight="1">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row>
    <row r="520" spans="1:39" ht="12.75" customHeight="1">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row>
    <row r="521" spans="1:39" ht="12.75" customHeight="1">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row>
    <row r="522" spans="1:39" ht="12.75" customHeight="1">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row>
    <row r="523" spans="1:39" ht="12.75" customHeight="1">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row>
    <row r="524" spans="1:39" ht="12.75" customHeight="1">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row>
    <row r="525" spans="1:39" ht="12.75" customHeight="1">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row>
    <row r="526" spans="1:39" ht="12.75" customHeight="1">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row>
    <row r="527" spans="1:39" ht="12.75" customHeight="1">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row>
    <row r="528" spans="1:39" ht="12.75" customHeight="1">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row>
    <row r="529" spans="1:39" ht="12.75" customHeight="1">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row>
    <row r="530" spans="1:39" ht="12.75" customHeight="1">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row>
    <row r="531" spans="1:39" ht="12.75" customHeight="1">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row>
    <row r="532" spans="1:39" ht="12.75" customHeight="1">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row>
    <row r="533" spans="1:39" ht="12.75" customHeight="1">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row>
    <row r="534" spans="1:39" ht="12.75" customHeight="1">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row>
    <row r="535" spans="1:39" ht="12.75" customHeight="1">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row>
    <row r="536" spans="1:39" ht="12.75" customHeight="1">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row>
    <row r="537" spans="1:39" ht="12.75" customHeight="1">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c r="AA537" s="144"/>
      <c r="AB537" s="144"/>
      <c r="AC537" s="144"/>
      <c r="AD537" s="144"/>
      <c r="AE537" s="144"/>
      <c r="AF537" s="144"/>
      <c r="AG537" s="144"/>
      <c r="AH537" s="144"/>
      <c r="AI537" s="144"/>
      <c r="AJ537" s="144"/>
      <c r="AK537" s="144"/>
      <c r="AL537" s="144"/>
      <c r="AM537" s="144"/>
    </row>
    <row r="538" spans="1:39" ht="12.75" customHeight="1">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c r="AA538" s="144"/>
      <c r="AB538" s="144"/>
      <c r="AC538" s="144"/>
      <c r="AD538" s="144"/>
      <c r="AE538" s="144"/>
      <c r="AF538" s="144"/>
      <c r="AG538" s="144"/>
      <c r="AH538" s="144"/>
      <c r="AI538" s="144"/>
      <c r="AJ538" s="144"/>
      <c r="AK538" s="144"/>
      <c r="AL538" s="144"/>
      <c r="AM538" s="144"/>
    </row>
    <row r="539" spans="1:39" ht="12.75" customHeight="1">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c r="AA539" s="144"/>
      <c r="AB539" s="144"/>
      <c r="AC539" s="144"/>
      <c r="AD539" s="144"/>
      <c r="AE539" s="144"/>
      <c r="AF539" s="144"/>
      <c r="AG539" s="144"/>
      <c r="AH539" s="144"/>
      <c r="AI539" s="144"/>
      <c r="AJ539" s="144"/>
      <c r="AK539" s="144"/>
      <c r="AL539" s="144"/>
      <c r="AM539" s="144"/>
    </row>
    <row r="540" spans="1:39" ht="12.75" customHeight="1">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c r="AA540" s="144"/>
      <c r="AB540" s="144"/>
      <c r="AC540" s="144"/>
      <c r="AD540" s="144"/>
      <c r="AE540" s="144"/>
      <c r="AF540" s="144"/>
      <c r="AG540" s="144"/>
      <c r="AH540" s="144"/>
      <c r="AI540" s="144"/>
      <c r="AJ540" s="144"/>
      <c r="AK540" s="144"/>
      <c r="AL540" s="144"/>
      <c r="AM540" s="144"/>
    </row>
    <row r="541" spans="1:39" ht="12.75" customHeight="1">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c r="AA541" s="144"/>
      <c r="AB541" s="144"/>
      <c r="AC541" s="144"/>
      <c r="AD541" s="144"/>
      <c r="AE541" s="144"/>
      <c r="AF541" s="144"/>
      <c r="AG541" s="144"/>
      <c r="AH541" s="144"/>
      <c r="AI541" s="144"/>
      <c r="AJ541" s="144"/>
      <c r="AK541" s="144"/>
      <c r="AL541" s="144"/>
      <c r="AM541" s="144"/>
    </row>
    <row r="542" spans="1:39" ht="12.75" customHeight="1">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c r="AA542" s="144"/>
      <c r="AB542" s="144"/>
      <c r="AC542" s="144"/>
      <c r="AD542" s="144"/>
      <c r="AE542" s="144"/>
      <c r="AF542" s="144"/>
      <c r="AG542" s="144"/>
      <c r="AH542" s="144"/>
      <c r="AI542" s="144"/>
      <c r="AJ542" s="144"/>
      <c r="AK542" s="144"/>
      <c r="AL542" s="144"/>
      <c r="AM542" s="144"/>
    </row>
    <row r="543" spans="1:39" ht="12.75" customHeight="1">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c r="AA543" s="144"/>
      <c r="AB543" s="144"/>
      <c r="AC543" s="144"/>
      <c r="AD543" s="144"/>
      <c r="AE543" s="144"/>
      <c r="AF543" s="144"/>
      <c r="AG543" s="144"/>
      <c r="AH543" s="144"/>
      <c r="AI543" s="144"/>
      <c r="AJ543" s="144"/>
      <c r="AK543" s="144"/>
      <c r="AL543" s="144"/>
      <c r="AM543" s="144"/>
    </row>
    <row r="544" spans="1:39" ht="12.75" customHeight="1">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c r="AA544" s="144"/>
      <c r="AB544" s="144"/>
      <c r="AC544" s="144"/>
      <c r="AD544" s="144"/>
      <c r="AE544" s="144"/>
      <c r="AF544" s="144"/>
      <c r="AG544" s="144"/>
      <c r="AH544" s="144"/>
      <c r="AI544" s="144"/>
      <c r="AJ544" s="144"/>
      <c r="AK544" s="144"/>
      <c r="AL544" s="144"/>
      <c r="AM544" s="144"/>
    </row>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O67:Q67"/>
  </mergeCells>
  <printOptions gridLines="1"/>
  <pageMargins left="0.2" right="0.2" top="0.24" bottom="0.23" header="0" footer="0"/>
  <pageSetup orientation="landscape"/>
  <rowBreaks count="2" manualBreakCount="2">
    <brk id="98" man="1"/>
    <brk id="170" man="1"/>
  </rowBreaks>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defaultColWidth="16.85546875" defaultRowHeight="15" customHeight="1"/>
  <cols>
    <col min="1" max="1" width="2" customWidth="1"/>
    <col min="2" max="2" width="63.28515625" customWidth="1"/>
    <col min="3" max="3" width="15" customWidth="1"/>
    <col min="4" max="4" width="15.85546875" customWidth="1"/>
    <col min="5" max="5" width="15" customWidth="1"/>
    <col min="6" max="6" width="15.42578125" customWidth="1"/>
    <col min="7" max="7" width="17.7109375" customWidth="1"/>
    <col min="8" max="8" width="15.7109375" customWidth="1"/>
    <col min="9" max="9" width="15.42578125" customWidth="1"/>
    <col min="10" max="10" width="17" customWidth="1"/>
    <col min="11" max="11" width="15.42578125" customWidth="1"/>
    <col min="12" max="12" width="15.85546875" customWidth="1"/>
    <col min="13" max="13" width="14.7109375" customWidth="1"/>
    <col min="14" max="14" width="21.140625" customWidth="1"/>
    <col min="15" max="15" width="15.42578125" customWidth="1"/>
    <col min="16" max="17" width="15.140625" customWidth="1"/>
    <col min="18" max="18" width="15" customWidth="1"/>
    <col min="19" max="19" width="15.42578125" customWidth="1"/>
    <col min="20" max="26" width="8.85546875" customWidth="1"/>
  </cols>
  <sheetData>
    <row r="1" spans="1:26" ht="63" customHeight="1">
      <c r="A1" s="134" t="s">
        <v>705</v>
      </c>
      <c r="B1" s="135"/>
      <c r="C1" s="136"/>
      <c r="D1" s="136"/>
      <c r="E1" s="136"/>
      <c r="F1" s="136"/>
      <c r="G1" s="137"/>
      <c r="H1" s="136"/>
      <c r="I1" s="136"/>
      <c r="J1" s="136"/>
      <c r="K1" s="136"/>
      <c r="L1" s="136"/>
      <c r="M1" s="136"/>
      <c r="N1" s="136"/>
      <c r="O1" s="136"/>
      <c r="P1" s="136"/>
      <c r="Q1" s="136"/>
      <c r="R1" s="136"/>
      <c r="S1" s="136"/>
      <c r="T1" s="136"/>
      <c r="U1" s="136"/>
      <c r="V1" s="136"/>
      <c r="W1" s="136"/>
      <c r="X1" s="136"/>
      <c r="Y1" s="136"/>
      <c r="Z1" s="136"/>
    </row>
    <row r="2" spans="1:26" ht="63" customHeight="1">
      <c r="A2" s="638"/>
      <c r="B2" s="639"/>
      <c r="C2" s="639"/>
      <c r="D2" s="639"/>
      <c r="E2" s="639"/>
      <c r="F2" s="639"/>
      <c r="G2" s="639"/>
      <c r="H2" s="639"/>
      <c r="I2" s="639"/>
      <c r="J2" s="639"/>
      <c r="K2" s="639"/>
      <c r="L2" s="639"/>
      <c r="M2" s="639"/>
      <c r="N2" s="639"/>
      <c r="O2" s="639"/>
      <c r="P2" s="639"/>
      <c r="Q2" s="144"/>
      <c r="R2" s="144"/>
      <c r="S2" s="144"/>
      <c r="T2" s="144"/>
      <c r="U2" s="144"/>
      <c r="V2" s="144"/>
      <c r="W2" s="144"/>
      <c r="X2" s="144"/>
      <c r="Y2" s="144"/>
      <c r="Z2" s="144"/>
    </row>
    <row r="3" spans="1:26" ht="63" customHeight="1">
      <c r="A3" s="1"/>
      <c r="B3" s="1"/>
      <c r="C3" s="1"/>
      <c r="D3" s="1"/>
      <c r="E3" s="640" t="s">
        <v>706</v>
      </c>
      <c r="F3" s="641"/>
      <c r="G3" s="641"/>
      <c r="H3" s="642"/>
      <c r="I3" s="1"/>
      <c r="J3" s="1"/>
      <c r="K3" s="1"/>
      <c r="L3" s="1"/>
      <c r="M3" s="1"/>
      <c r="N3" s="1"/>
      <c r="O3" s="1"/>
      <c r="P3" s="1"/>
      <c r="Q3" s="1"/>
      <c r="R3" s="1"/>
      <c r="S3" s="1"/>
      <c r="T3" s="1"/>
      <c r="U3" s="1"/>
      <c r="V3" s="1"/>
      <c r="W3" s="1"/>
      <c r="X3" s="1"/>
      <c r="Y3" s="1"/>
      <c r="Z3" s="1"/>
    </row>
    <row r="4" spans="1:26" ht="11.25" customHeight="1">
      <c r="A4" s="1"/>
      <c r="B4" s="1"/>
      <c r="C4" s="1"/>
      <c r="D4" s="1"/>
      <c r="E4" s="643"/>
      <c r="F4" s="1"/>
      <c r="G4" s="1"/>
      <c r="H4" s="1"/>
      <c r="I4" s="1"/>
      <c r="J4" s="1"/>
      <c r="K4" s="1"/>
      <c r="L4" s="1"/>
      <c r="M4" s="1"/>
      <c r="N4" s="1"/>
      <c r="O4" s="1"/>
      <c r="P4" s="1"/>
      <c r="Q4" s="1"/>
      <c r="R4" s="1"/>
      <c r="S4" s="1"/>
      <c r="T4" s="1"/>
      <c r="U4" s="1"/>
      <c r="V4" s="1"/>
      <c r="W4" s="1"/>
      <c r="X4" s="1"/>
      <c r="Y4" s="1"/>
      <c r="Z4" s="1"/>
    </row>
    <row r="5" spans="1:26" ht="11.25" customHeight="1">
      <c r="A5" s="1"/>
      <c r="B5" s="373"/>
      <c r="C5" s="644">
        <v>2001</v>
      </c>
      <c r="D5" s="644">
        <v>2002</v>
      </c>
      <c r="E5" s="644">
        <v>2003</v>
      </c>
      <c r="F5" s="644">
        <v>2004</v>
      </c>
      <c r="G5" s="644">
        <v>2005</v>
      </c>
      <c r="H5" s="644">
        <v>2006</v>
      </c>
      <c r="I5" s="644">
        <v>2007</v>
      </c>
      <c r="J5" s="644">
        <v>2008</v>
      </c>
      <c r="K5" s="645">
        <v>2009</v>
      </c>
      <c r="L5" s="645">
        <v>2010</v>
      </c>
      <c r="M5" s="645">
        <v>2011</v>
      </c>
      <c r="N5" s="645">
        <v>2012</v>
      </c>
      <c r="O5" s="645">
        <v>2013</v>
      </c>
      <c r="P5" s="646">
        <v>2014</v>
      </c>
      <c r="Q5" s="647">
        <v>2015</v>
      </c>
      <c r="R5" s="646">
        <v>2016</v>
      </c>
      <c r="S5" s="648">
        <v>2017</v>
      </c>
      <c r="T5" s="1"/>
      <c r="U5" s="1"/>
      <c r="V5" s="1"/>
      <c r="W5" s="1"/>
      <c r="X5" s="1"/>
      <c r="Y5" s="1"/>
      <c r="Z5" s="1"/>
    </row>
    <row r="6" spans="1:26" ht="11.25" customHeight="1">
      <c r="A6" s="1"/>
      <c r="B6" s="378"/>
      <c r="C6" s="649"/>
      <c r="D6" s="649"/>
      <c r="E6" s="649"/>
      <c r="F6" s="649"/>
      <c r="G6" s="649"/>
      <c r="H6" s="649"/>
      <c r="I6" s="649"/>
      <c r="J6" s="649"/>
      <c r="K6" s="381"/>
      <c r="L6" s="381"/>
      <c r="M6" s="381"/>
      <c r="N6" s="381"/>
      <c r="O6" s="381"/>
      <c r="P6" s="650"/>
      <c r="Q6" s="649"/>
      <c r="R6" s="650"/>
      <c r="S6" s="382"/>
      <c r="T6" s="1"/>
      <c r="U6" s="1"/>
      <c r="V6" s="1"/>
      <c r="W6" s="1"/>
      <c r="X6" s="1"/>
      <c r="Y6" s="1"/>
      <c r="Z6" s="1"/>
    </row>
    <row r="7" spans="1:26" ht="11.25" customHeight="1">
      <c r="A7" s="1"/>
      <c r="B7" s="651" t="s">
        <v>707</v>
      </c>
      <c r="C7" s="652">
        <v>11135140</v>
      </c>
      <c r="D7" s="652">
        <v>11364983</v>
      </c>
      <c r="E7" s="652">
        <v>11852129</v>
      </c>
      <c r="F7" s="652">
        <v>11608446</v>
      </c>
      <c r="G7" s="652">
        <v>11745248.199999999</v>
      </c>
      <c r="H7" s="652">
        <v>11687602.6</v>
      </c>
      <c r="I7" s="652">
        <v>11937518</v>
      </c>
      <c r="J7" s="652">
        <v>11098391</v>
      </c>
      <c r="K7" s="653">
        <v>9846698</v>
      </c>
      <c r="L7" s="653">
        <v>9885858</v>
      </c>
      <c r="M7" s="653">
        <v>9003261</v>
      </c>
      <c r="N7" s="653">
        <v>6981310</v>
      </c>
      <c r="O7" s="653">
        <v>6815969</v>
      </c>
      <c r="P7" s="654">
        <v>7450504</v>
      </c>
      <c r="Q7" s="655">
        <v>6046224</v>
      </c>
      <c r="R7" s="656">
        <v>5882475</v>
      </c>
      <c r="S7" s="657">
        <v>3674712</v>
      </c>
      <c r="T7" s="1"/>
      <c r="U7" s="1"/>
      <c r="V7" s="1"/>
      <c r="W7" s="1"/>
      <c r="X7" s="1"/>
      <c r="Y7" s="1"/>
      <c r="Z7" s="1"/>
    </row>
    <row r="8" spans="1:26" ht="11.25" customHeight="1">
      <c r="A8" s="1"/>
      <c r="B8" s="651" t="s">
        <v>708</v>
      </c>
      <c r="C8" s="652">
        <v>5514960</v>
      </c>
      <c r="D8" s="652">
        <v>4108104</v>
      </c>
      <c r="E8" s="652">
        <v>6164252</v>
      </c>
      <c r="F8" s="652">
        <v>5672819.25</v>
      </c>
      <c r="G8" s="652">
        <v>6574936.7400000002</v>
      </c>
      <c r="H8" s="652">
        <v>1050222.03</v>
      </c>
      <c r="I8" s="652">
        <v>1790746</v>
      </c>
      <c r="J8" s="652">
        <v>791418</v>
      </c>
      <c r="K8" s="653">
        <v>624050</v>
      </c>
      <c r="L8" s="653">
        <v>658767</v>
      </c>
      <c r="M8" s="653">
        <v>438683</v>
      </c>
      <c r="N8" s="653">
        <v>408743</v>
      </c>
      <c r="O8" s="653">
        <v>544171</v>
      </c>
      <c r="P8" s="654">
        <v>1104782</v>
      </c>
      <c r="Q8" s="655">
        <v>483501</v>
      </c>
      <c r="R8" s="656">
        <v>353249</v>
      </c>
      <c r="S8" s="657">
        <v>242907</v>
      </c>
      <c r="T8" s="1"/>
      <c r="U8" s="1"/>
      <c r="V8" s="1"/>
      <c r="W8" s="1"/>
      <c r="X8" s="1"/>
      <c r="Y8" s="1"/>
      <c r="Z8" s="1"/>
    </row>
    <row r="9" spans="1:26" ht="11.25" customHeight="1">
      <c r="A9" s="1"/>
      <c r="B9" s="651" t="s">
        <v>709</v>
      </c>
      <c r="C9" s="652">
        <v>17985486</v>
      </c>
      <c r="D9" s="652">
        <v>22627073</v>
      </c>
      <c r="E9" s="652">
        <v>11162538</v>
      </c>
      <c r="F9" s="652">
        <v>9994238.0399999991</v>
      </c>
      <c r="G9" s="652">
        <v>18619350</v>
      </c>
      <c r="H9" s="652">
        <v>16620796.5</v>
      </c>
      <c r="I9" s="652">
        <v>21481869</v>
      </c>
      <c r="J9" s="652">
        <v>17563616</v>
      </c>
      <c r="K9" s="653">
        <v>15742992</v>
      </c>
      <c r="L9" s="653">
        <v>28629884</v>
      </c>
      <c r="M9" s="653">
        <v>21840074</v>
      </c>
      <c r="N9" s="653">
        <v>51188571</v>
      </c>
      <c r="O9" s="653">
        <v>27549022</v>
      </c>
      <c r="P9" s="654">
        <v>24337768</v>
      </c>
      <c r="Q9" s="655">
        <v>44642499</v>
      </c>
      <c r="R9" s="656">
        <v>53485752</v>
      </c>
      <c r="S9" s="657">
        <v>55972798</v>
      </c>
      <c r="T9" s="1"/>
      <c r="U9" s="1"/>
      <c r="V9" s="1"/>
      <c r="W9" s="1"/>
      <c r="X9" s="1"/>
      <c r="Y9" s="1"/>
      <c r="Z9" s="1"/>
    </row>
    <row r="10" spans="1:26" ht="11.25" customHeight="1">
      <c r="A10" s="1"/>
      <c r="B10" s="658" t="s">
        <v>710</v>
      </c>
      <c r="C10" s="659">
        <v>7537</v>
      </c>
      <c r="D10" s="659">
        <v>9278</v>
      </c>
      <c r="E10" s="659">
        <v>6717</v>
      </c>
      <c r="F10" s="659">
        <v>5127.03</v>
      </c>
      <c r="G10" s="659">
        <v>4266.24</v>
      </c>
      <c r="H10" s="659">
        <v>4141.3100000000004</v>
      </c>
      <c r="I10" s="659">
        <v>4703.42</v>
      </c>
      <c r="J10" s="659">
        <v>4194.0200000000004</v>
      </c>
      <c r="K10" s="660">
        <v>3340</v>
      </c>
      <c r="L10" s="660">
        <v>2663</v>
      </c>
      <c r="M10" s="660">
        <v>1921</v>
      </c>
      <c r="N10" s="660">
        <v>1395</v>
      </c>
      <c r="O10" s="660">
        <v>0</v>
      </c>
      <c r="P10" s="661"/>
      <c r="Q10" s="662"/>
      <c r="R10" s="663"/>
      <c r="S10" s="630"/>
      <c r="T10" s="1"/>
      <c r="U10" s="1"/>
      <c r="V10" s="1"/>
      <c r="W10" s="1"/>
      <c r="X10" s="1"/>
      <c r="Y10" s="1"/>
      <c r="Z10" s="1"/>
    </row>
    <row r="11" spans="1:26" ht="11.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1.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1.25" customHeight="1">
      <c r="A13" s="1"/>
      <c r="B13" s="1"/>
      <c r="C13" s="1"/>
      <c r="D13" s="1"/>
      <c r="E13" s="664" t="s">
        <v>711</v>
      </c>
      <c r="F13" s="665"/>
      <c r="G13" s="666"/>
      <c r="H13" s="667"/>
      <c r="I13" s="1"/>
      <c r="J13" s="1"/>
      <c r="K13" s="1"/>
      <c r="L13" s="1"/>
      <c r="M13" s="1"/>
      <c r="N13" s="1"/>
      <c r="O13" s="1"/>
      <c r="P13" s="1"/>
      <c r="Q13" s="1"/>
      <c r="R13" s="1"/>
      <c r="S13" s="1"/>
      <c r="T13" s="1"/>
      <c r="U13" s="1"/>
      <c r="V13" s="1"/>
      <c r="W13" s="1"/>
      <c r="X13" s="1"/>
      <c r="Y13" s="1"/>
      <c r="Z13" s="1"/>
    </row>
    <row r="14" spans="1:26" ht="11.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1.25" customHeight="1">
      <c r="A15" s="1"/>
      <c r="B15" s="373"/>
      <c r="C15" s="668">
        <v>2001</v>
      </c>
      <c r="D15" s="668">
        <v>2002</v>
      </c>
      <c r="E15" s="668">
        <v>2003</v>
      </c>
      <c r="F15" s="668">
        <v>2004</v>
      </c>
      <c r="G15" s="668">
        <v>2005</v>
      </c>
      <c r="H15" s="668">
        <v>2006</v>
      </c>
      <c r="I15" s="668">
        <v>2007</v>
      </c>
      <c r="J15" s="669">
        <v>2008</v>
      </c>
      <c r="K15" s="668">
        <v>2009</v>
      </c>
      <c r="L15" s="669">
        <v>2010</v>
      </c>
      <c r="M15" s="668">
        <v>2011</v>
      </c>
      <c r="N15" s="668">
        <v>2012</v>
      </c>
      <c r="O15" s="668">
        <v>2013</v>
      </c>
      <c r="P15" s="669">
        <v>2014</v>
      </c>
      <c r="Q15" s="670">
        <v>2015</v>
      </c>
      <c r="R15" s="671">
        <v>2016</v>
      </c>
      <c r="S15" s="670">
        <v>2017</v>
      </c>
      <c r="T15" s="1"/>
      <c r="U15" s="1"/>
      <c r="V15" s="1"/>
      <c r="W15" s="1"/>
      <c r="X15" s="1"/>
      <c r="Y15" s="1"/>
      <c r="Z15" s="1"/>
    </row>
    <row r="16" spans="1:26" ht="11.25" customHeight="1">
      <c r="A16" s="1"/>
      <c r="B16" s="378" t="s">
        <v>194</v>
      </c>
      <c r="C16" s="672">
        <v>28379409</v>
      </c>
      <c r="D16" s="672">
        <v>28712053</v>
      </c>
      <c r="E16" s="672">
        <v>29939086</v>
      </c>
      <c r="F16" s="672">
        <v>29195458</v>
      </c>
      <c r="G16" s="672">
        <v>29302792</v>
      </c>
      <c r="H16" s="672">
        <v>29408022</v>
      </c>
      <c r="I16" s="672">
        <v>29699186</v>
      </c>
      <c r="J16" s="673">
        <v>27218239</v>
      </c>
      <c r="K16" s="674">
        <v>24162345</v>
      </c>
      <c r="L16" s="674">
        <v>23668204</v>
      </c>
      <c r="M16" s="674">
        <v>21186919</v>
      </c>
      <c r="N16" s="674">
        <v>16184773</v>
      </c>
      <c r="O16" s="674">
        <v>15538469</v>
      </c>
      <c r="P16" s="656">
        <v>17603291</v>
      </c>
      <c r="Q16" s="657">
        <v>13925604</v>
      </c>
      <c r="R16" s="675">
        <v>13826213</v>
      </c>
      <c r="S16" s="657">
        <v>8514009</v>
      </c>
      <c r="T16" s="1"/>
      <c r="U16" s="1"/>
      <c r="V16" s="1"/>
      <c r="W16" s="1"/>
      <c r="X16" s="1"/>
      <c r="Y16" s="1"/>
      <c r="Z16" s="1"/>
    </row>
    <row r="17" spans="1:26" ht="11.25" customHeight="1">
      <c r="A17" s="1"/>
      <c r="B17" s="378" t="s">
        <v>591</v>
      </c>
      <c r="C17" s="672">
        <v>3021639</v>
      </c>
      <c r="D17" s="672">
        <v>2282432</v>
      </c>
      <c r="E17" s="672">
        <v>3572183</v>
      </c>
      <c r="F17" s="672">
        <v>3296842</v>
      </c>
      <c r="G17" s="672">
        <v>3805569</v>
      </c>
      <c r="H17" s="672">
        <v>580726</v>
      </c>
      <c r="I17" s="672">
        <v>984831</v>
      </c>
      <c r="J17" s="673">
        <v>405840</v>
      </c>
      <c r="K17" s="674">
        <v>329901</v>
      </c>
      <c r="L17" s="674">
        <v>322438</v>
      </c>
      <c r="M17" s="674">
        <v>219804</v>
      </c>
      <c r="N17" s="674">
        <v>137305</v>
      </c>
      <c r="O17" s="674">
        <v>189553</v>
      </c>
      <c r="P17" s="656">
        <v>463456</v>
      </c>
      <c r="Q17" s="657">
        <v>232348</v>
      </c>
      <c r="R17" s="675">
        <v>160550</v>
      </c>
      <c r="S17" s="657">
        <v>102181</v>
      </c>
      <c r="T17" s="1"/>
      <c r="U17" s="1"/>
      <c r="V17" s="1"/>
      <c r="W17" s="1"/>
      <c r="X17" s="1"/>
      <c r="Y17" s="1"/>
      <c r="Z17" s="1"/>
    </row>
    <row r="18" spans="1:26" ht="11.25" customHeight="1">
      <c r="A18" s="1"/>
      <c r="B18" s="378" t="s">
        <v>456</v>
      </c>
      <c r="C18" s="672">
        <v>1760812</v>
      </c>
      <c r="D18" s="672">
        <v>2214431</v>
      </c>
      <c r="E18" s="672">
        <v>1195642</v>
      </c>
      <c r="F18" s="672">
        <v>1183301</v>
      </c>
      <c r="G18" s="672">
        <v>1886986</v>
      </c>
      <c r="H18" s="672">
        <v>1770206</v>
      </c>
      <c r="I18" s="672">
        <v>2240927</v>
      </c>
      <c r="J18" s="673">
        <v>1848147</v>
      </c>
      <c r="K18" s="674">
        <v>1767844</v>
      </c>
      <c r="L18" s="674">
        <v>2896978</v>
      </c>
      <c r="M18" s="674">
        <v>2236976</v>
      </c>
      <c r="N18" s="674">
        <v>4944895</v>
      </c>
      <c r="O18" s="674">
        <v>2887589</v>
      </c>
      <c r="P18" s="656">
        <v>2505890</v>
      </c>
      <c r="Q18" s="657">
        <v>4555345</v>
      </c>
      <c r="R18" s="675">
        <v>5423046</v>
      </c>
      <c r="S18" s="657">
        <v>6729174</v>
      </c>
      <c r="T18" s="1"/>
      <c r="U18" s="1"/>
      <c r="V18" s="1"/>
      <c r="W18" s="1"/>
      <c r="X18" s="1"/>
      <c r="Y18" s="1"/>
      <c r="Z18" s="1"/>
    </row>
    <row r="19" spans="1:26" ht="11.25" customHeight="1">
      <c r="A19" s="1"/>
      <c r="B19" s="378" t="s">
        <v>712</v>
      </c>
      <c r="C19" s="672">
        <v>439980</v>
      </c>
      <c r="D19" s="672">
        <v>504513</v>
      </c>
      <c r="E19" s="672">
        <v>325355</v>
      </c>
      <c r="F19" s="672">
        <v>411565</v>
      </c>
      <c r="G19" s="672">
        <v>342466</v>
      </c>
      <c r="H19" s="672">
        <v>332444</v>
      </c>
      <c r="I19" s="672">
        <v>377560</v>
      </c>
      <c r="J19" s="673">
        <v>337823</v>
      </c>
      <c r="K19" s="674">
        <v>269182</v>
      </c>
      <c r="L19" s="674">
        <v>214727</v>
      </c>
      <c r="M19" s="674">
        <v>154641</v>
      </c>
      <c r="N19" s="674">
        <v>112314</v>
      </c>
      <c r="O19" s="676">
        <v>0</v>
      </c>
      <c r="P19" s="676">
        <v>0</v>
      </c>
      <c r="Q19" s="677">
        <v>0</v>
      </c>
      <c r="R19" s="678">
        <v>0</v>
      </c>
      <c r="S19" s="657">
        <v>0</v>
      </c>
      <c r="T19" s="1"/>
      <c r="U19" s="1"/>
      <c r="V19" s="1"/>
      <c r="W19" s="1"/>
      <c r="X19" s="1"/>
      <c r="Y19" s="1"/>
      <c r="Z19" s="1"/>
    </row>
    <row r="20" spans="1:26" ht="11.25" customHeight="1">
      <c r="A20" s="1"/>
      <c r="B20" s="378" t="s">
        <v>713</v>
      </c>
      <c r="C20" s="672">
        <v>13656267</v>
      </c>
      <c r="D20" s="672">
        <v>12128005</v>
      </c>
      <c r="E20" s="672">
        <v>13690713</v>
      </c>
      <c r="F20" s="672">
        <v>14580260</v>
      </c>
      <c r="G20" s="672">
        <v>14703221</v>
      </c>
      <c r="H20" s="672">
        <v>13830411</v>
      </c>
      <c r="I20" s="672">
        <v>14353192</v>
      </c>
      <c r="J20" s="673">
        <v>14678695</v>
      </c>
      <c r="K20" s="674">
        <v>14550119</v>
      </c>
      <c r="L20" s="674">
        <v>13993948</v>
      </c>
      <c r="M20" s="674">
        <v>14397437</v>
      </c>
      <c r="N20" s="674">
        <v>13579266</v>
      </c>
      <c r="O20" s="674">
        <v>14264305</v>
      </c>
      <c r="P20" s="656">
        <v>14343334</v>
      </c>
      <c r="Q20" s="657">
        <v>14643325</v>
      </c>
      <c r="R20" s="675">
        <v>14760177</v>
      </c>
      <c r="S20" s="657">
        <v>15106988</v>
      </c>
      <c r="T20" s="1"/>
      <c r="U20" s="1"/>
      <c r="V20" s="1"/>
      <c r="W20" s="1"/>
      <c r="X20" s="1"/>
      <c r="Y20" s="1"/>
      <c r="Z20" s="1"/>
    </row>
    <row r="21" spans="1:26" ht="11.25" customHeight="1">
      <c r="A21" s="1"/>
      <c r="B21" s="378" t="s">
        <v>714</v>
      </c>
      <c r="C21" s="672">
        <v>1183518</v>
      </c>
      <c r="D21" s="672">
        <v>1660989</v>
      </c>
      <c r="E21" s="672">
        <v>2646984</v>
      </c>
      <c r="F21" s="672">
        <v>2507521</v>
      </c>
      <c r="G21" s="672">
        <v>1703639</v>
      </c>
      <c r="H21" s="672">
        <v>2104275</v>
      </c>
      <c r="I21" s="672">
        <v>1652216</v>
      </c>
      <c r="J21" s="673">
        <v>1974078</v>
      </c>
      <c r="K21" s="674">
        <v>1888769</v>
      </c>
      <c r="L21" s="674">
        <v>1667397</v>
      </c>
      <c r="M21" s="674">
        <v>2540908</v>
      </c>
      <c r="N21" s="674">
        <v>1656539</v>
      </c>
      <c r="O21" s="674">
        <v>1727020</v>
      </c>
      <c r="P21" s="656">
        <v>1615523</v>
      </c>
      <c r="Q21" s="657">
        <v>1623190</v>
      </c>
      <c r="R21" s="675">
        <v>1392187</v>
      </c>
      <c r="S21" s="657">
        <v>1965459</v>
      </c>
      <c r="T21" s="1"/>
      <c r="U21" s="1"/>
      <c r="V21" s="1"/>
      <c r="W21" s="1"/>
      <c r="X21" s="1"/>
      <c r="Y21" s="1"/>
      <c r="Z21" s="1"/>
    </row>
    <row r="22" spans="1:26" ht="11.25" customHeight="1">
      <c r="A22" s="1"/>
      <c r="B22" s="613" t="s">
        <v>715</v>
      </c>
      <c r="C22" s="672"/>
      <c r="D22" s="672"/>
      <c r="E22" s="672"/>
      <c r="F22" s="672"/>
      <c r="G22" s="672"/>
      <c r="H22" s="672"/>
      <c r="I22" s="672"/>
      <c r="J22" s="673"/>
      <c r="K22" s="674"/>
      <c r="L22" s="674">
        <v>1494</v>
      </c>
      <c r="M22" s="674">
        <v>319254</v>
      </c>
      <c r="N22" s="674">
        <v>321687</v>
      </c>
      <c r="O22" s="674">
        <v>321670</v>
      </c>
      <c r="P22" s="656">
        <v>323612</v>
      </c>
      <c r="Q22" s="657">
        <v>434595</v>
      </c>
      <c r="R22" s="675">
        <v>527114</v>
      </c>
      <c r="S22" s="657">
        <v>561349</v>
      </c>
      <c r="T22" s="1"/>
      <c r="U22" s="1"/>
      <c r="V22" s="1"/>
      <c r="W22" s="1"/>
      <c r="X22" s="1"/>
      <c r="Y22" s="1"/>
      <c r="Z22" s="1"/>
    </row>
    <row r="23" spans="1:26" ht="11.25" customHeight="1">
      <c r="A23" s="1"/>
      <c r="B23" s="613" t="s">
        <v>716</v>
      </c>
      <c r="C23" s="672"/>
      <c r="D23" s="672"/>
      <c r="E23" s="672"/>
      <c r="F23" s="672"/>
      <c r="G23" s="672"/>
      <c r="H23" s="672"/>
      <c r="I23" s="672"/>
      <c r="J23" s="673"/>
      <c r="K23" s="674"/>
      <c r="L23" s="674">
        <v>80</v>
      </c>
      <c r="M23" s="674">
        <v>2070</v>
      </c>
      <c r="N23" s="674">
        <v>22473</v>
      </c>
      <c r="O23" s="674">
        <v>63485</v>
      </c>
      <c r="P23" s="656">
        <v>98118</v>
      </c>
      <c r="Q23" s="657">
        <v>118801</v>
      </c>
      <c r="R23" s="675">
        <v>208657</v>
      </c>
      <c r="S23" s="657">
        <v>267090</v>
      </c>
      <c r="T23" s="1"/>
      <c r="U23" s="1"/>
      <c r="V23" s="1"/>
      <c r="W23" s="1"/>
      <c r="X23" s="1"/>
      <c r="Y23" s="1"/>
      <c r="Z23" s="1"/>
    </row>
    <row r="24" spans="1:26" ht="11.25" customHeight="1">
      <c r="A24" s="1"/>
      <c r="B24" s="378" t="s">
        <v>717</v>
      </c>
      <c r="C24" s="672">
        <v>11939</v>
      </c>
      <c r="D24" s="672">
        <v>182904</v>
      </c>
      <c r="E24" s="672">
        <v>225240</v>
      </c>
      <c r="F24" s="672">
        <v>192384</v>
      </c>
      <c r="G24" s="672">
        <v>205985</v>
      </c>
      <c r="H24" s="672">
        <v>218066</v>
      </c>
      <c r="I24" s="672">
        <v>203097</v>
      </c>
      <c r="J24" s="673">
        <v>197704</v>
      </c>
      <c r="K24" s="674">
        <v>175058</v>
      </c>
      <c r="L24" s="674">
        <v>164688</v>
      </c>
      <c r="M24" s="674">
        <v>167437</v>
      </c>
      <c r="N24" s="674">
        <v>158953</v>
      </c>
      <c r="O24" s="674">
        <v>142789</v>
      </c>
      <c r="P24" s="656">
        <v>150426</v>
      </c>
      <c r="Q24" s="657">
        <v>111162</v>
      </c>
      <c r="R24" s="675">
        <v>123653</v>
      </c>
      <c r="S24" s="657">
        <v>120338</v>
      </c>
      <c r="T24" s="1"/>
      <c r="U24" s="1"/>
      <c r="V24" s="1"/>
      <c r="W24" s="1"/>
      <c r="X24" s="1"/>
      <c r="Y24" s="1"/>
      <c r="Z24" s="1"/>
    </row>
    <row r="25" spans="1:26" ht="11.25" customHeight="1">
      <c r="A25" s="1"/>
      <c r="B25" s="378" t="s">
        <v>718</v>
      </c>
      <c r="C25" s="672">
        <v>361076</v>
      </c>
      <c r="D25" s="672">
        <v>338727</v>
      </c>
      <c r="E25" s="672">
        <v>370811</v>
      </c>
      <c r="F25" s="672">
        <v>396824</v>
      </c>
      <c r="G25" s="672">
        <v>417380</v>
      </c>
      <c r="H25" s="672">
        <v>408095</v>
      </c>
      <c r="I25" s="672">
        <v>400364</v>
      </c>
      <c r="J25" s="673">
        <v>414781</v>
      </c>
      <c r="K25" s="674">
        <v>375721</v>
      </c>
      <c r="L25" s="674">
        <v>407402</v>
      </c>
      <c r="M25" s="674">
        <v>420114</v>
      </c>
      <c r="N25" s="674">
        <v>395039</v>
      </c>
      <c r="O25" s="674">
        <v>413220</v>
      </c>
      <c r="P25" s="656">
        <v>416719</v>
      </c>
      <c r="Q25" s="657">
        <v>403239</v>
      </c>
      <c r="R25" s="675">
        <v>422029</v>
      </c>
      <c r="S25" s="657">
        <v>415940</v>
      </c>
      <c r="T25" s="1"/>
      <c r="U25" s="1"/>
      <c r="V25" s="1"/>
      <c r="W25" s="1"/>
      <c r="X25" s="1"/>
      <c r="Y25" s="1"/>
      <c r="Z25" s="1"/>
    </row>
    <row r="26" spans="1:26" ht="11.25" customHeight="1">
      <c r="A26" s="1"/>
      <c r="B26" s="679" t="s">
        <v>719</v>
      </c>
      <c r="C26" s="680">
        <v>247700</v>
      </c>
      <c r="D26" s="680">
        <v>255034</v>
      </c>
      <c r="E26" s="680">
        <v>278224</v>
      </c>
      <c r="F26" s="680">
        <v>288616</v>
      </c>
      <c r="G26" s="680">
        <v>293561</v>
      </c>
      <c r="H26" s="680">
        <v>304635</v>
      </c>
      <c r="I26" s="680">
        <v>286550</v>
      </c>
      <c r="J26" s="681">
        <v>285645</v>
      </c>
      <c r="K26" s="682">
        <v>255893</v>
      </c>
      <c r="L26" s="682">
        <v>269907</v>
      </c>
      <c r="M26" s="682">
        <v>267727</v>
      </c>
      <c r="N26" s="682">
        <v>296499</v>
      </c>
      <c r="O26" s="682">
        <v>302712</v>
      </c>
      <c r="P26" s="683">
        <v>313284</v>
      </c>
      <c r="Q26" s="657">
        <v>317935</v>
      </c>
      <c r="R26" s="675">
        <v>323060</v>
      </c>
      <c r="S26" s="684">
        <v>321712</v>
      </c>
      <c r="T26" s="1"/>
      <c r="U26" s="1"/>
      <c r="V26" s="1"/>
      <c r="W26" s="1"/>
      <c r="X26" s="1"/>
      <c r="Y26" s="1"/>
      <c r="Z26" s="1"/>
    </row>
    <row r="27" spans="1:26" ht="11.25" customHeight="1">
      <c r="A27" s="1"/>
      <c r="B27" s="685" t="s">
        <v>88</v>
      </c>
      <c r="C27" s="686">
        <v>49062340</v>
      </c>
      <c r="D27" s="686">
        <v>48279088</v>
      </c>
      <c r="E27" s="686">
        <v>52244237</v>
      </c>
      <c r="F27" s="686">
        <v>52052770</v>
      </c>
      <c r="G27" s="686">
        <v>52661600</v>
      </c>
      <c r="H27" s="686">
        <v>48956880</v>
      </c>
      <c r="I27" s="686">
        <v>50197924</v>
      </c>
      <c r="J27" s="687">
        <v>47360953</v>
      </c>
      <c r="K27" s="686">
        <f>SUM(K16:K26)</f>
        <v>43774832</v>
      </c>
      <c r="L27" s="686">
        <v>43607266</v>
      </c>
      <c r="M27" s="688">
        <f t="shared" ref="M27:S27" si="0">SUM(M16:M26)</f>
        <v>41913287</v>
      </c>
      <c r="N27" s="688">
        <f t="shared" si="0"/>
        <v>37809743</v>
      </c>
      <c r="O27" s="688">
        <f t="shared" si="0"/>
        <v>35850812</v>
      </c>
      <c r="P27" s="689">
        <f t="shared" si="0"/>
        <v>37833653</v>
      </c>
      <c r="Q27" s="690">
        <f t="shared" si="0"/>
        <v>36365544</v>
      </c>
      <c r="R27" s="689">
        <f t="shared" si="0"/>
        <v>37166686</v>
      </c>
      <c r="S27" s="691">
        <f t="shared" si="0"/>
        <v>34104240</v>
      </c>
      <c r="T27" s="1"/>
      <c r="U27" s="1"/>
      <c r="V27" s="1"/>
      <c r="W27" s="1"/>
      <c r="X27" s="1"/>
      <c r="Y27" s="1"/>
      <c r="Z27" s="1"/>
    </row>
    <row r="28" spans="1:26" ht="11.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1.25" customHeight="1">
      <c r="A29" s="1"/>
      <c r="B29" s="1"/>
      <c r="C29" s="1"/>
      <c r="D29" s="1"/>
      <c r="E29" s="692" t="s">
        <v>720</v>
      </c>
      <c r="F29" s="693"/>
      <c r="G29" s="693"/>
      <c r="H29" s="693"/>
      <c r="I29" s="693"/>
      <c r="J29" s="694"/>
      <c r="K29" s="695"/>
      <c r="L29" s="1"/>
      <c r="M29" s="1"/>
      <c r="N29" s="1"/>
      <c r="O29" s="1"/>
      <c r="P29" s="1"/>
      <c r="Q29" s="1"/>
      <c r="R29" s="1"/>
      <c r="S29" s="1"/>
      <c r="T29" s="1"/>
      <c r="U29" s="1"/>
      <c r="V29" s="1"/>
      <c r="W29" s="1"/>
      <c r="X29" s="1"/>
      <c r="Y29" s="1"/>
      <c r="Z29" s="1"/>
    </row>
    <row r="30" spans="1:26" ht="11.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1.25" customHeight="1">
      <c r="A31" s="1"/>
      <c r="B31" s="696"/>
      <c r="C31" s="644">
        <v>2001</v>
      </c>
      <c r="D31" s="644">
        <v>2002</v>
      </c>
      <c r="E31" s="644">
        <v>2003</v>
      </c>
      <c r="F31" s="644">
        <v>2004</v>
      </c>
      <c r="G31" s="644">
        <v>2005</v>
      </c>
      <c r="H31" s="644">
        <v>2006</v>
      </c>
      <c r="I31" s="644">
        <v>2007</v>
      </c>
      <c r="J31" s="644">
        <v>2008</v>
      </c>
      <c r="K31" s="668">
        <v>2009</v>
      </c>
      <c r="L31" s="668">
        <v>2010</v>
      </c>
      <c r="M31" s="668">
        <v>2011</v>
      </c>
      <c r="N31" s="668">
        <v>2012</v>
      </c>
      <c r="O31" s="668">
        <v>2013</v>
      </c>
      <c r="P31" s="670">
        <v>2014</v>
      </c>
      <c r="Q31" s="669">
        <v>2015</v>
      </c>
      <c r="R31" s="670">
        <v>2016</v>
      </c>
      <c r="S31" s="697">
        <v>2017</v>
      </c>
      <c r="T31" s="1"/>
      <c r="U31" s="1"/>
      <c r="V31" s="1"/>
      <c r="W31" s="1"/>
      <c r="X31" s="1"/>
      <c r="Y31" s="1"/>
      <c r="Z31" s="1"/>
    </row>
    <row r="32" spans="1:26" ht="18" customHeight="1">
      <c r="A32" s="1"/>
      <c r="B32" s="698" t="s">
        <v>721</v>
      </c>
      <c r="C32" s="699">
        <f t="shared" ref="C32:S32" si="1">C27*6.25%</f>
        <v>3066396.25</v>
      </c>
      <c r="D32" s="699">
        <f t="shared" si="1"/>
        <v>3017443</v>
      </c>
      <c r="E32" s="699">
        <f t="shared" si="1"/>
        <v>3265264.8125</v>
      </c>
      <c r="F32" s="699">
        <f t="shared" si="1"/>
        <v>3253298.125</v>
      </c>
      <c r="G32" s="699">
        <f t="shared" si="1"/>
        <v>3291350</v>
      </c>
      <c r="H32" s="699">
        <f t="shared" si="1"/>
        <v>3059805</v>
      </c>
      <c r="I32" s="699">
        <f t="shared" si="1"/>
        <v>3137370.25</v>
      </c>
      <c r="J32" s="700">
        <f t="shared" si="1"/>
        <v>2960059.5625</v>
      </c>
      <c r="K32" s="701">
        <f t="shared" si="1"/>
        <v>2735927</v>
      </c>
      <c r="L32" s="701">
        <f t="shared" si="1"/>
        <v>2725454.125</v>
      </c>
      <c r="M32" s="699">
        <f t="shared" si="1"/>
        <v>2619580.4375</v>
      </c>
      <c r="N32" s="699">
        <f t="shared" si="1"/>
        <v>2363108.9375</v>
      </c>
      <c r="O32" s="699">
        <f t="shared" si="1"/>
        <v>2240675.75</v>
      </c>
      <c r="P32" s="699">
        <f t="shared" si="1"/>
        <v>2364603.3125</v>
      </c>
      <c r="Q32" s="699">
        <f t="shared" si="1"/>
        <v>2272846.5</v>
      </c>
      <c r="R32" s="699">
        <f t="shared" si="1"/>
        <v>2322917.875</v>
      </c>
      <c r="S32" s="702">
        <f t="shared" si="1"/>
        <v>2131515</v>
      </c>
      <c r="T32" s="1"/>
      <c r="U32" s="1"/>
      <c r="V32" s="1"/>
      <c r="W32" s="1"/>
      <c r="X32" s="1"/>
      <c r="Y32" s="1"/>
      <c r="Z32" s="1"/>
    </row>
    <row r="33" spans="1:26" ht="11.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1.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1.25" customHeight="1">
      <c r="A35" s="1"/>
      <c r="B35" s="1"/>
      <c r="C35" s="1"/>
      <c r="D35" s="1"/>
      <c r="E35" s="703" t="s">
        <v>722</v>
      </c>
      <c r="F35" s="704"/>
      <c r="G35" s="704"/>
      <c r="H35" s="704"/>
      <c r="I35" s="704"/>
      <c r="J35" s="704"/>
      <c r="K35" s="705"/>
      <c r="L35" s="706"/>
      <c r="M35" s="707"/>
      <c r="N35" s="1"/>
      <c r="O35" s="1"/>
      <c r="P35" s="1"/>
      <c r="Q35" s="1"/>
      <c r="R35" s="1"/>
      <c r="S35" s="1"/>
      <c r="T35" s="1"/>
      <c r="U35" s="1"/>
      <c r="V35" s="1"/>
      <c r="W35" s="1"/>
      <c r="X35" s="1"/>
      <c r="Y35" s="1"/>
      <c r="Z35" s="1"/>
    </row>
    <row r="36" spans="1:26" ht="11.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1.25" customHeight="1">
      <c r="A37" s="1"/>
      <c r="B37" s="373"/>
      <c r="C37" s="644">
        <v>2001</v>
      </c>
      <c r="D37" s="644">
        <v>2002</v>
      </c>
      <c r="E37" s="644">
        <v>2003</v>
      </c>
      <c r="F37" s="644">
        <v>2004</v>
      </c>
      <c r="G37" s="644">
        <v>2005</v>
      </c>
      <c r="H37" s="644">
        <v>2006</v>
      </c>
      <c r="I37" s="644">
        <v>2007</v>
      </c>
      <c r="J37" s="708">
        <v>2008</v>
      </c>
      <c r="K37" s="668">
        <v>2009</v>
      </c>
      <c r="L37" s="668">
        <v>2010</v>
      </c>
      <c r="M37" s="668">
        <v>2011</v>
      </c>
      <c r="N37" s="668">
        <v>2012</v>
      </c>
      <c r="O37" s="668">
        <v>2013</v>
      </c>
      <c r="P37" s="669">
        <v>2014</v>
      </c>
      <c r="Q37" s="668">
        <v>2015</v>
      </c>
      <c r="R37" s="644">
        <v>2016</v>
      </c>
      <c r="S37" s="670">
        <v>2017</v>
      </c>
      <c r="T37" s="1"/>
      <c r="U37" s="1"/>
      <c r="V37" s="1"/>
      <c r="W37" s="1"/>
      <c r="X37" s="1"/>
      <c r="Y37" s="1"/>
      <c r="Z37" s="1"/>
    </row>
    <row r="38" spans="1:26" ht="11.25" customHeight="1">
      <c r="A38" s="1"/>
      <c r="B38" s="709" t="s">
        <v>723</v>
      </c>
      <c r="C38" s="710">
        <f t="shared" ref="C38:S38" si="2">C27-C32</f>
        <v>45995943.75</v>
      </c>
      <c r="D38" s="710">
        <f t="shared" si="2"/>
        <v>45261645</v>
      </c>
      <c r="E38" s="710">
        <f t="shared" si="2"/>
        <v>48978972.1875</v>
      </c>
      <c r="F38" s="710">
        <f t="shared" si="2"/>
        <v>48799471.875</v>
      </c>
      <c r="G38" s="710">
        <f t="shared" si="2"/>
        <v>49370250</v>
      </c>
      <c r="H38" s="710">
        <f t="shared" si="2"/>
        <v>45897075</v>
      </c>
      <c r="I38" s="710">
        <f t="shared" si="2"/>
        <v>47060553.75</v>
      </c>
      <c r="J38" s="710">
        <f t="shared" si="2"/>
        <v>44400893.4375</v>
      </c>
      <c r="K38" s="710">
        <f t="shared" si="2"/>
        <v>41038905</v>
      </c>
      <c r="L38" s="710">
        <f t="shared" si="2"/>
        <v>40881811.875</v>
      </c>
      <c r="M38" s="710">
        <f t="shared" si="2"/>
        <v>39293706.5625</v>
      </c>
      <c r="N38" s="710">
        <f t="shared" si="2"/>
        <v>35446634.0625</v>
      </c>
      <c r="O38" s="710">
        <f t="shared" si="2"/>
        <v>33610136.25</v>
      </c>
      <c r="P38" s="710">
        <f t="shared" si="2"/>
        <v>35469049.6875</v>
      </c>
      <c r="Q38" s="710">
        <f t="shared" si="2"/>
        <v>34092697.5</v>
      </c>
      <c r="R38" s="711">
        <f t="shared" si="2"/>
        <v>34843768.125</v>
      </c>
      <c r="S38" s="712">
        <f t="shared" si="2"/>
        <v>31972725</v>
      </c>
      <c r="T38" s="1"/>
      <c r="U38" s="1"/>
      <c r="V38" s="1"/>
      <c r="W38" s="1"/>
      <c r="X38" s="1"/>
      <c r="Y38" s="1"/>
      <c r="Z38" s="1"/>
    </row>
    <row r="39" spans="1:26" ht="11.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1.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1.25" customHeight="1">
      <c r="A41" s="1"/>
      <c r="B41" s="1"/>
      <c r="C41" s="1"/>
      <c r="D41" s="1"/>
      <c r="E41" s="713" t="s">
        <v>724</v>
      </c>
      <c r="F41" s="714"/>
      <c r="G41" s="714"/>
      <c r="H41" s="715"/>
      <c r="I41" s="1"/>
      <c r="J41" s="1"/>
      <c r="K41" s="1"/>
      <c r="L41" s="1"/>
      <c r="M41" s="1"/>
      <c r="N41" s="1"/>
      <c r="O41" s="1"/>
      <c r="P41" s="1"/>
      <c r="Q41" s="1"/>
      <c r="R41" s="1"/>
      <c r="S41" s="1"/>
      <c r="T41" s="1"/>
      <c r="U41" s="1"/>
      <c r="V41" s="1"/>
      <c r="W41" s="1"/>
      <c r="X41" s="1"/>
      <c r="Y41" s="1"/>
      <c r="Z41" s="1"/>
    </row>
    <row r="42" spans="1:26" ht="11.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1.25" customHeight="1">
      <c r="A43" s="1"/>
      <c r="B43" s="373"/>
      <c r="C43" s="668">
        <v>2001</v>
      </c>
      <c r="D43" s="668">
        <v>2002</v>
      </c>
      <c r="E43" s="668">
        <v>2003</v>
      </c>
      <c r="F43" s="668">
        <v>2004</v>
      </c>
      <c r="G43" s="668">
        <v>2005</v>
      </c>
      <c r="H43" s="668">
        <v>2006</v>
      </c>
      <c r="I43" s="668">
        <v>2007</v>
      </c>
      <c r="J43" s="668">
        <v>2008</v>
      </c>
      <c r="K43" s="716">
        <v>2009</v>
      </c>
      <c r="L43" s="669">
        <v>2010</v>
      </c>
      <c r="M43" s="669">
        <v>2011</v>
      </c>
      <c r="N43" s="717">
        <v>2012</v>
      </c>
      <c r="O43" s="717">
        <v>2013</v>
      </c>
      <c r="P43" s="717">
        <v>2014</v>
      </c>
      <c r="Q43" s="718">
        <v>2015</v>
      </c>
      <c r="R43" s="719">
        <v>2016</v>
      </c>
      <c r="S43" s="605">
        <v>2017</v>
      </c>
      <c r="T43" s="1"/>
      <c r="U43" s="1"/>
      <c r="V43" s="1"/>
      <c r="W43" s="1"/>
      <c r="X43" s="1"/>
      <c r="Y43" s="1"/>
      <c r="Z43" s="1"/>
    </row>
    <row r="44" spans="1:26" ht="11.25" customHeight="1">
      <c r="A44" s="1"/>
      <c r="B44" s="378" t="s">
        <v>725</v>
      </c>
      <c r="C44" s="674">
        <v>24294096</v>
      </c>
      <c r="D44" s="674">
        <v>25489053</v>
      </c>
      <c r="E44" s="674">
        <v>26671274</v>
      </c>
      <c r="F44" s="674">
        <v>27951978</v>
      </c>
      <c r="G44" s="674">
        <v>28439645</v>
      </c>
      <c r="H44" s="674">
        <v>26905386</v>
      </c>
      <c r="I44" s="672">
        <v>28194802</v>
      </c>
      <c r="J44" s="672">
        <v>27144255</v>
      </c>
      <c r="K44" s="720">
        <v>26944566</v>
      </c>
      <c r="L44" s="674">
        <v>28934074</v>
      </c>
      <c r="M44" s="656">
        <v>27295675</v>
      </c>
      <c r="N44" s="674">
        <v>26678158</v>
      </c>
      <c r="O44" s="674">
        <v>27448367</v>
      </c>
      <c r="P44" s="674">
        <v>27487633</v>
      </c>
      <c r="Q44" s="656">
        <v>27403336</v>
      </c>
      <c r="R44" s="656">
        <v>27316871</v>
      </c>
      <c r="S44" s="657">
        <v>26058000</v>
      </c>
      <c r="T44" s="1"/>
      <c r="U44" s="1"/>
      <c r="V44" s="1"/>
      <c r="W44" s="1"/>
      <c r="X44" s="1"/>
      <c r="Y44" s="1"/>
      <c r="Z44" s="1"/>
    </row>
    <row r="45" spans="1:26" ht="11.25" customHeight="1">
      <c r="A45" s="1"/>
      <c r="B45" s="378" t="s">
        <v>726</v>
      </c>
      <c r="C45" s="674">
        <v>26243614</v>
      </c>
      <c r="D45" s="674">
        <v>21044289</v>
      </c>
      <c r="E45" s="674">
        <v>16950347</v>
      </c>
      <c r="F45" s="674">
        <v>17264135</v>
      </c>
      <c r="G45" s="674">
        <v>17931771</v>
      </c>
      <c r="H45" s="674">
        <v>29729030</v>
      </c>
      <c r="I45" s="672">
        <v>30691159</v>
      </c>
      <c r="J45" s="672">
        <v>30002993</v>
      </c>
      <c r="K45" s="720">
        <v>29806001</v>
      </c>
      <c r="L45" s="674">
        <v>30771317</v>
      </c>
      <c r="M45" s="656">
        <v>30749605</v>
      </c>
      <c r="N45" s="674">
        <v>30107526</v>
      </c>
      <c r="O45" s="674">
        <v>29966199</v>
      </c>
      <c r="P45" s="674">
        <v>29804342</v>
      </c>
      <c r="Q45" s="656">
        <v>29959115</v>
      </c>
      <c r="R45" s="656">
        <v>29675993</v>
      </c>
      <c r="S45" s="657">
        <v>2884000</v>
      </c>
      <c r="T45" s="1"/>
      <c r="U45" s="1"/>
      <c r="V45" s="1"/>
      <c r="W45" s="1"/>
      <c r="X45" s="1"/>
      <c r="Y45" s="1"/>
      <c r="Z45" s="1"/>
    </row>
    <row r="46" spans="1:26" ht="11.25" customHeight="1">
      <c r="A46" s="1"/>
      <c r="B46" s="378" t="s">
        <v>727</v>
      </c>
      <c r="C46" s="674">
        <v>10176724</v>
      </c>
      <c r="D46" s="674">
        <v>20874507</v>
      </c>
      <c r="E46" s="674">
        <v>27175526</v>
      </c>
      <c r="F46" s="674">
        <v>21194572</v>
      </c>
      <c r="G46" s="674">
        <v>21516638</v>
      </c>
      <c r="H46" s="674">
        <v>6057030</v>
      </c>
      <c r="I46" s="672">
        <v>5980358</v>
      </c>
      <c r="J46" s="672">
        <v>5649943</v>
      </c>
      <c r="K46" s="720">
        <v>5285833</v>
      </c>
      <c r="L46" s="674">
        <v>5083115</v>
      </c>
      <c r="M46" s="656">
        <v>5007386</v>
      </c>
      <c r="N46" s="674">
        <v>4499827</v>
      </c>
      <c r="O46" s="674">
        <v>3943942</v>
      </c>
      <c r="P46" s="674">
        <v>3847954</v>
      </c>
      <c r="Q46" s="656">
        <v>3883315</v>
      </c>
      <c r="R46" s="656">
        <v>3821476</v>
      </c>
      <c r="S46" s="657">
        <v>3743000</v>
      </c>
      <c r="T46" s="1"/>
      <c r="U46" s="1"/>
      <c r="V46" s="1"/>
      <c r="W46" s="1"/>
      <c r="X46" s="1"/>
      <c r="Y46" s="1"/>
      <c r="Z46" s="1"/>
    </row>
    <row r="47" spans="1:26" ht="11.25" customHeight="1">
      <c r="A47" s="1"/>
      <c r="B47" s="378" t="s">
        <v>728</v>
      </c>
      <c r="C47" s="674">
        <v>0</v>
      </c>
      <c r="D47" s="674">
        <v>0</v>
      </c>
      <c r="E47" s="674">
        <v>461436</v>
      </c>
      <c r="F47" s="674">
        <v>481015</v>
      </c>
      <c r="G47" s="674">
        <v>477331</v>
      </c>
      <c r="H47" s="674">
        <v>481697</v>
      </c>
      <c r="I47" s="672">
        <v>524341</v>
      </c>
      <c r="J47" s="672">
        <v>528586</v>
      </c>
      <c r="K47" s="720">
        <v>552743</v>
      </c>
      <c r="L47" s="674">
        <v>546992</v>
      </c>
      <c r="M47" s="656">
        <v>547045</v>
      </c>
      <c r="N47" s="674">
        <v>528041</v>
      </c>
      <c r="O47" s="674">
        <v>540970</v>
      </c>
      <c r="P47" s="674">
        <v>543940</v>
      </c>
      <c r="Q47" s="656">
        <v>535953</v>
      </c>
      <c r="R47" s="656">
        <v>539571</v>
      </c>
      <c r="S47" s="657">
        <v>529000</v>
      </c>
      <c r="T47" s="1"/>
      <c r="U47" s="1"/>
      <c r="V47" s="1"/>
      <c r="W47" s="1"/>
      <c r="X47" s="1"/>
      <c r="Y47" s="1"/>
      <c r="Z47" s="1"/>
    </row>
    <row r="48" spans="1:26" ht="11.25" customHeight="1">
      <c r="A48" s="1"/>
      <c r="B48" s="679" t="s">
        <v>729</v>
      </c>
      <c r="C48" s="721">
        <v>925586</v>
      </c>
      <c r="D48" s="721">
        <v>972057</v>
      </c>
      <c r="E48" s="722">
        <v>0</v>
      </c>
      <c r="F48" s="722">
        <v>0</v>
      </c>
      <c r="G48" s="722">
        <v>0</v>
      </c>
      <c r="H48" s="722">
        <v>0</v>
      </c>
      <c r="I48" s="722">
        <v>0</v>
      </c>
      <c r="J48" s="722">
        <v>0</v>
      </c>
      <c r="K48" s="723">
        <v>0</v>
      </c>
      <c r="L48" s="676">
        <v>0</v>
      </c>
      <c r="M48" s="724">
        <v>0</v>
      </c>
      <c r="N48" s="676">
        <v>0</v>
      </c>
      <c r="O48" s="676">
        <v>0</v>
      </c>
      <c r="P48" s="676">
        <v>0</v>
      </c>
      <c r="Q48" s="725">
        <v>0</v>
      </c>
      <c r="R48" s="725">
        <v>0</v>
      </c>
      <c r="S48" s="726">
        <v>0</v>
      </c>
      <c r="T48" s="1"/>
      <c r="U48" s="1"/>
      <c r="V48" s="1"/>
      <c r="W48" s="1"/>
      <c r="X48" s="1"/>
      <c r="Y48" s="1"/>
      <c r="Z48" s="1"/>
    </row>
    <row r="49" spans="1:26" ht="11.25" customHeight="1">
      <c r="A49" s="1"/>
      <c r="B49" s="727" t="s">
        <v>730</v>
      </c>
      <c r="C49" s="728">
        <f t="shared" ref="C49:L49" si="3">SUM(C44:C48)</f>
        <v>61640020</v>
      </c>
      <c r="D49" s="728">
        <f t="shared" si="3"/>
        <v>68379906</v>
      </c>
      <c r="E49" s="728">
        <f t="shared" si="3"/>
        <v>71258583</v>
      </c>
      <c r="F49" s="728">
        <f t="shared" si="3"/>
        <v>66891700</v>
      </c>
      <c r="G49" s="728">
        <f t="shared" si="3"/>
        <v>68365385</v>
      </c>
      <c r="H49" s="728">
        <f t="shared" si="3"/>
        <v>63173143</v>
      </c>
      <c r="I49" s="729">
        <f t="shared" si="3"/>
        <v>65390660</v>
      </c>
      <c r="J49" s="729">
        <f t="shared" si="3"/>
        <v>63325777</v>
      </c>
      <c r="K49" s="730">
        <f t="shared" si="3"/>
        <v>62589143</v>
      </c>
      <c r="L49" s="731">
        <f t="shared" si="3"/>
        <v>65335498</v>
      </c>
      <c r="M49" s="731">
        <v>63599711</v>
      </c>
      <c r="N49" s="731">
        <v>61813552</v>
      </c>
      <c r="O49" s="731">
        <v>61899478</v>
      </c>
      <c r="P49" s="732">
        <v>61683869</v>
      </c>
      <c r="Q49" s="733">
        <v>61781719</v>
      </c>
      <c r="R49" s="734">
        <v>61353911</v>
      </c>
      <c r="S49" s="735">
        <v>59175000</v>
      </c>
      <c r="T49" s="1"/>
      <c r="U49" s="1"/>
      <c r="V49" s="1"/>
      <c r="W49" s="1"/>
      <c r="X49" s="1"/>
      <c r="Y49" s="1"/>
      <c r="Z49" s="1"/>
    </row>
    <row r="50" spans="1:26" ht="11.25" customHeight="1">
      <c r="A50" s="1"/>
      <c r="B50" s="727" t="s">
        <v>731</v>
      </c>
      <c r="C50" s="728">
        <f t="shared" ref="C50:S50" si="4">C49*1.0625</f>
        <v>65492521.25</v>
      </c>
      <c r="D50" s="728">
        <f t="shared" si="4"/>
        <v>72653650.125</v>
      </c>
      <c r="E50" s="728">
        <f t="shared" si="4"/>
        <v>75712244.4375</v>
      </c>
      <c r="F50" s="728">
        <f t="shared" si="4"/>
        <v>71072431.25</v>
      </c>
      <c r="G50" s="728">
        <f t="shared" si="4"/>
        <v>72638221.5625</v>
      </c>
      <c r="H50" s="728">
        <f t="shared" si="4"/>
        <v>67121464.4375</v>
      </c>
      <c r="I50" s="728">
        <f t="shared" si="4"/>
        <v>69477576.25</v>
      </c>
      <c r="J50" s="728">
        <f t="shared" si="4"/>
        <v>67283638.0625</v>
      </c>
      <c r="K50" s="736">
        <f t="shared" si="4"/>
        <v>66500964.4375</v>
      </c>
      <c r="L50" s="736">
        <f t="shared" si="4"/>
        <v>69418966.625</v>
      </c>
      <c r="M50" s="736">
        <f t="shared" si="4"/>
        <v>67574692.9375</v>
      </c>
      <c r="N50" s="736">
        <f t="shared" si="4"/>
        <v>65676899</v>
      </c>
      <c r="O50" s="736">
        <f t="shared" si="4"/>
        <v>65768195.375</v>
      </c>
      <c r="P50" s="736">
        <f t="shared" si="4"/>
        <v>65539110.8125</v>
      </c>
      <c r="Q50" s="737">
        <f t="shared" si="4"/>
        <v>65643076.4375</v>
      </c>
      <c r="R50" s="737">
        <f t="shared" si="4"/>
        <v>65188530.4375</v>
      </c>
      <c r="S50" s="738">
        <f t="shared" si="4"/>
        <v>62873437.5</v>
      </c>
      <c r="T50" s="1"/>
      <c r="U50" s="1"/>
      <c r="V50" s="1"/>
      <c r="W50" s="1"/>
      <c r="X50" s="1"/>
      <c r="Y50" s="1"/>
      <c r="Z50" s="1"/>
    </row>
    <row r="51" spans="1:26" ht="11.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1.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1.25" customHeight="1">
      <c r="A53" s="1"/>
      <c r="B53" s="1"/>
      <c r="C53" s="1"/>
      <c r="D53" s="1"/>
      <c r="E53" s="2867" t="s">
        <v>732</v>
      </c>
      <c r="F53" s="2868"/>
      <c r="G53" s="2868"/>
      <c r="H53" s="2868"/>
      <c r="I53" s="2869"/>
      <c r="J53" s="707"/>
      <c r="K53" s="1"/>
      <c r="L53" s="1"/>
      <c r="M53" s="1"/>
      <c r="N53" s="1"/>
      <c r="O53" s="1"/>
      <c r="P53" s="1"/>
      <c r="Q53" s="1"/>
      <c r="R53" s="1"/>
      <c r="S53" s="1"/>
      <c r="T53" s="1"/>
      <c r="U53" s="1"/>
      <c r="V53" s="1"/>
      <c r="W53" s="1"/>
      <c r="X53" s="1"/>
      <c r="Y53" s="1"/>
      <c r="Z53" s="1"/>
    </row>
    <row r="54" spans="1:26" ht="11.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1.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1.25" customHeight="1">
      <c r="A56" s="1"/>
      <c r="B56" s="373"/>
      <c r="C56" s="668">
        <v>2001</v>
      </c>
      <c r="D56" s="668">
        <v>2002</v>
      </c>
      <c r="E56" s="668">
        <v>2003</v>
      </c>
      <c r="F56" s="668">
        <v>2004</v>
      </c>
      <c r="G56" s="668">
        <v>2005</v>
      </c>
      <c r="H56" s="668">
        <v>2006</v>
      </c>
      <c r="I56" s="668">
        <v>2007</v>
      </c>
      <c r="J56" s="670">
        <v>2008</v>
      </c>
      <c r="K56" s="668">
        <v>2009</v>
      </c>
      <c r="L56" s="668">
        <v>2010</v>
      </c>
      <c r="M56" s="668">
        <v>2011</v>
      </c>
      <c r="N56" s="668">
        <v>2012</v>
      </c>
      <c r="O56" s="668">
        <v>2013</v>
      </c>
      <c r="P56" s="668">
        <v>2014</v>
      </c>
      <c r="Q56" s="644">
        <v>2015</v>
      </c>
      <c r="R56" s="669">
        <v>2016</v>
      </c>
      <c r="S56" s="670">
        <v>2017</v>
      </c>
      <c r="T56" s="1"/>
      <c r="U56" s="1"/>
      <c r="V56" s="1"/>
      <c r="W56" s="1"/>
      <c r="X56" s="1"/>
      <c r="Y56" s="1"/>
      <c r="Z56" s="1"/>
    </row>
    <row r="57" spans="1:26" ht="11.25" customHeight="1">
      <c r="A57" s="1"/>
      <c r="B57" s="739" t="s">
        <v>733</v>
      </c>
      <c r="C57" s="740">
        <f t="shared" ref="C57:S57" si="5">C50-C27</f>
        <v>16430181.25</v>
      </c>
      <c r="D57" s="740">
        <f t="shared" si="5"/>
        <v>24374562.125</v>
      </c>
      <c r="E57" s="740">
        <f t="shared" si="5"/>
        <v>23468007.4375</v>
      </c>
      <c r="F57" s="740">
        <f t="shared" si="5"/>
        <v>19019661.25</v>
      </c>
      <c r="G57" s="740">
        <f t="shared" si="5"/>
        <v>19976621.5625</v>
      </c>
      <c r="H57" s="740">
        <f t="shared" si="5"/>
        <v>18164584.4375</v>
      </c>
      <c r="I57" s="740">
        <f t="shared" si="5"/>
        <v>19279652.25</v>
      </c>
      <c r="J57" s="740">
        <f t="shared" si="5"/>
        <v>19922685.0625</v>
      </c>
      <c r="K57" s="740">
        <f t="shared" si="5"/>
        <v>22726132.4375</v>
      </c>
      <c r="L57" s="740">
        <f t="shared" si="5"/>
        <v>25811700.625</v>
      </c>
      <c r="M57" s="740">
        <f t="shared" si="5"/>
        <v>25661405.9375</v>
      </c>
      <c r="N57" s="740">
        <f t="shared" si="5"/>
        <v>27867156</v>
      </c>
      <c r="O57" s="740">
        <f t="shared" si="5"/>
        <v>29917383.375</v>
      </c>
      <c r="P57" s="740">
        <f t="shared" si="5"/>
        <v>27705457.8125</v>
      </c>
      <c r="Q57" s="741">
        <f t="shared" si="5"/>
        <v>29277532.4375</v>
      </c>
      <c r="R57" s="742">
        <f t="shared" si="5"/>
        <v>28021844.4375</v>
      </c>
      <c r="S57" s="743">
        <f t="shared" si="5"/>
        <v>28769197.5</v>
      </c>
      <c r="T57" s="1"/>
      <c r="U57" s="1"/>
      <c r="V57" s="1"/>
      <c r="W57" s="1"/>
      <c r="X57" s="1"/>
      <c r="Y57" s="1"/>
      <c r="Z57" s="1"/>
    </row>
    <row r="58" spans="1:26" ht="11.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1.25" customHeight="1">
      <c r="A59" s="1"/>
      <c r="B59" s="1"/>
      <c r="C59" s="1"/>
      <c r="D59" s="1"/>
      <c r="E59" s="1"/>
      <c r="F59" s="1"/>
      <c r="G59" s="1"/>
      <c r="H59" s="1"/>
      <c r="I59" s="1"/>
      <c r="J59" s="1"/>
      <c r="K59" s="1"/>
      <c r="L59" s="1"/>
      <c r="M59" s="1"/>
      <c r="N59" s="1"/>
      <c r="O59" s="1"/>
      <c r="P59" s="1"/>
      <c r="Q59" s="1"/>
      <c r="R59" s="340"/>
      <c r="S59" s="1"/>
      <c r="T59" s="1"/>
      <c r="U59" s="1"/>
      <c r="V59" s="1"/>
      <c r="W59" s="1"/>
      <c r="X59" s="1"/>
      <c r="Y59" s="1"/>
      <c r="Z59" s="1"/>
    </row>
    <row r="60" spans="1:26" ht="11.25" customHeight="1">
      <c r="A60" s="1"/>
      <c r="B60" s="1"/>
      <c r="C60" s="1"/>
      <c r="D60" s="1"/>
      <c r="E60" s="744" t="s">
        <v>734</v>
      </c>
      <c r="F60" s="745"/>
      <c r="G60" s="745"/>
      <c r="H60" s="746"/>
      <c r="I60" s="1"/>
      <c r="J60" s="1"/>
      <c r="K60" s="1"/>
      <c r="L60" s="1"/>
      <c r="M60" s="1"/>
      <c r="N60" s="1"/>
      <c r="O60" s="1"/>
      <c r="P60" s="1"/>
      <c r="Q60" s="1"/>
      <c r="R60" s="1"/>
      <c r="S60" s="1"/>
      <c r="T60" s="1"/>
      <c r="U60" s="1"/>
      <c r="V60" s="1"/>
      <c r="W60" s="1"/>
      <c r="X60" s="1"/>
      <c r="Y60" s="1"/>
      <c r="Z60" s="1"/>
    </row>
    <row r="61" spans="1:26" ht="11.25" customHeight="1">
      <c r="A61" s="1"/>
      <c r="B61" s="1"/>
      <c r="C61" s="1"/>
      <c r="D61" s="1"/>
      <c r="E61" s="643"/>
      <c r="F61" s="1"/>
      <c r="G61" s="1"/>
      <c r="H61" s="1"/>
      <c r="I61" s="1"/>
      <c r="J61" s="1"/>
      <c r="K61" s="1"/>
      <c r="L61" s="1"/>
      <c r="M61" s="1"/>
      <c r="N61" s="1"/>
      <c r="O61" s="1"/>
      <c r="P61" s="1"/>
      <c r="Q61" s="1"/>
      <c r="R61" s="340"/>
      <c r="S61" s="1"/>
      <c r="T61" s="1"/>
      <c r="U61" s="1"/>
      <c r="V61" s="1"/>
      <c r="W61" s="1"/>
      <c r="X61" s="1"/>
      <c r="Y61" s="1"/>
      <c r="Z61" s="1"/>
    </row>
    <row r="62" spans="1:26" ht="11.25" customHeight="1">
      <c r="A62" s="1"/>
      <c r="B62" s="643" t="s">
        <v>735</v>
      </c>
      <c r="C62" s="1"/>
      <c r="D62" s="1"/>
      <c r="E62" s="643"/>
      <c r="F62" s="1"/>
      <c r="G62" s="1"/>
      <c r="H62" s="1"/>
      <c r="I62" s="1" t="s">
        <v>736</v>
      </c>
      <c r="J62" s="1"/>
      <c r="K62" s="1"/>
      <c r="L62" s="1"/>
      <c r="M62" s="1"/>
      <c r="N62" s="1"/>
      <c r="O62" s="1"/>
      <c r="P62" s="1"/>
      <c r="Q62" s="1"/>
      <c r="R62" s="747"/>
      <c r="S62" s="1"/>
      <c r="T62" s="1"/>
      <c r="U62" s="1"/>
      <c r="V62" s="1"/>
      <c r="W62" s="1"/>
      <c r="X62" s="1"/>
      <c r="Y62" s="1"/>
      <c r="Z62" s="1"/>
    </row>
    <row r="63" spans="1:26" ht="11.25" customHeight="1">
      <c r="A63" s="1"/>
      <c r="B63" s="1" t="s">
        <v>737</v>
      </c>
      <c r="C63" s="1"/>
      <c r="D63" s="1"/>
      <c r="E63" s="643"/>
      <c r="F63" s="1"/>
      <c r="G63" s="1"/>
      <c r="H63" s="1"/>
      <c r="I63" s="1" t="s">
        <v>524</v>
      </c>
      <c r="J63" s="1"/>
      <c r="K63" s="1"/>
      <c r="L63" s="1"/>
      <c r="M63" s="1"/>
      <c r="N63" s="1"/>
      <c r="O63" s="1"/>
      <c r="P63" s="1"/>
      <c r="Q63" s="1"/>
      <c r="R63" s="1"/>
      <c r="S63" s="1"/>
      <c r="T63" s="1"/>
      <c r="U63" s="1"/>
      <c r="V63" s="1"/>
      <c r="W63" s="1"/>
      <c r="X63" s="1"/>
      <c r="Y63" s="1"/>
      <c r="Z63" s="1"/>
    </row>
    <row r="64" spans="1:26" ht="11.25" customHeight="1">
      <c r="A64" s="1"/>
      <c r="B64" s="748">
        <v>948.43</v>
      </c>
      <c r="C64" s="1"/>
      <c r="D64" s="1"/>
      <c r="E64" s="643"/>
      <c r="F64" s="1"/>
      <c r="G64" s="1"/>
      <c r="H64" s="1"/>
      <c r="I64" s="372">
        <f>(B64*H57)/2000</f>
        <v>8613918.4090290628</v>
      </c>
      <c r="J64" s="1"/>
      <c r="K64" s="1"/>
      <c r="L64" s="1"/>
      <c r="M64" s="1"/>
      <c r="N64" s="1"/>
      <c r="O64" s="1"/>
      <c r="P64" s="1"/>
      <c r="Q64" s="1"/>
      <c r="R64" s="1"/>
      <c r="S64" s="1"/>
      <c r="T64" s="1"/>
      <c r="U64" s="1"/>
      <c r="V64" s="1"/>
      <c r="W64" s="1"/>
      <c r="X64" s="1"/>
      <c r="Y64" s="1"/>
      <c r="Z64" s="1"/>
    </row>
    <row r="65" spans="1:26" ht="11.25" customHeight="1">
      <c r="A65" s="1"/>
      <c r="B65" s="749">
        <f>K74*2204.623/K70</f>
        <v>0</v>
      </c>
      <c r="C65" s="1"/>
      <c r="D65" s="1"/>
      <c r="E65" s="1"/>
      <c r="F65" s="1"/>
      <c r="G65" s="1"/>
      <c r="H65" s="1"/>
      <c r="I65" s="1"/>
      <c r="J65" s="1"/>
      <c r="K65" s="1"/>
      <c r="L65" s="1"/>
      <c r="M65" s="1"/>
      <c r="N65" s="1"/>
      <c r="O65" s="1"/>
      <c r="P65" s="1"/>
      <c r="Q65" s="1"/>
      <c r="R65" s="1"/>
      <c r="S65" s="1"/>
      <c r="T65" s="1"/>
      <c r="U65" s="1"/>
      <c r="V65" s="1"/>
      <c r="W65" s="1"/>
      <c r="X65" s="1"/>
      <c r="Y65" s="1"/>
      <c r="Z65" s="1"/>
    </row>
    <row r="66" spans="1:26" ht="11.25" customHeight="1">
      <c r="A66" s="1"/>
      <c r="B66" s="750" t="s">
        <v>177</v>
      </c>
      <c r="C66" s="751" t="s">
        <v>194</v>
      </c>
      <c r="D66" s="751" t="s">
        <v>713</v>
      </c>
      <c r="E66" s="751" t="s">
        <v>456</v>
      </c>
      <c r="F66" s="751" t="s">
        <v>738</v>
      </c>
      <c r="G66" s="751" t="s">
        <v>739</v>
      </c>
      <c r="H66" s="751" t="s">
        <v>740</v>
      </c>
      <c r="I66" s="751" t="s">
        <v>715</v>
      </c>
      <c r="J66" s="751" t="s">
        <v>741</v>
      </c>
      <c r="K66" s="751" t="s">
        <v>606</v>
      </c>
      <c r="L66" s="751" t="s">
        <v>742</v>
      </c>
      <c r="M66" s="751" t="s">
        <v>743</v>
      </c>
      <c r="N66" s="752" t="s">
        <v>744</v>
      </c>
      <c r="O66" s="1"/>
      <c r="P66" s="1"/>
      <c r="Q66" s="1"/>
      <c r="R66" s="1"/>
      <c r="S66" s="1"/>
      <c r="T66" s="1"/>
      <c r="U66" s="1"/>
      <c r="V66" s="1"/>
      <c r="W66" s="1"/>
      <c r="X66" s="1"/>
      <c r="Y66" s="1"/>
      <c r="Z66" s="1"/>
    </row>
    <row r="67" spans="1:26" ht="11.25" customHeight="1">
      <c r="A67" s="1"/>
      <c r="B67" s="613"/>
      <c r="C67" s="595"/>
      <c r="D67" s="595"/>
      <c r="E67" s="595"/>
      <c r="F67" s="595"/>
      <c r="G67" s="595"/>
      <c r="H67" s="595"/>
      <c r="I67" s="595"/>
      <c r="J67" s="595"/>
      <c r="K67" s="595"/>
      <c r="L67" s="595"/>
      <c r="M67" s="595"/>
      <c r="N67" s="753"/>
      <c r="O67" s="1"/>
      <c r="P67" s="1"/>
      <c r="Q67" s="1"/>
      <c r="R67" s="1"/>
      <c r="S67" s="1"/>
      <c r="T67" s="1"/>
      <c r="U67" s="1"/>
      <c r="V67" s="1"/>
      <c r="W67" s="1"/>
      <c r="X67" s="1"/>
      <c r="Y67" s="1"/>
      <c r="Z67" s="1"/>
    </row>
    <row r="68" spans="1:26" ht="11.25" customHeight="1">
      <c r="A68" s="1"/>
      <c r="B68" s="754" t="s">
        <v>745</v>
      </c>
      <c r="C68" s="755">
        <v>32.22</v>
      </c>
      <c r="D68" s="755">
        <v>35.93</v>
      </c>
      <c r="E68" s="755">
        <v>26.71</v>
      </c>
      <c r="F68" s="755">
        <v>0.16400000000000001</v>
      </c>
      <c r="G68" s="755">
        <v>1.127</v>
      </c>
      <c r="H68" s="755">
        <v>0.46700000000000003</v>
      </c>
      <c r="I68" s="755">
        <v>2.63</v>
      </c>
      <c r="J68" s="756">
        <v>0.32600000000000001</v>
      </c>
      <c r="K68" s="757">
        <v>8.9999999999999998E-4</v>
      </c>
      <c r="L68" s="757">
        <v>0.18340000000000001</v>
      </c>
      <c r="M68" s="757">
        <v>0.22</v>
      </c>
      <c r="N68" s="758">
        <f>SUM(C68:M68)</f>
        <v>99.978300000000004</v>
      </c>
      <c r="O68" s="1"/>
      <c r="P68" s="1"/>
      <c r="Q68" s="1"/>
      <c r="R68" s="1"/>
      <c r="S68" s="1"/>
      <c r="T68" s="1"/>
      <c r="U68" s="1"/>
      <c r="V68" s="1"/>
      <c r="W68" s="1"/>
      <c r="X68" s="1"/>
      <c r="Y68" s="1"/>
      <c r="Z68" s="1"/>
    </row>
    <row r="69" spans="1:26" ht="11.25" customHeight="1">
      <c r="A69" s="1"/>
      <c r="B69" s="613"/>
      <c r="C69" s="595"/>
      <c r="D69" s="595"/>
      <c r="E69" s="595"/>
      <c r="F69" s="595"/>
      <c r="G69" s="595"/>
      <c r="H69" s="595"/>
      <c r="I69" s="595"/>
      <c r="J69" s="595"/>
      <c r="K69" s="595"/>
      <c r="L69" s="595"/>
      <c r="M69" s="595"/>
      <c r="N69" s="753"/>
      <c r="O69" s="1"/>
      <c r="P69" s="1"/>
      <c r="Q69" s="1"/>
      <c r="R69" s="1"/>
      <c r="S69" s="1"/>
      <c r="T69" s="1"/>
      <c r="U69" s="1"/>
      <c r="V69" s="1"/>
      <c r="W69" s="1"/>
      <c r="X69" s="1"/>
      <c r="Y69" s="1"/>
      <c r="Z69" s="1"/>
    </row>
    <row r="70" spans="1:26" ht="11.25" customHeight="1">
      <c r="A70" s="1"/>
      <c r="B70" s="613" t="s">
        <v>746</v>
      </c>
      <c r="C70" s="674">
        <f t="shared" ref="C70:N70" si="6">(C68/100)*$R$57</f>
        <v>9028638.2777624987</v>
      </c>
      <c r="D70" s="674">
        <f t="shared" si="6"/>
        <v>10068248.70639375</v>
      </c>
      <c r="E70" s="674">
        <f t="shared" si="6"/>
        <v>7484634.6492562499</v>
      </c>
      <c r="F70" s="674">
        <f t="shared" si="6"/>
        <v>45955.824877499996</v>
      </c>
      <c r="G70" s="674">
        <f t="shared" si="6"/>
        <v>315806.18681062502</v>
      </c>
      <c r="H70" s="674">
        <f t="shared" si="6"/>
        <v>130862.01352312502</v>
      </c>
      <c r="I70" s="674">
        <f t="shared" si="6"/>
        <v>736974.50870625</v>
      </c>
      <c r="J70" s="674">
        <f t="shared" si="6"/>
        <v>91351.212866250004</v>
      </c>
      <c r="K70" s="674">
        <f t="shared" si="6"/>
        <v>252.1965999375</v>
      </c>
      <c r="L70" s="674">
        <f t="shared" si="6"/>
        <v>51392.062698375004</v>
      </c>
      <c r="M70" s="674">
        <f t="shared" si="6"/>
        <v>61648.057762500001</v>
      </c>
      <c r="N70" s="759">
        <f t="shared" si="6"/>
        <v>28015763.697257064</v>
      </c>
      <c r="O70" s="1"/>
      <c r="P70" s="1"/>
      <c r="Q70" s="1"/>
      <c r="R70" s="1"/>
      <c r="S70" s="1"/>
      <c r="T70" s="1"/>
      <c r="U70" s="1"/>
      <c r="V70" s="1"/>
      <c r="W70" s="1"/>
      <c r="X70" s="1"/>
      <c r="Y70" s="1"/>
      <c r="Z70" s="1"/>
    </row>
    <row r="71" spans="1:26" ht="11.25" customHeight="1">
      <c r="A71" s="1"/>
      <c r="B71" s="613"/>
      <c r="C71" s="595"/>
      <c r="D71" s="595"/>
      <c r="E71" s="595"/>
      <c r="F71" s="595"/>
      <c r="G71" s="595"/>
      <c r="H71" s="595"/>
      <c r="I71" s="595"/>
      <c r="J71" s="595"/>
      <c r="K71" s="595"/>
      <c r="L71" s="595"/>
      <c r="M71" s="595"/>
      <c r="N71" s="753"/>
      <c r="O71" s="1"/>
      <c r="P71" s="1"/>
      <c r="Q71" s="1"/>
      <c r="R71" s="1"/>
      <c r="S71" s="1"/>
      <c r="T71" s="1"/>
      <c r="U71" s="1"/>
      <c r="V71" s="1"/>
      <c r="W71" s="1"/>
      <c r="X71" s="1"/>
      <c r="Y71" s="1"/>
      <c r="Z71" s="1"/>
    </row>
    <row r="72" spans="1:26" ht="11.25" customHeight="1">
      <c r="A72" s="1"/>
      <c r="B72" s="613" t="s">
        <v>747</v>
      </c>
      <c r="C72" s="760">
        <v>0.97</v>
      </c>
      <c r="D72" s="761"/>
      <c r="E72" s="762">
        <v>0.41</v>
      </c>
      <c r="F72" s="762">
        <v>1.2</v>
      </c>
      <c r="G72" s="761"/>
      <c r="H72" s="762">
        <v>1.07</v>
      </c>
      <c r="I72" s="761"/>
      <c r="J72" s="760">
        <v>0.08</v>
      </c>
      <c r="K72" s="761"/>
      <c r="L72" s="761"/>
      <c r="M72" s="761"/>
      <c r="N72" s="753"/>
      <c r="O72" s="1"/>
      <c r="P72" s="1"/>
      <c r="Q72" s="1"/>
      <c r="R72" s="1"/>
      <c r="S72" s="1"/>
      <c r="T72" s="1"/>
      <c r="U72" s="1"/>
      <c r="V72" s="1"/>
      <c r="W72" s="1"/>
      <c r="X72" s="1"/>
      <c r="Y72" s="1"/>
      <c r="Z72" s="1"/>
    </row>
    <row r="73" spans="1:26" ht="11.25" customHeight="1">
      <c r="A73" s="1"/>
      <c r="B73" s="613"/>
      <c r="C73" s="595"/>
      <c r="D73" s="595"/>
      <c r="E73" s="595"/>
      <c r="F73" s="595"/>
      <c r="G73" s="595"/>
      <c r="H73" s="595"/>
      <c r="I73" s="595"/>
      <c r="J73" s="595"/>
      <c r="K73" s="595"/>
      <c r="L73" s="595"/>
      <c r="M73" s="595"/>
      <c r="N73" s="753"/>
      <c r="O73" s="1"/>
      <c r="P73" s="1"/>
      <c r="Q73" s="1"/>
      <c r="R73" s="1"/>
      <c r="S73" s="1"/>
      <c r="T73" s="1"/>
      <c r="U73" s="1"/>
      <c r="V73" s="1"/>
      <c r="W73" s="1"/>
      <c r="X73" s="1"/>
      <c r="Y73" s="1"/>
      <c r="Z73" s="1"/>
    </row>
    <row r="74" spans="1:26" ht="11.25" customHeight="1">
      <c r="A74" s="1"/>
      <c r="B74" s="613" t="s">
        <v>748</v>
      </c>
      <c r="C74" s="674">
        <f>C70*C72</f>
        <v>8757779.1294296235</v>
      </c>
      <c r="D74" s="761"/>
      <c r="E74" s="674">
        <f t="shared" ref="E74:F74" si="7">E70*E72</f>
        <v>3068700.2061950625</v>
      </c>
      <c r="F74" s="674">
        <f t="shared" si="7"/>
        <v>55146.989852999992</v>
      </c>
      <c r="G74" s="761"/>
      <c r="H74" s="674">
        <f>H70*H72</f>
        <v>140022.35446974379</v>
      </c>
      <c r="I74" s="761"/>
      <c r="J74" s="674">
        <f>J70*J72</f>
        <v>7308.0970293</v>
      </c>
      <c r="K74" s="761"/>
      <c r="L74" s="761"/>
      <c r="M74" s="761"/>
      <c r="N74" s="763">
        <f>SUM(C74:M74)</f>
        <v>12028956.776976731</v>
      </c>
      <c r="O74" s="1"/>
      <c r="P74" s="1"/>
      <c r="Q74" s="1"/>
      <c r="R74" s="1"/>
      <c r="S74" s="1"/>
      <c r="T74" s="1"/>
      <c r="U74" s="1"/>
      <c r="V74" s="1"/>
      <c r="W74" s="1"/>
      <c r="X74" s="1"/>
      <c r="Y74" s="1"/>
      <c r="Z74" s="1"/>
    </row>
    <row r="75" spans="1:26" ht="11.25" customHeight="1">
      <c r="A75" s="1"/>
      <c r="B75" s="613"/>
      <c r="C75" s="595"/>
      <c r="D75" s="595"/>
      <c r="E75" s="595"/>
      <c r="F75" s="595"/>
      <c r="G75" s="595"/>
      <c r="H75" s="595"/>
      <c r="I75" s="595"/>
      <c r="J75" s="595"/>
      <c r="K75" s="595"/>
      <c r="L75" s="595"/>
      <c r="M75" s="595"/>
      <c r="N75" s="753"/>
      <c r="O75" s="1"/>
      <c r="P75" s="1"/>
      <c r="Q75" s="1"/>
      <c r="R75" s="1"/>
      <c r="S75" s="1"/>
      <c r="T75" s="1"/>
      <c r="U75" s="1"/>
      <c r="V75" s="1"/>
      <c r="W75" s="1"/>
      <c r="X75" s="1"/>
      <c r="Y75" s="1"/>
      <c r="Z75" s="1"/>
    </row>
    <row r="76" spans="1:26" ht="11.25" customHeight="1">
      <c r="A76" s="1"/>
      <c r="B76" s="613" t="s">
        <v>749</v>
      </c>
      <c r="C76" s="764">
        <f>C74/1000000</f>
        <v>8.7577791294296237</v>
      </c>
      <c r="D76" s="761"/>
      <c r="E76" s="764">
        <f t="shared" ref="E76:F76" si="8">E74/1000000</f>
        <v>3.0687002061950626</v>
      </c>
      <c r="F76" s="764">
        <f t="shared" si="8"/>
        <v>5.5146989852999991E-2</v>
      </c>
      <c r="G76" s="761"/>
      <c r="H76" s="764">
        <f>H74/1000000</f>
        <v>0.14002235446974379</v>
      </c>
      <c r="I76" s="761"/>
      <c r="J76" s="764">
        <f>J74/1000000</f>
        <v>7.3080970293000003E-3</v>
      </c>
      <c r="K76" s="761"/>
      <c r="L76" s="761"/>
      <c r="M76" s="761"/>
      <c r="N76" s="765">
        <f>SUM(C76:M76)</f>
        <v>12.028956776976731</v>
      </c>
      <c r="O76" s="1"/>
      <c r="P76" s="1"/>
      <c r="Q76" s="1"/>
      <c r="R76" s="1"/>
      <c r="S76" s="1"/>
      <c r="T76" s="1"/>
      <c r="U76" s="1"/>
      <c r="V76" s="1"/>
      <c r="W76" s="1"/>
      <c r="X76" s="1"/>
      <c r="Y76" s="1"/>
      <c r="Z76" s="1"/>
    </row>
    <row r="77" spans="1:26" ht="11.25" customHeight="1">
      <c r="A77" s="1"/>
      <c r="B77" s="606"/>
      <c r="C77" s="766"/>
      <c r="D77" s="766"/>
      <c r="E77" s="766"/>
      <c r="F77" s="766"/>
      <c r="G77" s="766"/>
      <c r="H77" s="766"/>
      <c r="I77" s="766"/>
      <c r="J77" s="766"/>
      <c r="K77" s="766"/>
      <c r="L77" s="766"/>
      <c r="M77" s="766"/>
      <c r="N77" s="630"/>
      <c r="O77" s="1"/>
      <c r="P77" s="1"/>
      <c r="Q77" s="1"/>
      <c r="R77" s="1"/>
      <c r="S77" s="1"/>
      <c r="T77" s="1"/>
      <c r="U77" s="1"/>
      <c r="V77" s="1"/>
      <c r="W77" s="1"/>
      <c r="X77" s="1"/>
      <c r="Y77" s="1"/>
      <c r="Z77" s="1"/>
    </row>
    <row r="78" spans="1:26" ht="11.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1.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1.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1.25" customHeight="1">
      <c r="A81" s="1"/>
      <c r="B81" s="1"/>
      <c r="C81" s="1"/>
      <c r="D81" s="1"/>
      <c r="E81" s="2870" t="s">
        <v>750</v>
      </c>
      <c r="F81" s="2863"/>
      <c r="G81" s="2863"/>
      <c r="H81" s="2863"/>
      <c r="I81" s="2863"/>
      <c r="J81" s="2863"/>
      <c r="K81" s="1"/>
      <c r="L81" s="1"/>
      <c r="M81" s="1"/>
      <c r="N81" s="1"/>
      <c r="O81" s="1"/>
      <c r="P81" s="1"/>
      <c r="Q81" s="1"/>
      <c r="R81" s="1"/>
      <c r="S81" s="1"/>
      <c r="T81" s="1"/>
      <c r="U81" s="1"/>
      <c r="V81" s="1"/>
      <c r="W81" s="1"/>
      <c r="X81" s="1"/>
      <c r="Y81" s="1"/>
      <c r="Z81" s="1"/>
    </row>
    <row r="82" spans="1:26" ht="11.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1.25" customHeight="1">
      <c r="A83" s="1"/>
      <c r="B83" s="373"/>
      <c r="C83" s="668">
        <v>2001</v>
      </c>
      <c r="D83" s="668">
        <v>2002</v>
      </c>
      <c r="E83" s="668">
        <v>2003</v>
      </c>
      <c r="F83" s="668">
        <v>2004</v>
      </c>
      <c r="G83" s="668">
        <v>2005</v>
      </c>
      <c r="H83" s="668">
        <v>2006</v>
      </c>
      <c r="I83" s="668">
        <v>2007</v>
      </c>
      <c r="J83" s="668">
        <v>2008</v>
      </c>
      <c r="K83" s="716">
        <v>2009</v>
      </c>
      <c r="L83" s="668">
        <v>2010</v>
      </c>
      <c r="M83" s="668">
        <v>2011</v>
      </c>
      <c r="N83" s="668">
        <v>2012</v>
      </c>
      <c r="O83" s="668">
        <v>2013</v>
      </c>
      <c r="P83" s="669">
        <v>2014</v>
      </c>
      <c r="Q83" s="669">
        <v>2015</v>
      </c>
      <c r="R83" s="669">
        <v>2016</v>
      </c>
      <c r="S83" s="670">
        <v>2017</v>
      </c>
      <c r="T83" s="1"/>
      <c r="U83" s="1"/>
      <c r="V83" s="1"/>
      <c r="W83" s="1"/>
      <c r="X83" s="1"/>
      <c r="Y83" s="1"/>
      <c r="Z83" s="1"/>
    </row>
    <row r="84" spans="1:26" ht="11.25" customHeight="1">
      <c r="A84" s="1"/>
      <c r="B84" s="383" t="s">
        <v>751</v>
      </c>
      <c r="C84" s="767">
        <f t="shared" ref="C84:S84" si="9">(C57*$B$64/2204.62)/1000000</f>
        <v>7.0682824264215602</v>
      </c>
      <c r="D84" s="767">
        <f t="shared" si="9"/>
        <v>10.485964001149291</v>
      </c>
      <c r="E84" s="767">
        <f t="shared" si="9"/>
        <v>10.09596315643881</v>
      </c>
      <c r="F84" s="767">
        <f t="shared" si="9"/>
        <v>8.1822796306563035</v>
      </c>
      <c r="G84" s="767">
        <f t="shared" si="9"/>
        <v>8.5939650318521448</v>
      </c>
      <c r="H84" s="767">
        <f t="shared" si="9"/>
        <v>7.8144246255854179</v>
      </c>
      <c r="I84" s="767">
        <f t="shared" si="9"/>
        <v>8.2941280508511674</v>
      </c>
      <c r="J84" s="767">
        <f t="shared" si="9"/>
        <v>8.5707614889762755</v>
      </c>
      <c r="K84" s="767">
        <f t="shared" si="9"/>
        <v>9.7768076982419299</v>
      </c>
      <c r="L84" s="767">
        <f t="shared" si="9"/>
        <v>11.104222597893855</v>
      </c>
      <c r="M84" s="767">
        <f t="shared" si="9"/>
        <v>11.039565654535986</v>
      </c>
      <c r="N84" s="767">
        <f t="shared" si="9"/>
        <v>11.988481808692654</v>
      </c>
      <c r="O84" s="767">
        <f t="shared" si="9"/>
        <v>12.870491928019909</v>
      </c>
      <c r="P84" s="768">
        <f t="shared" si="9"/>
        <v>11.918919066827559</v>
      </c>
      <c r="Q84" s="768">
        <f t="shared" si="9"/>
        <v>12.595227336093352</v>
      </c>
      <c r="R84" s="768">
        <f t="shared" si="9"/>
        <v>12.055028948235126</v>
      </c>
      <c r="S84" s="769">
        <f t="shared" si="9"/>
        <v>12.376541075071895</v>
      </c>
      <c r="T84" s="1"/>
      <c r="U84" s="1"/>
      <c r="V84" s="1"/>
      <c r="W84" s="1"/>
      <c r="X84" s="1"/>
      <c r="Y84" s="1"/>
      <c r="Z84" s="1"/>
    </row>
    <row r="85" spans="1:26" ht="11.25" customHeight="1">
      <c r="A85" s="1"/>
      <c r="B85" s="1"/>
      <c r="C85" s="1"/>
      <c r="D85" s="1"/>
      <c r="E85" s="1"/>
      <c r="F85" s="1"/>
      <c r="G85" s="1"/>
      <c r="H85" s="1"/>
      <c r="I85" s="1"/>
      <c r="J85" s="1"/>
      <c r="K85" s="1"/>
      <c r="L85" s="1"/>
      <c r="M85" s="1"/>
      <c r="N85" s="1"/>
      <c r="O85" s="1"/>
      <c r="P85" s="1"/>
      <c r="Q85" s="1"/>
      <c r="R85" s="770"/>
      <c r="S85" s="1"/>
      <c r="T85" s="1"/>
      <c r="U85" s="1"/>
      <c r="V85" s="1"/>
      <c r="W85" s="1"/>
      <c r="X85" s="1"/>
      <c r="Y85" s="1"/>
      <c r="Z85" s="1"/>
    </row>
    <row r="86" spans="1:26" ht="11.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1.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1.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1.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1.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1.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1.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1.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1.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1.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1.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1.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1.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1.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1.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1.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1.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1.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1.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1.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1.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1.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1.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1.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1.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1.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1.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1.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1.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1.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1.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1.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1.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1.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1.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1.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1.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1.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1.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1.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1.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1.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1.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1.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1.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1.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1.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1.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1.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1.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1.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1.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1.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1.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1.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1.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1.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1.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1.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1.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1.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1.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1.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1.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1.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1.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1.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1.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1.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1.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1.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1.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1.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1.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1.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1.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1.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1.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1.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1.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1.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1.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1.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1.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1.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1.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1.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1.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1.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1.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1.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1.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1.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1.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1.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1.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1.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1.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1.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1.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1.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1.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1.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1.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1.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1.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1.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1.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1.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1.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1.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1.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1.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1.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1.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1.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1.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1.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1.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1.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1.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1.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1.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1.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1.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1.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E53:I53"/>
    <mergeCell ref="E81:J81"/>
  </mergeCells>
  <printOptions gridLines="1"/>
  <pageMargins left="0.16" right="0.17" top="0.75" bottom="0.75" header="0" footer="0"/>
  <pageSetup orientation="landscape"/>
  <colBreaks count="1" manualBreakCount="1">
    <brk id="14" man="1"/>
  </colBreaks>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1000"/>
  <sheetViews>
    <sheetView workbookViewId="0"/>
  </sheetViews>
  <sheetFormatPr defaultColWidth="16.85546875" defaultRowHeight="15" customHeight="1"/>
  <cols>
    <col min="1" max="1" width="4.28515625" customWidth="1"/>
    <col min="2" max="2" width="15.42578125" customWidth="1"/>
    <col min="3" max="3" width="16.85546875" customWidth="1"/>
    <col min="4" max="4" width="23.42578125" customWidth="1"/>
    <col min="5" max="6" width="17.85546875" customWidth="1"/>
    <col min="7" max="7" width="15.140625" customWidth="1"/>
    <col min="8" max="13" width="8.85546875" customWidth="1"/>
  </cols>
  <sheetData>
    <row r="1" spans="1:13" ht="32.4">
      <c r="A1" s="134" t="s">
        <v>1175</v>
      </c>
      <c r="B1" s="135"/>
      <c r="F1" s="1"/>
      <c r="G1" s="137"/>
      <c r="H1" s="1"/>
    </row>
    <row r="2" spans="1:13" ht="120.75" customHeight="1"/>
    <row r="3" spans="1:13" ht="19.8">
      <c r="B3" s="1202" t="s">
        <v>1176</v>
      </c>
      <c r="C3" s="1203"/>
      <c r="D3" s="1202"/>
      <c r="E3" s="134">
        <v>2017</v>
      </c>
      <c r="F3" s="1"/>
      <c r="G3" s="1"/>
      <c r="H3" s="1"/>
      <c r="I3" s="1"/>
      <c r="J3" s="1"/>
      <c r="K3" s="1"/>
      <c r="L3" s="1"/>
      <c r="M3" s="1"/>
    </row>
    <row r="4" spans="1:13" ht="12">
      <c r="B4" s="286"/>
      <c r="C4" s="1"/>
      <c r="D4" s="261"/>
      <c r="E4" s="286"/>
      <c r="F4" s="1"/>
      <c r="G4" s="1"/>
      <c r="H4" s="1"/>
      <c r="I4" s="1"/>
      <c r="J4" s="1"/>
      <c r="K4" s="1"/>
      <c r="L4" s="1"/>
      <c r="M4" s="1"/>
    </row>
    <row r="5" spans="1:13" ht="13.2">
      <c r="B5" s="1204"/>
      <c r="C5" s="1205" t="s">
        <v>519</v>
      </c>
      <c r="D5" s="1205" t="s">
        <v>1124</v>
      </c>
      <c r="E5" s="1205" t="s">
        <v>1125</v>
      </c>
      <c r="F5" s="1205" t="s">
        <v>536</v>
      </c>
      <c r="G5" s="1206" t="s">
        <v>536</v>
      </c>
      <c r="H5" s="1"/>
      <c r="I5" s="1"/>
      <c r="J5" s="1"/>
      <c r="K5" s="2858" t="s">
        <v>0</v>
      </c>
      <c r="L5" s="2859"/>
      <c r="M5" s="298"/>
    </row>
    <row r="6" spans="1:13" ht="13.2">
      <c r="B6" s="1207" t="s">
        <v>177</v>
      </c>
      <c r="C6" s="1208" t="s">
        <v>538</v>
      </c>
      <c r="D6" s="1208" t="s">
        <v>1126</v>
      </c>
      <c r="E6" s="1208" t="s">
        <v>1127</v>
      </c>
      <c r="F6" s="1208" t="s">
        <v>1128</v>
      </c>
      <c r="G6" s="1209" t="s">
        <v>1177</v>
      </c>
      <c r="H6" s="298"/>
      <c r="I6" s="1"/>
      <c r="J6" s="298"/>
      <c r="K6" s="240"/>
      <c r="L6" s="241"/>
      <c r="M6" s="298"/>
    </row>
    <row r="7" spans="1:13" ht="12">
      <c r="B7" s="1210" t="s">
        <v>194</v>
      </c>
      <c r="C7" s="1211">
        <v>0</v>
      </c>
      <c r="D7" s="1212">
        <v>56.79</v>
      </c>
      <c r="E7" s="1213">
        <v>1</v>
      </c>
      <c r="F7" s="1214">
        <f t="shared" ref="F7:F11" si="0">C7*1000*D7*E7/2000</f>
        <v>0</v>
      </c>
      <c r="G7" s="1215">
        <f t="shared" ref="G7:G11" si="1">F7*(44/12)*0.907441/1000000</f>
        <v>0</v>
      </c>
      <c r="H7" s="749"/>
      <c r="I7" s="1"/>
      <c r="J7" s="749"/>
      <c r="K7" s="240" t="s">
        <v>528</v>
      </c>
      <c r="L7" s="247">
        <f>Summary!$E4</f>
        <v>1</v>
      </c>
      <c r="M7" s="1216"/>
    </row>
    <row r="8" spans="1:13" ht="12">
      <c r="B8" s="1217" t="s">
        <v>529</v>
      </c>
      <c r="C8" s="813">
        <v>10426</v>
      </c>
      <c r="D8" s="1218">
        <v>44.47</v>
      </c>
      <c r="E8" s="1219">
        <v>1</v>
      </c>
      <c r="F8" s="1220">
        <f t="shared" si="0"/>
        <v>231822.11</v>
      </c>
      <c r="G8" s="1221">
        <f t="shared" si="1"/>
        <v>0.7713379201752032</v>
      </c>
      <c r="H8" s="749"/>
      <c r="I8" s="1"/>
      <c r="J8" s="749"/>
      <c r="K8" s="240" t="s">
        <v>530</v>
      </c>
      <c r="L8" s="247">
        <f>Summary!$E5</f>
        <v>28</v>
      </c>
      <c r="M8" s="1216"/>
    </row>
    <row r="9" spans="1:13" ht="12">
      <c r="B9" s="1217" t="s">
        <v>661</v>
      </c>
      <c r="C9" s="813">
        <v>149</v>
      </c>
      <c r="D9" s="1218">
        <v>44.01</v>
      </c>
      <c r="E9" s="1219">
        <v>1</v>
      </c>
      <c r="F9" s="1220">
        <f t="shared" si="0"/>
        <v>3278.7449999999999</v>
      </c>
      <c r="G9" s="1221">
        <f t="shared" si="1"/>
        <v>1.0909314685665E-2</v>
      </c>
      <c r="H9" s="749"/>
      <c r="I9" s="1"/>
      <c r="J9" s="749"/>
      <c r="K9" s="240" t="s">
        <v>532</v>
      </c>
      <c r="L9" s="247">
        <f>Summary!$E6</f>
        <v>265</v>
      </c>
      <c r="M9" s="1216"/>
    </row>
    <row r="10" spans="1:13" ht="12">
      <c r="B10" s="1217" t="s">
        <v>944</v>
      </c>
      <c r="C10" s="813">
        <v>6277</v>
      </c>
      <c r="D10" s="1218">
        <v>37.110283550140529</v>
      </c>
      <c r="E10" s="1219">
        <v>1</v>
      </c>
      <c r="F10" s="1220">
        <f t="shared" si="0"/>
        <v>116470.62492211605</v>
      </c>
      <c r="G10" s="1221">
        <f t="shared" si="1"/>
        <v>0.38753080794981637</v>
      </c>
      <c r="H10" s="749"/>
      <c r="I10" s="1"/>
      <c r="J10" s="749"/>
      <c r="K10" s="240" t="s">
        <v>533</v>
      </c>
      <c r="L10" s="247">
        <f>Summary!$E7</f>
        <v>23500</v>
      </c>
      <c r="M10" s="1216"/>
    </row>
    <row r="11" spans="1:13" ht="12">
      <c r="B11" s="1222" t="s">
        <v>456</v>
      </c>
      <c r="C11" s="385">
        <v>79376</v>
      </c>
      <c r="D11" s="1223">
        <v>31.9</v>
      </c>
      <c r="E11" s="1224">
        <v>1</v>
      </c>
      <c r="F11" s="1225">
        <f t="shared" si="0"/>
        <v>1266047.2</v>
      </c>
      <c r="G11" s="1226">
        <f t="shared" si="1"/>
        <v>4.2124981697890664</v>
      </c>
      <c r="H11" s="749"/>
      <c r="I11" s="1"/>
      <c r="J11" s="749"/>
      <c r="K11" s="259"/>
      <c r="L11" s="247"/>
      <c r="M11" s="1216"/>
    </row>
    <row r="12" spans="1:13" ht="10.199999999999999">
      <c r="B12" s="425"/>
      <c r="C12" s="1227"/>
      <c r="D12" s="1227"/>
      <c r="E12" s="1228"/>
      <c r="F12" s="1229" t="s">
        <v>88</v>
      </c>
      <c r="G12" s="1230">
        <f>SUM(G7:G11)</f>
        <v>5.3822762125997512</v>
      </c>
      <c r="H12" s="1"/>
      <c r="I12" s="1"/>
      <c r="J12" s="1"/>
      <c r="K12" s="1"/>
      <c r="L12" s="1"/>
      <c r="M12" s="1"/>
    </row>
    <row r="14" spans="1:13" ht="19.8">
      <c r="B14" s="1202" t="s">
        <v>1178</v>
      </c>
      <c r="C14" s="1203"/>
      <c r="D14" s="1231"/>
      <c r="E14" s="134">
        <v>2017</v>
      </c>
      <c r="F14" s="1"/>
      <c r="G14" s="1"/>
      <c r="H14" s="1"/>
      <c r="I14" s="1"/>
      <c r="J14" s="1"/>
      <c r="K14" s="1"/>
      <c r="L14" s="1"/>
      <c r="M14" s="1"/>
    </row>
    <row r="15" spans="1:13" ht="12">
      <c r="B15" s="286"/>
      <c r="C15" s="1"/>
      <c r="D15" s="261"/>
      <c r="E15" s="286"/>
      <c r="F15" s="1"/>
      <c r="G15" s="1"/>
      <c r="H15" s="1"/>
      <c r="I15" s="1"/>
      <c r="J15" s="1"/>
      <c r="K15" s="1"/>
      <c r="L15" s="1"/>
      <c r="M15" s="1"/>
    </row>
    <row r="16" spans="1:13" ht="13.2">
      <c r="B16" s="1204"/>
      <c r="C16" s="1205" t="s">
        <v>519</v>
      </c>
      <c r="D16" s="1205" t="s">
        <v>1124</v>
      </c>
      <c r="E16" s="1205" t="s">
        <v>536</v>
      </c>
      <c r="F16" s="1205" t="s">
        <v>537</v>
      </c>
      <c r="G16" s="1206" t="s">
        <v>536</v>
      </c>
      <c r="H16" s="298"/>
      <c r="I16" s="1"/>
      <c r="J16" s="1"/>
      <c r="K16" s="298"/>
      <c r="L16" s="1"/>
      <c r="M16" s="298"/>
    </row>
    <row r="17" spans="2:13" ht="13.2">
      <c r="B17" s="1207" t="s">
        <v>177</v>
      </c>
      <c r="C17" s="1208" t="s">
        <v>538</v>
      </c>
      <c r="D17" s="1208" t="s">
        <v>1179</v>
      </c>
      <c r="E17" s="1208" t="s">
        <v>1180</v>
      </c>
      <c r="F17" s="1208"/>
      <c r="G17" s="1209" t="s">
        <v>1181</v>
      </c>
      <c r="H17" s="298"/>
      <c r="I17" s="1"/>
      <c r="J17" s="298"/>
      <c r="K17" s="298"/>
      <c r="L17" s="1"/>
      <c r="M17" s="298"/>
    </row>
    <row r="18" spans="2:13" ht="12">
      <c r="B18" s="1232" t="s">
        <v>194</v>
      </c>
      <c r="C18" s="1233">
        <v>0</v>
      </c>
      <c r="D18" s="1234">
        <v>1.5034545899835E-3</v>
      </c>
      <c r="E18" s="1235">
        <f t="shared" ref="E18:E23" si="2">C18*D18</f>
        <v>0</v>
      </c>
      <c r="F18" s="1236">
        <f t="shared" ref="F18:F23" si="3">$L$9</f>
        <v>265</v>
      </c>
      <c r="G18" s="1237">
        <f t="shared" ref="G18:G23" si="4">E18*F18/1000000</f>
        <v>0</v>
      </c>
      <c r="H18" s="1238"/>
      <c r="I18" s="1"/>
      <c r="J18" s="749"/>
      <c r="K18" s="1239"/>
      <c r="L18" s="749"/>
      <c r="M18" s="1239"/>
    </row>
    <row r="19" spans="2:13" ht="12">
      <c r="B19" s="1217" t="s">
        <v>529</v>
      </c>
      <c r="C19" s="813">
        <v>10426</v>
      </c>
      <c r="D19" s="1240">
        <v>6.0138183599339984E-4</v>
      </c>
      <c r="E19" s="1241">
        <f t="shared" si="2"/>
        <v>6.2700070220671869</v>
      </c>
      <c r="F19" s="1242">
        <f t="shared" si="3"/>
        <v>265</v>
      </c>
      <c r="G19" s="1243">
        <f t="shared" si="4"/>
        <v>1.6615518608478045E-3</v>
      </c>
      <c r="H19" s="1238"/>
      <c r="I19" s="1"/>
      <c r="J19" s="749"/>
      <c r="K19" s="1239"/>
      <c r="L19" s="749"/>
      <c r="M19" s="1239"/>
    </row>
    <row r="20" spans="2:13" ht="12">
      <c r="B20" s="1217" t="s">
        <v>661</v>
      </c>
      <c r="C20" s="813">
        <v>149</v>
      </c>
      <c r="D20" s="1240">
        <v>6.0138183599339984E-4</v>
      </c>
      <c r="E20" s="1241">
        <f t="shared" si="2"/>
        <v>8.960589356301657E-2</v>
      </c>
      <c r="F20" s="1242">
        <f t="shared" si="3"/>
        <v>265</v>
      </c>
      <c r="G20" s="1243">
        <f t="shared" si="4"/>
        <v>2.3745561794199391E-5</v>
      </c>
      <c r="H20" s="1238"/>
      <c r="I20" s="1"/>
      <c r="J20" s="749"/>
      <c r="K20" s="1239"/>
      <c r="L20" s="749"/>
      <c r="M20" s="1239"/>
    </row>
    <row r="21" spans="2:13" ht="15.75" customHeight="1">
      <c r="B21" s="1217" t="s">
        <v>944</v>
      </c>
      <c r="C21" s="813">
        <v>6277</v>
      </c>
      <c r="D21" s="1240">
        <v>6.0138183599339984E-4</v>
      </c>
      <c r="E21" s="1241">
        <f t="shared" si="2"/>
        <v>3.7748737845305707</v>
      </c>
      <c r="F21" s="1242">
        <f t="shared" si="3"/>
        <v>265</v>
      </c>
      <c r="G21" s="1243">
        <f t="shared" si="4"/>
        <v>1.0003415529006012E-3</v>
      </c>
      <c r="H21" s="1238"/>
      <c r="I21" s="1"/>
      <c r="J21" s="749"/>
      <c r="K21" s="1239"/>
      <c r="L21" s="749"/>
      <c r="M21" s="1239"/>
    </row>
    <row r="22" spans="2:13" ht="15.75" customHeight="1">
      <c r="B22" s="1217" t="s">
        <v>456</v>
      </c>
      <c r="C22" s="813">
        <v>79376</v>
      </c>
      <c r="D22" s="1240">
        <v>9.4955026735800017E-5</v>
      </c>
      <c r="E22" s="1241">
        <f t="shared" si="2"/>
        <v>7.5371502021808618</v>
      </c>
      <c r="F22" s="1242">
        <f t="shared" si="3"/>
        <v>265</v>
      </c>
      <c r="G22" s="1243">
        <f t="shared" si="4"/>
        <v>1.9973448035779284E-3</v>
      </c>
      <c r="H22" s="1238"/>
      <c r="I22" s="1"/>
      <c r="J22" s="749"/>
      <c r="K22" s="1239"/>
      <c r="L22" s="749"/>
      <c r="M22" s="1239"/>
    </row>
    <row r="23" spans="2:13" ht="15.75" customHeight="1">
      <c r="B23" s="1222" t="s">
        <v>743</v>
      </c>
      <c r="C23" s="385">
        <v>4790</v>
      </c>
      <c r="D23" s="1244">
        <v>3.7982010694320003E-3</v>
      </c>
      <c r="E23" s="1245">
        <f t="shared" si="2"/>
        <v>18.193383122579281</v>
      </c>
      <c r="F23" s="1246">
        <f t="shared" si="3"/>
        <v>265</v>
      </c>
      <c r="G23" s="1247">
        <f t="shared" si="4"/>
        <v>4.8212465274835095E-3</v>
      </c>
      <c r="H23" s="1238"/>
      <c r="I23" s="1"/>
      <c r="J23" s="749"/>
      <c r="K23" s="1239"/>
      <c r="L23" s="749"/>
      <c r="M23" s="1239"/>
    </row>
    <row r="24" spans="2:13" ht="15.75" customHeight="1">
      <c r="B24" s="425"/>
      <c r="C24" s="1227"/>
      <c r="D24" s="1227"/>
      <c r="E24" s="1227"/>
      <c r="F24" s="1229" t="s">
        <v>88</v>
      </c>
      <c r="G24" s="1248">
        <f>SUM(G18:G23)</f>
        <v>9.5042303066040432E-3</v>
      </c>
      <c r="H24" s="1"/>
      <c r="I24" s="298"/>
      <c r="J24" s="749"/>
      <c r="K24" s="1249"/>
      <c r="L24" s="749"/>
      <c r="M24" s="1250"/>
    </row>
    <row r="25" spans="2:13" ht="15.75" customHeight="1">
      <c r="H25" s="1"/>
      <c r="I25" s="1"/>
      <c r="J25" s="1"/>
      <c r="K25" s="1"/>
      <c r="L25" s="1"/>
      <c r="M25" s="1"/>
    </row>
    <row r="26" spans="2:13" ht="15.75" customHeight="1">
      <c r="H26" s="1"/>
      <c r="I26" s="1"/>
      <c r="J26" s="1"/>
      <c r="K26" s="1"/>
      <c r="L26" s="1"/>
      <c r="M26" s="1"/>
    </row>
    <row r="27" spans="2:13" ht="15.75" customHeight="1">
      <c r="B27" s="1202" t="s">
        <v>1182</v>
      </c>
      <c r="C27" s="1203"/>
      <c r="D27" s="1231"/>
      <c r="E27" s="134">
        <v>2017</v>
      </c>
      <c r="F27" s="1"/>
      <c r="G27" s="1"/>
      <c r="H27" s="1"/>
      <c r="I27" s="1"/>
      <c r="J27" s="1"/>
      <c r="K27" s="1"/>
      <c r="L27" s="1"/>
      <c r="M27" s="1"/>
    </row>
    <row r="28" spans="2:13" ht="15.75" customHeight="1">
      <c r="B28" s="286"/>
      <c r="C28" s="1"/>
      <c r="D28" s="261"/>
      <c r="E28" s="286"/>
      <c r="F28" s="1"/>
      <c r="G28" s="1"/>
      <c r="H28" s="1"/>
      <c r="I28" s="1"/>
      <c r="J28" s="1"/>
      <c r="K28" s="1"/>
      <c r="L28" s="1"/>
      <c r="M28" s="1"/>
    </row>
    <row r="29" spans="2:13" ht="15.75" customHeight="1">
      <c r="B29" s="1204"/>
      <c r="C29" s="1205" t="s">
        <v>519</v>
      </c>
      <c r="D29" s="1205" t="s">
        <v>1124</v>
      </c>
      <c r="E29" s="1205" t="s">
        <v>536</v>
      </c>
      <c r="F29" s="1205" t="s">
        <v>537</v>
      </c>
      <c r="G29" s="1206" t="s">
        <v>536</v>
      </c>
      <c r="H29" s="298"/>
      <c r="I29" s="1"/>
      <c r="J29" s="1"/>
      <c r="K29" s="298"/>
      <c r="L29" s="1"/>
      <c r="M29" s="1"/>
    </row>
    <row r="30" spans="2:13" ht="15.75" customHeight="1">
      <c r="B30" s="1207" t="s">
        <v>177</v>
      </c>
      <c r="C30" s="1208" t="s">
        <v>538</v>
      </c>
      <c r="D30" s="1208" t="s">
        <v>1183</v>
      </c>
      <c r="E30" s="1208" t="s">
        <v>1184</v>
      </c>
      <c r="F30" s="1208"/>
      <c r="G30" s="1209" t="s">
        <v>1185</v>
      </c>
      <c r="H30" s="298"/>
      <c r="I30" s="1"/>
      <c r="J30" s="298"/>
      <c r="K30" s="298"/>
      <c r="L30" s="1"/>
      <c r="M30" s="1"/>
    </row>
    <row r="31" spans="2:13" ht="15.75" customHeight="1">
      <c r="B31" s="1210" t="s">
        <v>194</v>
      </c>
      <c r="C31" s="1211">
        <v>0</v>
      </c>
      <c r="D31" s="1251">
        <v>0.3006909179967</v>
      </c>
      <c r="E31" s="1252">
        <f t="shared" ref="E31:E36" si="5">C31*D31</f>
        <v>0</v>
      </c>
      <c r="F31" s="1236">
        <f t="shared" ref="F31:F36" si="6">$L$8</f>
        <v>28</v>
      </c>
      <c r="G31" s="1253">
        <f t="shared" ref="G31:G36" si="7">E31*F31/1000000</f>
        <v>0</v>
      </c>
      <c r="H31" s="1238"/>
      <c r="I31" s="1"/>
      <c r="J31" s="749"/>
      <c r="K31" s="1216"/>
      <c r="L31" s="749"/>
      <c r="M31" s="1239"/>
    </row>
    <row r="32" spans="2:13" ht="15.75" customHeight="1">
      <c r="B32" s="1217" t="s">
        <v>529</v>
      </c>
      <c r="C32" s="813">
        <v>10426</v>
      </c>
      <c r="D32" s="1240">
        <v>1.0023030599889999E-2</v>
      </c>
      <c r="E32" s="1254">
        <f t="shared" si="5"/>
        <v>104.50011703445313</v>
      </c>
      <c r="F32" s="1242">
        <f t="shared" si="6"/>
        <v>28</v>
      </c>
      <c r="G32" s="1255">
        <f t="shared" si="7"/>
        <v>2.9260032769646877E-3</v>
      </c>
      <c r="H32" s="1238"/>
      <c r="I32" s="1"/>
      <c r="J32" s="749"/>
      <c r="K32" s="1216"/>
      <c r="L32" s="749"/>
      <c r="M32" s="1239"/>
    </row>
    <row r="33" spans="2:13" ht="15.75" customHeight="1">
      <c r="B33" s="1217" t="s">
        <v>661</v>
      </c>
      <c r="C33" s="813">
        <v>149</v>
      </c>
      <c r="D33" s="1240">
        <v>1.0023030599889999E-2</v>
      </c>
      <c r="E33" s="1254">
        <f t="shared" si="5"/>
        <v>1.4934315593836098</v>
      </c>
      <c r="F33" s="1242">
        <f t="shared" si="6"/>
        <v>28</v>
      </c>
      <c r="G33" s="1255">
        <f t="shared" si="7"/>
        <v>4.1816083662741076E-5</v>
      </c>
      <c r="H33" s="1238"/>
      <c r="I33" s="1"/>
      <c r="J33" s="749"/>
      <c r="K33" s="1216"/>
      <c r="L33" s="749"/>
      <c r="M33" s="1239"/>
    </row>
    <row r="34" spans="2:13" ht="15.75" customHeight="1">
      <c r="B34" s="1217" t="s">
        <v>944</v>
      </c>
      <c r="C34" s="813">
        <v>6277</v>
      </c>
      <c r="D34" s="1240">
        <v>1.0023030599889999E-2</v>
      </c>
      <c r="E34" s="1254">
        <f t="shared" si="5"/>
        <v>62.914563075509527</v>
      </c>
      <c r="F34" s="1242">
        <f t="shared" si="6"/>
        <v>28</v>
      </c>
      <c r="G34" s="1255">
        <f t="shared" si="7"/>
        <v>1.7616077661142667E-3</v>
      </c>
      <c r="H34" s="1238"/>
      <c r="I34" s="1"/>
      <c r="J34" s="749"/>
      <c r="K34" s="1216"/>
      <c r="L34" s="749"/>
      <c r="M34" s="1239"/>
    </row>
    <row r="35" spans="2:13" ht="15.75" customHeight="1">
      <c r="B35" s="1217" t="s">
        <v>456</v>
      </c>
      <c r="C35" s="813">
        <v>79376</v>
      </c>
      <c r="D35" s="1240">
        <v>4.7477513367900001E-3</v>
      </c>
      <c r="E35" s="1254">
        <f t="shared" si="5"/>
        <v>376.85751010904306</v>
      </c>
      <c r="F35" s="1242">
        <f t="shared" si="6"/>
        <v>28</v>
      </c>
      <c r="G35" s="1255">
        <f t="shared" si="7"/>
        <v>1.0552010283053205E-2</v>
      </c>
      <c r="H35" s="1238"/>
      <c r="I35" s="1"/>
      <c r="J35" s="749"/>
      <c r="K35" s="1216"/>
      <c r="L35" s="749"/>
      <c r="M35" s="1239"/>
    </row>
    <row r="36" spans="2:13" ht="15.75" customHeight="1">
      <c r="B36" s="1222" t="s">
        <v>743</v>
      </c>
      <c r="C36" s="385">
        <v>4790</v>
      </c>
      <c r="D36" s="1244">
        <v>0.28486508020740003</v>
      </c>
      <c r="E36" s="1256">
        <f t="shared" si="5"/>
        <v>1364.5037341934462</v>
      </c>
      <c r="F36" s="1246">
        <f t="shared" si="6"/>
        <v>28</v>
      </c>
      <c r="G36" s="1257">
        <f t="shared" si="7"/>
        <v>3.82061045574165E-2</v>
      </c>
      <c r="H36" s="1238"/>
      <c r="I36" s="1"/>
      <c r="J36" s="749"/>
      <c r="K36" s="1216"/>
      <c r="L36" s="749"/>
      <c r="M36" s="1239"/>
    </row>
    <row r="37" spans="2:13" ht="15.75" customHeight="1">
      <c r="B37" s="425"/>
      <c r="C37" s="1227"/>
      <c r="D37" s="1227"/>
      <c r="E37" s="1227"/>
      <c r="F37" s="1258" t="s">
        <v>88</v>
      </c>
      <c r="G37" s="1259">
        <f>SUM(G31:G36)</f>
        <v>5.3487541967211401E-2</v>
      </c>
      <c r="H37" s="1"/>
      <c r="I37" s="1"/>
      <c r="J37" s="749"/>
      <c r="K37" s="1249"/>
      <c r="L37" s="1"/>
      <c r="M37" s="1250"/>
    </row>
    <row r="38" spans="2:13" ht="15.75" customHeight="1"/>
    <row r="39" spans="2:13" ht="15.75" customHeight="1"/>
    <row r="40" spans="2:13" ht="15.75" customHeight="1"/>
    <row r="41" spans="2:13" ht="15.75" customHeight="1">
      <c r="B41" s="1260" t="s">
        <v>1186</v>
      </c>
      <c r="C41" s="140"/>
      <c r="D41" s="1261"/>
      <c r="E41" s="1260"/>
      <c r="F41" s="1"/>
      <c r="G41" s="1"/>
    </row>
    <row r="42" spans="2:13" ht="15.75" customHeight="1">
      <c r="B42" s="286"/>
      <c r="C42" s="1"/>
      <c r="D42" s="261"/>
      <c r="E42" s="286"/>
      <c r="F42" s="1"/>
      <c r="G42" s="1"/>
    </row>
    <row r="43" spans="2:13" ht="15.75" customHeight="1">
      <c r="B43" s="1262"/>
      <c r="C43" s="1263" t="s">
        <v>536</v>
      </c>
      <c r="D43" s="1263" t="s">
        <v>536</v>
      </c>
      <c r="E43" s="1263" t="s">
        <v>536</v>
      </c>
      <c r="F43" s="1263" t="s">
        <v>536</v>
      </c>
      <c r="G43" s="298"/>
    </row>
    <row r="44" spans="2:13" ht="15.75" customHeight="1">
      <c r="B44" s="414"/>
      <c r="C44" s="1264" t="s">
        <v>1187</v>
      </c>
      <c r="D44" s="1264" t="s">
        <v>1188</v>
      </c>
      <c r="E44" s="1264" t="s">
        <v>1189</v>
      </c>
      <c r="F44" s="1264" t="s">
        <v>88</v>
      </c>
      <c r="G44" s="298"/>
    </row>
    <row r="45" spans="2:13" ht="15.75" customHeight="1">
      <c r="B45" s="1207" t="s">
        <v>177</v>
      </c>
      <c r="C45" s="1265" t="s">
        <v>1190</v>
      </c>
      <c r="D45" s="1265" t="s">
        <v>1191</v>
      </c>
      <c r="E45" s="1265" t="s">
        <v>1192</v>
      </c>
      <c r="F45" s="1265" t="s">
        <v>1193</v>
      </c>
      <c r="G45" s="298"/>
    </row>
    <row r="46" spans="2:13" ht="15.75" customHeight="1">
      <c r="B46" s="1210" t="s">
        <v>194</v>
      </c>
      <c r="C46" s="1266">
        <f t="shared" ref="C46:C50" si="8">G7</f>
        <v>0</v>
      </c>
      <c r="D46" s="1267">
        <f t="shared" ref="D46:D51" si="9">G18</f>
        <v>0</v>
      </c>
      <c r="E46" s="1267">
        <f t="shared" ref="E46:E51" si="10">G31</f>
        <v>0</v>
      </c>
      <c r="F46" s="1267">
        <f t="shared" ref="F46:F51" si="11">C46+D46+E46</f>
        <v>0</v>
      </c>
      <c r="G46" s="1268"/>
    </row>
    <row r="47" spans="2:13" ht="15.75" customHeight="1">
      <c r="B47" s="1217" t="s">
        <v>529</v>
      </c>
      <c r="C47" s="1269">
        <f t="shared" si="8"/>
        <v>0.7713379201752032</v>
      </c>
      <c r="D47" s="1270">
        <f t="shared" si="9"/>
        <v>1.6615518608478045E-3</v>
      </c>
      <c r="E47" s="1270">
        <f t="shared" si="10"/>
        <v>2.9260032769646877E-3</v>
      </c>
      <c r="F47" s="1270">
        <f t="shared" si="11"/>
        <v>0.7759254753130157</v>
      </c>
      <c r="G47" s="1268"/>
    </row>
    <row r="48" spans="2:13" ht="15.75" customHeight="1">
      <c r="B48" s="1217" t="s">
        <v>661</v>
      </c>
      <c r="C48" s="1269">
        <f t="shared" si="8"/>
        <v>1.0909314685665E-2</v>
      </c>
      <c r="D48" s="1270">
        <f t="shared" si="9"/>
        <v>2.3745561794199391E-5</v>
      </c>
      <c r="E48" s="1270">
        <f t="shared" si="10"/>
        <v>4.1816083662741076E-5</v>
      </c>
      <c r="F48" s="1270">
        <f t="shared" si="11"/>
        <v>1.0974876331121942E-2</v>
      </c>
      <c r="G48" s="1268"/>
    </row>
    <row r="49" spans="2:7" ht="15.75" customHeight="1">
      <c r="B49" s="1217" t="s">
        <v>944</v>
      </c>
      <c r="C49" s="1269">
        <f t="shared" si="8"/>
        <v>0.38753080794981637</v>
      </c>
      <c r="D49" s="1270">
        <f t="shared" si="9"/>
        <v>1.0003415529006012E-3</v>
      </c>
      <c r="E49" s="1270">
        <f t="shared" si="10"/>
        <v>1.7616077661142667E-3</v>
      </c>
      <c r="F49" s="1270">
        <f t="shared" si="11"/>
        <v>0.39029275726883123</v>
      </c>
      <c r="G49" s="1268"/>
    </row>
    <row r="50" spans="2:7" ht="15.75" customHeight="1">
      <c r="B50" s="1217" t="s">
        <v>456</v>
      </c>
      <c r="C50" s="1269">
        <f t="shared" si="8"/>
        <v>4.2124981697890664</v>
      </c>
      <c r="D50" s="1270">
        <f t="shared" si="9"/>
        <v>1.9973448035779284E-3</v>
      </c>
      <c r="E50" s="1270">
        <f t="shared" si="10"/>
        <v>1.0552010283053205E-2</v>
      </c>
      <c r="F50" s="1270">
        <f t="shared" si="11"/>
        <v>4.2250475248756976</v>
      </c>
      <c r="G50" s="1268"/>
    </row>
    <row r="51" spans="2:7" ht="15.75" customHeight="1">
      <c r="B51" s="1222" t="s">
        <v>743</v>
      </c>
      <c r="C51" s="1271">
        <v>0</v>
      </c>
      <c r="D51" s="1272">
        <f t="shared" si="9"/>
        <v>4.8212465274835095E-3</v>
      </c>
      <c r="E51" s="1272">
        <f t="shared" si="10"/>
        <v>3.82061045574165E-2</v>
      </c>
      <c r="F51" s="1272">
        <f t="shared" si="11"/>
        <v>4.3027351084900009E-2</v>
      </c>
      <c r="G51" s="1268"/>
    </row>
    <row r="52" spans="2:7" ht="15.75" customHeight="1">
      <c r="B52" s="425"/>
      <c r="C52" s="1227"/>
      <c r="D52" s="1227"/>
      <c r="E52" s="1273" t="s">
        <v>88</v>
      </c>
      <c r="F52" s="1274">
        <f>SUM(F46:F51)</f>
        <v>5.445267984873567</v>
      </c>
      <c r="G52" s="1275"/>
    </row>
    <row r="53" spans="2:7" ht="15.75" customHeight="1"/>
    <row r="54" spans="2:7" ht="15.75" customHeight="1"/>
    <row r="55" spans="2:7" ht="15.75" customHeight="1"/>
    <row r="56" spans="2:7" ht="15.75" customHeight="1"/>
    <row r="57" spans="2:7" ht="15.75" customHeight="1"/>
    <row r="58" spans="2:7" ht="15.75" customHeight="1"/>
    <row r="59" spans="2:7" ht="15.75" customHeight="1"/>
    <row r="60" spans="2:7" ht="15.75" customHeight="1"/>
    <row r="61" spans="2:7" ht="15.75" customHeight="1"/>
    <row r="62" spans="2:7" ht="15.75" customHeight="1"/>
    <row r="63" spans="2:7" ht="15.75" customHeight="1"/>
    <row r="64" spans="2: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K5:L5"/>
  </mergeCells>
  <pageMargins left="0.75" right="0.75" top="1" bottom="1"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heetViews>
  <sheetFormatPr defaultColWidth="16.85546875" defaultRowHeight="15" customHeight="1"/>
  <cols>
    <col min="1" max="1" width="4.28515625" customWidth="1"/>
    <col min="2" max="2" width="23.140625" customWidth="1"/>
    <col min="3" max="3" width="19.7109375" customWidth="1"/>
    <col min="4" max="4" width="23.140625" customWidth="1"/>
    <col min="5" max="5" width="18.7109375" customWidth="1"/>
    <col min="6" max="6" width="18.42578125" customWidth="1"/>
    <col min="7" max="7" width="17.85546875" customWidth="1"/>
    <col min="8" max="26" width="8.85546875" customWidth="1"/>
  </cols>
  <sheetData>
    <row r="1" spans="1:26" ht="32.4">
      <c r="A1" s="134" t="s">
        <v>1194</v>
      </c>
      <c r="B1" s="135"/>
      <c r="C1" s="1"/>
      <c r="D1" s="1"/>
      <c r="E1" s="1"/>
      <c r="F1" s="137"/>
      <c r="G1" s="1"/>
      <c r="H1" s="1"/>
      <c r="I1" s="1"/>
      <c r="J1" s="1"/>
      <c r="K1" s="1"/>
      <c r="L1" s="1"/>
      <c r="M1" s="1"/>
      <c r="N1" s="1"/>
      <c r="O1" s="1"/>
      <c r="P1" s="1"/>
      <c r="Q1" s="1"/>
      <c r="R1" s="1"/>
      <c r="S1" s="1"/>
      <c r="T1" s="1"/>
      <c r="U1" s="1"/>
      <c r="V1" s="1"/>
      <c r="W1" s="1"/>
      <c r="X1" s="1"/>
      <c r="Y1" s="1"/>
      <c r="Z1" s="1"/>
    </row>
    <row r="2" spans="1:26" ht="63.75" customHeight="1"/>
    <row r="4" spans="1:26" ht="19.8">
      <c r="B4" s="1276" t="s">
        <v>1195</v>
      </c>
      <c r="C4" s="1277"/>
      <c r="D4" s="1278"/>
      <c r="E4" s="1279">
        <v>2017</v>
      </c>
      <c r="F4" s="1280"/>
      <c r="G4" s="1281"/>
      <c r="H4" s="1"/>
      <c r="I4" s="1"/>
      <c r="J4" s="1"/>
      <c r="K4" s="2858" t="s">
        <v>0</v>
      </c>
      <c r="L4" s="2859"/>
      <c r="M4" s="1"/>
    </row>
    <row r="5" spans="1:26" ht="10.8">
      <c r="B5" s="414"/>
      <c r="C5" s="1"/>
      <c r="D5" s="1"/>
      <c r="E5" s="1"/>
      <c r="F5" s="1"/>
      <c r="G5" s="1282"/>
      <c r="H5" s="1"/>
      <c r="I5" s="1"/>
      <c r="J5" s="1"/>
      <c r="K5" s="240"/>
      <c r="L5" s="241"/>
      <c r="M5" s="298"/>
    </row>
    <row r="6" spans="1:26" ht="13.2">
      <c r="B6" s="1283"/>
      <c r="C6" s="1284" t="s">
        <v>519</v>
      </c>
      <c r="D6" s="1284" t="s">
        <v>1124</v>
      </c>
      <c r="E6" s="1285" t="s">
        <v>1125</v>
      </c>
      <c r="F6" s="1286" t="s">
        <v>536</v>
      </c>
      <c r="G6" s="1287" t="s">
        <v>536</v>
      </c>
      <c r="H6" s="1"/>
      <c r="I6" s="1"/>
      <c r="J6" s="1"/>
      <c r="K6" s="240" t="s">
        <v>528</v>
      </c>
      <c r="L6" s="247">
        <f>Summary!$E4</f>
        <v>1</v>
      </c>
      <c r="M6" s="298"/>
      <c r="N6" s="1"/>
    </row>
    <row r="7" spans="1:26" ht="13.2">
      <c r="B7" s="1207" t="s">
        <v>177</v>
      </c>
      <c r="C7" s="1208" t="s">
        <v>538</v>
      </c>
      <c r="D7" s="1208" t="s">
        <v>1126</v>
      </c>
      <c r="E7" s="1288" t="s">
        <v>1127</v>
      </c>
      <c r="F7" s="1289" t="s">
        <v>1128</v>
      </c>
      <c r="G7" s="1290" t="s">
        <v>1196</v>
      </c>
      <c r="H7" s="298"/>
      <c r="I7" s="1"/>
      <c r="J7" s="1"/>
      <c r="K7" s="240" t="s">
        <v>530</v>
      </c>
      <c r="L7" s="247">
        <f>Summary!$E5</f>
        <v>28</v>
      </c>
      <c r="M7" s="298"/>
      <c r="N7" s="1"/>
    </row>
    <row r="8" spans="1:26" ht="12">
      <c r="B8" s="1232" t="s">
        <v>194</v>
      </c>
      <c r="C8" s="1211">
        <v>0</v>
      </c>
      <c r="D8" s="1218">
        <v>56.792727272727269</v>
      </c>
      <c r="E8" s="1213">
        <v>1</v>
      </c>
      <c r="F8" s="1291">
        <f t="shared" ref="F8:F14" si="0">C8*1000*D8*E8/2000</f>
        <v>0</v>
      </c>
      <c r="G8" s="1292">
        <f t="shared" ref="G8:G14" si="1">F8*(44/12)*0.907441/1000000</f>
        <v>0</v>
      </c>
      <c r="H8" s="749"/>
      <c r="I8" s="1"/>
      <c r="J8" s="749"/>
      <c r="K8" s="240" t="s">
        <v>532</v>
      </c>
      <c r="L8" s="247">
        <f>Summary!$E6</f>
        <v>265</v>
      </c>
      <c r="M8" s="1216"/>
      <c r="N8" s="1"/>
    </row>
    <row r="9" spans="1:26" ht="12">
      <c r="B9" s="1217" t="s">
        <v>529</v>
      </c>
      <c r="C9" s="813">
        <v>5563</v>
      </c>
      <c r="D9" s="1218">
        <v>44.47</v>
      </c>
      <c r="E9" s="1219">
        <v>1</v>
      </c>
      <c r="F9" s="1220">
        <f t="shared" si="0"/>
        <v>123693.30499999999</v>
      </c>
      <c r="G9" s="1293">
        <f t="shared" si="1"/>
        <v>0.41156271340251832</v>
      </c>
      <c r="H9" s="749"/>
      <c r="I9" s="1"/>
      <c r="J9" s="749"/>
      <c r="K9" s="240" t="s">
        <v>533</v>
      </c>
      <c r="L9" s="247">
        <f>Summary!$E7</f>
        <v>23500</v>
      </c>
      <c r="M9" s="1216"/>
      <c r="N9" s="1"/>
    </row>
    <row r="10" spans="1:26" ht="12">
      <c r="B10" s="1217" t="s">
        <v>661</v>
      </c>
      <c r="C10" s="813">
        <v>47</v>
      </c>
      <c r="D10" s="1218">
        <v>44.01</v>
      </c>
      <c r="E10" s="1219">
        <v>1</v>
      </c>
      <c r="F10" s="1220">
        <f t="shared" si="0"/>
        <v>1034.2349999999999</v>
      </c>
      <c r="G10" s="1293">
        <f t="shared" si="1"/>
        <v>3.4411932229949991E-3</v>
      </c>
      <c r="H10" s="749"/>
      <c r="I10" s="1"/>
      <c r="J10" s="749"/>
      <c r="K10" s="259"/>
      <c r="L10" s="247"/>
      <c r="M10" s="1216"/>
      <c r="N10" s="1"/>
    </row>
    <row r="11" spans="1:26" ht="12">
      <c r="B11" s="1217" t="s">
        <v>944</v>
      </c>
      <c r="C11" s="813">
        <v>3078</v>
      </c>
      <c r="D11" s="1218">
        <v>37.110283550140529</v>
      </c>
      <c r="E11" s="1219">
        <v>1</v>
      </c>
      <c r="F11" s="1220">
        <f t="shared" si="0"/>
        <v>57112.726383666275</v>
      </c>
      <c r="G11" s="1293">
        <f t="shared" si="1"/>
        <v>0.19003024165517521</v>
      </c>
      <c r="H11" s="749"/>
      <c r="I11" s="1"/>
      <c r="J11" s="749"/>
      <c r="K11" s="1216"/>
      <c r="L11" s="749"/>
      <c r="M11" s="1216"/>
      <c r="N11" s="1"/>
    </row>
    <row r="12" spans="1:26" ht="12">
      <c r="B12" s="1217" t="s">
        <v>1197</v>
      </c>
      <c r="C12" s="813">
        <v>8686</v>
      </c>
      <c r="D12" s="1218">
        <v>42.900741155457617</v>
      </c>
      <c r="E12" s="1219">
        <v>1</v>
      </c>
      <c r="F12" s="1220">
        <f t="shared" si="0"/>
        <v>186317.91883815243</v>
      </c>
      <c r="G12" s="1293">
        <f t="shared" si="1"/>
        <v>0.6199325681575103</v>
      </c>
      <c r="H12" s="749"/>
      <c r="I12" s="1"/>
      <c r="J12" s="749"/>
      <c r="K12" s="1216"/>
      <c r="L12" s="749"/>
      <c r="M12" s="1216"/>
      <c r="N12" s="1"/>
    </row>
    <row r="13" spans="1:26" ht="12">
      <c r="B13" s="1217" t="s">
        <v>531</v>
      </c>
      <c r="C13" s="813">
        <v>33</v>
      </c>
      <c r="D13" s="1218">
        <v>45.11</v>
      </c>
      <c r="E13" s="1219">
        <v>1</v>
      </c>
      <c r="F13" s="1220">
        <f t="shared" si="0"/>
        <v>744.31500000000005</v>
      </c>
      <c r="G13" s="1293">
        <f t="shared" si="1"/>
        <v>2.4765471423550001E-3</v>
      </c>
      <c r="H13" s="749"/>
      <c r="I13" s="1"/>
      <c r="J13" s="749"/>
      <c r="K13" s="1216"/>
      <c r="L13" s="749"/>
      <c r="M13" s="1216"/>
      <c r="N13" s="1"/>
    </row>
    <row r="14" spans="1:26" ht="12">
      <c r="B14" s="1222" t="s">
        <v>456</v>
      </c>
      <c r="C14" s="929">
        <v>75700</v>
      </c>
      <c r="D14" s="1218">
        <v>31.9</v>
      </c>
      <c r="E14" s="1294">
        <v>1</v>
      </c>
      <c r="F14" s="1295">
        <f t="shared" si="0"/>
        <v>1207415</v>
      </c>
      <c r="G14" s="1296">
        <f t="shared" si="1"/>
        <v>4.0174122083883335</v>
      </c>
      <c r="H14" s="749"/>
      <c r="I14" s="1"/>
      <c r="J14" s="749"/>
      <c r="K14" s="1216"/>
      <c r="L14" s="749"/>
      <c r="M14" s="1216"/>
      <c r="N14" s="1"/>
    </row>
    <row r="15" spans="1:26" ht="13.2">
      <c r="B15" s="1297"/>
      <c r="C15" s="704"/>
      <c r="D15" s="704"/>
      <c r="E15" s="704"/>
      <c r="F15" s="1298" t="s">
        <v>88</v>
      </c>
      <c r="G15" s="1299">
        <f>SUM(G8:G14)</f>
        <v>5.2448554719688874</v>
      </c>
      <c r="H15" s="1"/>
      <c r="I15" s="1"/>
      <c r="J15" s="1"/>
      <c r="K15" s="1"/>
      <c r="L15" s="1"/>
      <c r="M15" s="1"/>
      <c r="N15" s="1"/>
    </row>
    <row r="18" spans="2:13" ht="19.8">
      <c r="B18" s="1276" t="s">
        <v>1198</v>
      </c>
      <c r="C18" s="1277"/>
      <c r="D18" s="1277"/>
      <c r="E18" s="1279">
        <v>2017</v>
      </c>
      <c r="F18" s="1280"/>
      <c r="G18" s="1281"/>
      <c r="H18" s="1"/>
      <c r="I18" s="1"/>
      <c r="J18" s="1"/>
      <c r="K18" s="1"/>
      <c r="L18" s="1"/>
      <c r="M18" s="1"/>
    </row>
    <row r="19" spans="2:13" ht="10.8">
      <c r="B19" s="414"/>
      <c r="C19" s="1"/>
      <c r="D19" s="1"/>
      <c r="E19" s="1"/>
      <c r="F19" s="1"/>
      <c r="G19" s="1282"/>
      <c r="H19" s="1"/>
      <c r="I19" s="1"/>
      <c r="J19" s="1"/>
      <c r="K19" s="1"/>
      <c r="L19" s="1"/>
      <c r="M19" s="298"/>
    </row>
    <row r="20" spans="2:13" ht="13.2">
      <c r="B20" s="1283"/>
      <c r="C20" s="1284" t="s">
        <v>519</v>
      </c>
      <c r="D20" s="1284" t="s">
        <v>1124</v>
      </c>
      <c r="E20" s="1284" t="s">
        <v>545</v>
      </c>
      <c r="F20" s="1284" t="s">
        <v>537</v>
      </c>
      <c r="G20" s="1300" t="s">
        <v>536</v>
      </c>
      <c r="H20" s="1"/>
      <c r="J20" s="1"/>
      <c r="K20" s="298"/>
      <c r="L20" s="1"/>
      <c r="M20" s="298"/>
    </row>
    <row r="21" spans="2:13" ht="15.75" customHeight="1">
      <c r="B21" s="1207" t="s">
        <v>177</v>
      </c>
      <c r="C21" s="1208" t="s">
        <v>538</v>
      </c>
      <c r="D21" s="1208" t="s">
        <v>1199</v>
      </c>
      <c r="E21" s="1208" t="s">
        <v>1200</v>
      </c>
      <c r="F21" s="1208"/>
      <c r="G21" s="1209" t="s">
        <v>1185</v>
      </c>
      <c r="H21" s="298"/>
      <c r="J21" s="1"/>
      <c r="K21" s="298"/>
      <c r="L21" s="1"/>
      <c r="M21" s="298"/>
    </row>
    <row r="22" spans="2:13" ht="15.75" customHeight="1">
      <c r="B22" s="1232" t="s">
        <v>194</v>
      </c>
      <c r="C22" s="1211">
        <v>0</v>
      </c>
      <c r="D22" s="1251">
        <v>1.5034545899835E-3</v>
      </c>
      <c r="E22" s="1301">
        <f t="shared" ref="E22:E29" si="2">C22*D22</f>
        <v>0</v>
      </c>
      <c r="F22" s="1236">
        <f t="shared" ref="F22:F29" si="3">$L$8</f>
        <v>265</v>
      </c>
      <c r="G22" s="1292">
        <f t="shared" ref="G22:G29" si="4">E22*F22/1000000</f>
        <v>0</v>
      </c>
      <c r="H22" s="1302"/>
      <c r="J22" s="749"/>
      <c r="K22" s="1216"/>
      <c r="L22" s="749"/>
      <c r="M22" s="1239"/>
    </row>
    <row r="23" spans="2:13" ht="15.75" customHeight="1">
      <c r="B23" s="1217" t="s">
        <v>529</v>
      </c>
      <c r="C23" s="813">
        <v>5563</v>
      </c>
      <c r="D23" s="1240">
        <v>6.0138183599339984E-4</v>
      </c>
      <c r="E23" s="1254">
        <f t="shared" si="2"/>
        <v>3.3454871536312831</v>
      </c>
      <c r="F23" s="1242">
        <f t="shared" si="3"/>
        <v>265</v>
      </c>
      <c r="G23" s="1293">
        <f t="shared" si="4"/>
        <v>8.865540957122901E-4</v>
      </c>
      <c r="H23" s="1302"/>
      <c r="J23" s="749"/>
      <c r="K23" s="1216"/>
      <c r="L23" s="749"/>
      <c r="M23" s="1239"/>
    </row>
    <row r="24" spans="2:13" ht="15.75" customHeight="1">
      <c r="B24" s="1217" t="s">
        <v>661</v>
      </c>
      <c r="C24" s="813">
        <v>47</v>
      </c>
      <c r="D24" s="1240">
        <v>6.0138183599339984E-4</v>
      </c>
      <c r="E24" s="1254">
        <f t="shared" si="2"/>
        <v>2.8264946291689793E-2</v>
      </c>
      <c r="F24" s="1242">
        <f t="shared" si="3"/>
        <v>265</v>
      </c>
      <c r="G24" s="1293">
        <f t="shared" si="4"/>
        <v>7.4902107672977953E-6</v>
      </c>
      <c r="H24" s="1302"/>
      <c r="J24" s="749"/>
      <c r="K24" s="1216"/>
      <c r="L24" s="749"/>
      <c r="M24" s="1239"/>
    </row>
    <row r="25" spans="2:13" ht="15.75" customHeight="1">
      <c r="B25" s="1217" t="s">
        <v>944</v>
      </c>
      <c r="C25" s="813">
        <v>3078</v>
      </c>
      <c r="D25" s="1240">
        <v>6.0138183599339984E-4</v>
      </c>
      <c r="E25" s="1254">
        <f t="shared" si="2"/>
        <v>1.8510532911876847</v>
      </c>
      <c r="F25" s="1242">
        <f t="shared" si="3"/>
        <v>265</v>
      </c>
      <c r="G25" s="1293">
        <f t="shared" si="4"/>
        <v>4.9052912216473652E-4</v>
      </c>
      <c r="H25" s="1302"/>
      <c r="J25" s="749"/>
      <c r="K25" s="1216"/>
      <c r="L25" s="749"/>
      <c r="M25" s="1239"/>
    </row>
    <row r="26" spans="2:13" ht="15.75" customHeight="1">
      <c r="B26" s="1217" t="s">
        <v>1197</v>
      </c>
      <c r="C26" s="813">
        <v>8686</v>
      </c>
      <c r="D26" s="1240">
        <v>6.0138183599339984E-4</v>
      </c>
      <c r="E26" s="1254">
        <f t="shared" si="2"/>
        <v>5.2236026274386713</v>
      </c>
      <c r="F26" s="1242">
        <f t="shared" si="3"/>
        <v>265</v>
      </c>
      <c r="G26" s="1293">
        <f t="shared" si="4"/>
        <v>1.3842546962712478E-3</v>
      </c>
      <c r="H26" s="1302"/>
      <c r="J26" s="749"/>
      <c r="K26" s="1216"/>
      <c r="L26" s="749"/>
      <c r="M26" s="1239"/>
    </row>
    <row r="27" spans="2:13" ht="15.75" customHeight="1">
      <c r="B27" s="1217" t="s">
        <v>531</v>
      </c>
      <c r="C27" s="813">
        <v>33</v>
      </c>
      <c r="D27" s="1240">
        <v>6.0138183599339984E-4</v>
      </c>
      <c r="E27" s="1254">
        <f t="shared" si="2"/>
        <v>1.9845600587782196E-2</v>
      </c>
      <c r="F27" s="1242">
        <f t="shared" si="3"/>
        <v>265</v>
      </c>
      <c r="G27" s="1293">
        <f t="shared" si="4"/>
        <v>5.2590841557622818E-6</v>
      </c>
      <c r="H27" s="1302"/>
      <c r="J27" s="749"/>
      <c r="K27" s="1216"/>
      <c r="L27" s="749"/>
      <c r="M27" s="1239"/>
    </row>
    <row r="28" spans="2:13" ht="15.75" customHeight="1">
      <c r="B28" s="1217" t="s">
        <v>456</v>
      </c>
      <c r="C28" s="813">
        <v>75700</v>
      </c>
      <c r="D28" s="1240">
        <v>9.4955026735800017E-5</v>
      </c>
      <c r="E28" s="1254">
        <f t="shared" si="2"/>
        <v>7.1880955239000617</v>
      </c>
      <c r="F28" s="1242">
        <f t="shared" si="3"/>
        <v>265</v>
      </c>
      <c r="G28" s="1293">
        <f t="shared" si="4"/>
        <v>1.9048453138335165E-3</v>
      </c>
      <c r="H28" s="1302"/>
      <c r="J28" s="749"/>
      <c r="K28" s="1216"/>
      <c r="L28" s="749"/>
      <c r="M28" s="1239"/>
    </row>
    <row r="29" spans="2:13" ht="15.75" customHeight="1">
      <c r="B29" s="1217" t="s">
        <v>743</v>
      </c>
      <c r="C29" s="813">
        <v>1301</v>
      </c>
      <c r="D29" s="1240">
        <v>3.7982010694320003E-3</v>
      </c>
      <c r="E29" s="1254">
        <f t="shared" si="2"/>
        <v>4.9414595913310322</v>
      </c>
      <c r="F29" s="1242">
        <f t="shared" si="3"/>
        <v>265</v>
      </c>
      <c r="G29" s="1293">
        <f t="shared" si="4"/>
        <v>1.3094867917027237E-3</v>
      </c>
      <c r="H29" s="1302"/>
      <c r="J29" s="749"/>
      <c r="K29" s="1216"/>
      <c r="L29" s="749"/>
      <c r="M29" s="1239"/>
    </row>
    <row r="30" spans="2:13" ht="15.75" customHeight="1">
      <c r="B30" s="425"/>
      <c r="C30" s="1303"/>
      <c r="D30" s="1227"/>
      <c r="E30" s="1227"/>
      <c r="F30" s="1304" t="s">
        <v>88</v>
      </c>
      <c r="G30" s="1305">
        <f>SUM(G22:G29)</f>
        <v>5.9884193146075753E-3</v>
      </c>
      <c r="H30" s="1"/>
      <c r="J30" s="749"/>
      <c r="K30" s="1249"/>
      <c r="L30" s="749"/>
      <c r="M30" s="1250"/>
    </row>
    <row r="31" spans="2:13" ht="15.75" customHeight="1">
      <c r="J31" s="1"/>
      <c r="K31" s="1"/>
      <c r="L31" s="1"/>
      <c r="M31" s="1"/>
    </row>
    <row r="32" spans="2:13" ht="15.75" customHeight="1"/>
    <row r="33" spans="2:13" ht="15.75" customHeight="1">
      <c r="B33" s="1276" t="s">
        <v>1201</v>
      </c>
      <c r="C33" s="1277"/>
      <c r="D33" s="1277"/>
      <c r="E33" s="1279">
        <v>2017</v>
      </c>
      <c r="F33" s="1280"/>
      <c r="G33" s="1281"/>
      <c r="H33" s="1"/>
      <c r="I33" s="1"/>
      <c r="J33" s="1"/>
      <c r="K33" s="1"/>
      <c r="L33" s="1"/>
      <c r="M33" s="1"/>
    </row>
    <row r="34" spans="2:13" ht="15.75" customHeight="1">
      <c r="B34" s="414"/>
      <c r="C34" s="1"/>
      <c r="D34" s="1"/>
      <c r="E34" s="1"/>
      <c r="F34" s="1"/>
      <c r="G34" s="1282"/>
      <c r="H34" s="1"/>
      <c r="I34" s="1"/>
      <c r="J34" s="1"/>
      <c r="K34" s="1"/>
      <c r="L34" s="1"/>
      <c r="M34" s="298"/>
    </row>
    <row r="35" spans="2:13" ht="15.75" customHeight="1">
      <c r="B35" s="1306"/>
      <c r="C35" s="1307" t="s">
        <v>519</v>
      </c>
      <c r="D35" s="1307" t="s">
        <v>1124</v>
      </c>
      <c r="E35" s="1307" t="s">
        <v>536</v>
      </c>
      <c r="F35" s="1307" t="s">
        <v>537</v>
      </c>
      <c r="G35" s="1308" t="s">
        <v>536</v>
      </c>
      <c r="H35" s="1"/>
      <c r="I35" s="1"/>
      <c r="J35" s="1"/>
      <c r="K35" s="298"/>
      <c r="L35" s="1"/>
      <c r="M35" s="1"/>
    </row>
    <row r="36" spans="2:13" ht="15.75" customHeight="1">
      <c r="B36" s="1309" t="s">
        <v>177</v>
      </c>
      <c r="C36" s="1310" t="s">
        <v>538</v>
      </c>
      <c r="D36" s="1310" t="s">
        <v>1202</v>
      </c>
      <c r="E36" s="1310" t="s">
        <v>1203</v>
      </c>
      <c r="F36" s="1310"/>
      <c r="G36" s="1311" t="s">
        <v>1204</v>
      </c>
      <c r="H36" s="298"/>
      <c r="I36" s="1"/>
      <c r="J36" s="1"/>
      <c r="K36" s="298"/>
      <c r="L36" s="1"/>
      <c r="M36" s="1"/>
    </row>
    <row r="37" spans="2:13" ht="15.75" customHeight="1">
      <c r="B37" s="1232" t="s">
        <v>194</v>
      </c>
      <c r="C37" s="1211">
        <v>0</v>
      </c>
      <c r="D37" s="1251">
        <v>1.0023030599889999E-2</v>
      </c>
      <c r="E37" s="1312">
        <f t="shared" ref="E37:E44" si="5">C37*D37</f>
        <v>0</v>
      </c>
      <c r="F37" s="1236">
        <f t="shared" ref="F37:F44" si="6">$L$7</f>
        <v>28</v>
      </c>
      <c r="G37" s="538">
        <f t="shared" ref="G37:G44" si="7">E37*F37/1000000</f>
        <v>0</v>
      </c>
      <c r="H37" s="1302"/>
      <c r="I37" s="1"/>
      <c r="J37" s="749"/>
      <c r="K37" s="1216"/>
      <c r="L37" s="749"/>
      <c r="M37" s="1239"/>
    </row>
    <row r="38" spans="2:13" ht="15.75" customHeight="1">
      <c r="B38" s="1217" t="s">
        <v>529</v>
      </c>
      <c r="C38" s="813">
        <v>5563</v>
      </c>
      <c r="D38" s="1240">
        <v>1.0023030599889999E-2</v>
      </c>
      <c r="E38" s="1313">
        <f t="shared" si="5"/>
        <v>55.758119227188068</v>
      </c>
      <c r="F38" s="1242">
        <f t="shared" si="6"/>
        <v>28</v>
      </c>
      <c r="G38" s="1314">
        <f t="shared" si="7"/>
        <v>1.561227338361266E-3</v>
      </c>
      <c r="H38" s="1302"/>
      <c r="I38" s="1"/>
      <c r="J38" s="749"/>
      <c r="K38" s="1216"/>
      <c r="L38" s="749"/>
      <c r="M38" s="1239"/>
    </row>
    <row r="39" spans="2:13" ht="15.75" customHeight="1">
      <c r="B39" s="1217" t="s">
        <v>661</v>
      </c>
      <c r="C39" s="813">
        <v>47</v>
      </c>
      <c r="D39" s="1240">
        <v>1.0023030599889999E-2</v>
      </c>
      <c r="E39" s="1313">
        <f t="shared" si="5"/>
        <v>0.47108243819482998</v>
      </c>
      <c r="F39" s="1242">
        <f t="shared" si="6"/>
        <v>28</v>
      </c>
      <c r="G39" s="1314">
        <f t="shared" si="7"/>
        <v>1.319030826945524E-5</v>
      </c>
      <c r="H39" s="1302"/>
      <c r="I39" s="1"/>
      <c r="J39" s="749"/>
      <c r="K39" s="1216"/>
      <c r="L39" s="749"/>
      <c r="M39" s="1239"/>
    </row>
    <row r="40" spans="2:13" ht="15.75" customHeight="1">
      <c r="B40" s="1217" t="s">
        <v>944</v>
      </c>
      <c r="C40" s="813">
        <v>3078</v>
      </c>
      <c r="D40" s="1240">
        <v>1.0023030599889999E-2</v>
      </c>
      <c r="E40" s="1313">
        <f t="shared" si="5"/>
        <v>30.850888186461418</v>
      </c>
      <c r="F40" s="1242">
        <f t="shared" si="6"/>
        <v>28</v>
      </c>
      <c r="G40" s="1314">
        <f t="shared" si="7"/>
        <v>8.6382486922091976E-4</v>
      </c>
      <c r="H40" s="1302"/>
      <c r="I40" s="1"/>
      <c r="J40" s="749"/>
      <c r="K40" s="1216"/>
      <c r="L40" s="749"/>
      <c r="M40" s="1239"/>
    </row>
    <row r="41" spans="2:13" ht="15.75" customHeight="1">
      <c r="B41" s="1217" t="s">
        <v>1197</v>
      </c>
      <c r="C41" s="813">
        <v>8686</v>
      </c>
      <c r="D41" s="1240">
        <v>1.0023030599889999E-2</v>
      </c>
      <c r="E41" s="1313">
        <f t="shared" si="5"/>
        <v>87.060043790644528</v>
      </c>
      <c r="F41" s="1242">
        <f t="shared" si="6"/>
        <v>28</v>
      </c>
      <c r="G41" s="1314">
        <f t="shared" si="7"/>
        <v>2.4376812261380468E-3</v>
      </c>
      <c r="H41" s="1302"/>
      <c r="I41" s="1"/>
      <c r="J41" s="749"/>
      <c r="K41" s="1216"/>
      <c r="L41" s="749"/>
      <c r="M41" s="1239"/>
    </row>
    <row r="42" spans="2:13" ht="15.75" customHeight="1">
      <c r="B42" s="1217" t="s">
        <v>531</v>
      </c>
      <c r="C42" s="813">
        <v>33</v>
      </c>
      <c r="D42" s="1240">
        <v>1.0023030599889999E-2</v>
      </c>
      <c r="E42" s="1313">
        <f t="shared" si="5"/>
        <v>0.33076000979636999</v>
      </c>
      <c r="F42" s="1242">
        <f t="shared" si="6"/>
        <v>28</v>
      </c>
      <c r="G42" s="1314">
        <f t="shared" si="7"/>
        <v>9.2612802742983597E-6</v>
      </c>
      <c r="H42" s="1302"/>
      <c r="I42" s="1"/>
      <c r="J42" s="749"/>
      <c r="K42" s="1216"/>
      <c r="L42" s="749"/>
      <c r="M42" s="1239"/>
    </row>
    <row r="43" spans="2:13" ht="15.75" customHeight="1">
      <c r="B43" s="1217" t="s">
        <v>456</v>
      </c>
      <c r="C43" s="813">
        <v>75700</v>
      </c>
      <c r="D43" s="1240">
        <v>4.7477513367900001E-3</v>
      </c>
      <c r="E43" s="1313">
        <f t="shared" si="5"/>
        <v>359.40477619500302</v>
      </c>
      <c r="F43" s="1242">
        <f t="shared" si="6"/>
        <v>28</v>
      </c>
      <c r="G43" s="1314">
        <f t="shared" si="7"/>
        <v>1.0063333733460083E-2</v>
      </c>
      <c r="H43" s="1302"/>
      <c r="I43" s="1"/>
      <c r="J43" s="749"/>
      <c r="K43" s="1216"/>
      <c r="L43" s="749"/>
      <c r="M43" s="1239"/>
    </row>
    <row r="44" spans="2:13" ht="15.75" customHeight="1">
      <c r="B44" s="1217" t="s">
        <v>743</v>
      </c>
      <c r="C44" s="813">
        <v>1301</v>
      </c>
      <c r="D44" s="1240">
        <v>0.28486508020740003</v>
      </c>
      <c r="E44" s="1313">
        <f t="shared" si="5"/>
        <v>370.60946934982746</v>
      </c>
      <c r="F44" s="1315">
        <f t="shared" si="6"/>
        <v>28</v>
      </c>
      <c r="G44" s="1316">
        <f t="shared" si="7"/>
        <v>1.0377065141795169E-2</v>
      </c>
      <c r="H44" s="1302"/>
      <c r="I44" s="1"/>
      <c r="J44" s="749"/>
      <c r="K44" s="1216"/>
      <c r="L44" s="749"/>
      <c r="M44" s="1239"/>
    </row>
    <row r="45" spans="2:13" ht="15.75" customHeight="1">
      <c r="B45" s="425"/>
      <c r="C45" s="1227"/>
      <c r="D45" s="1227"/>
      <c r="E45" s="1227"/>
      <c r="F45" s="1317" t="s">
        <v>88</v>
      </c>
      <c r="G45" s="1318">
        <f>SUM(G37:G44)</f>
        <v>2.5325583897519238E-2</v>
      </c>
      <c r="H45" s="1"/>
      <c r="I45" s="1"/>
      <c r="J45" s="749"/>
      <c r="K45" s="1249"/>
      <c r="L45" s="749"/>
      <c r="M45" s="1250"/>
    </row>
    <row r="46" spans="2:13" ht="15.75" customHeight="1"/>
    <row r="47" spans="2:13" ht="15.75" customHeight="1"/>
    <row r="48" spans="2:13" ht="15.75" customHeight="1">
      <c r="B48" s="1319" t="s">
        <v>1205</v>
      </c>
      <c r="C48" s="1320"/>
      <c r="D48" s="1320"/>
      <c r="E48" s="1321"/>
    </row>
    <row r="49" spans="2:7" ht="15.75" customHeight="1"/>
    <row r="50" spans="2:7" ht="15.75" customHeight="1"/>
    <row r="51" spans="2:7" ht="15.75" customHeight="1">
      <c r="B51" s="1322"/>
      <c r="C51" s="1323"/>
      <c r="D51" s="1324" t="s">
        <v>1206</v>
      </c>
      <c r="E51" s="1324" t="s">
        <v>1207</v>
      </c>
      <c r="F51" s="1324" t="s">
        <v>1208</v>
      </c>
      <c r="G51" s="1263" t="s">
        <v>697</v>
      </c>
    </row>
    <row r="52" spans="2:7" ht="15.75" customHeight="1">
      <c r="B52" s="1325"/>
      <c r="C52" s="1326" t="s">
        <v>519</v>
      </c>
      <c r="D52" s="1327" t="s">
        <v>536</v>
      </c>
      <c r="E52" s="1327" t="s">
        <v>536</v>
      </c>
      <c r="F52" s="1327" t="s">
        <v>536</v>
      </c>
      <c r="G52" s="1328" t="s">
        <v>536</v>
      </c>
    </row>
    <row r="53" spans="2:7" ht="15.75" customHeight="1">
      <c r="B53" s="1329" t="s">
        <v>177</v>
      </c>
      <c r="C53" s="1330" t="s">
        <v>538</v>
      </c>
      <c r="D53" s="1208" t="s">
        <v>1209</v>
      </c>
      <c r="E53" s="1208" t="s">
        <v>1210</v>
      </c>
      <c r="F53" s="1208" t="s">
        <v>1211</v>
      </c>
      <c r="G53" s="1209" t="s">
        <v>1212</v>
      </c>
    </row>
    <row r="54" spans="2:7" ht="15.75" customHeight="1">
      <c r="B54" s="1331" t="s">
        <v>194</v>
      </c>
      <c r="C54" s="1211">
        <v>0</v>
      </c>
      <c r="D54" s="1332">
        <f t="shared" ref="D54:D60" si="8">G8</f>
        <v>0</v>
      </c>
      <c r="E54" s="1333">
        <f t="shared" ref="E54:E61" si="9">G37</f>
        <v>0</v>
      </c>
      <c r="F54" s="1334">
        <f t="shared" ref="F54:F61" si="10">G22</f>
        <v>0</v>
      </c>
      <c r="G54" s="1335">
        <f t="shared" ref="G54:G61" si="11">D54+E54+F54</f>
        <v>0</v>
      </c>
    </row>
    <row r="55" spans="2:7" ht="15.75" customHeight="1">
      <c r="B55" s="1336" t="s">
        <v>529</v>
      </c>
      <c r="C55" s="813">
        <v>5563</v>
      </c>
      <c r="D55" s="1337">
        <f t="shared" si="8"/>
        <v>0.41156271340251832</v>
      </c>
      <c r="E55" s="1338">
        <f t="shared" si="9"/>
        <v>1.561227338361266E-3</v>
      </c>
      <c r="F55" s="1339">
        <f t="shared" si="10"/>
        <v>8.865540957122901E-4</v>
      </c>
      <c r="G55" s="1293">
        <f t="shared" si="11"/>
        <v>0.41401049483659191</v>
      </c>
    </row>
    <row r="56" spans="2:7" ht="15.75" customHeight="1">
      <c r="B56" s="1336" t="s">
        <v>661</v>
      </c>
      <c r="C56" s="813">
        <v>47</v>
      </c>
      <c r="D56" s="1337">
        <f t="shared" si="8"/>
        <v>3.4411932229949991E-3</v>
      </c>
      <c r="E56" s="1338">
        <f t="shared" si="9"/>
        <v>1.319030826945524E-5</v>
      </c>
      <c r="F56" s="1339">
        <f t="shared" si="10"/>
        <v>7.4902107672977953E-6</v>
      </c>
      <c r="G56" s="1293">
        <f t="shared" si="11"/>
        <v>3.4618737420317523E-3</v>
      </c>
    </row>
    <row r="57" spans="2:7" ht="15.75" customHeight="1">
      <c r="B57" s="1336" t="s">
        <v>944</v>
      </c>
      <c r="C57" s="813">
        <v>3078</v>
      </c>
      <c r="D57" s="1337">
        <f t="shared" si="8"/>
        <v>0.19003024165517521</v>
      </c>
      <c r="E57" s="1338">
        <f t="shared" si="9"/>
        <v>8.6382486922091976E-4</v>
      </c>
      <c r="F57" s="1339">
        <f t="shared" si="10"/>
        <v>4.9052912216473652E-4</v>
      </c>
      <c r="G57" s="1293">
        <f t="shared" si="11"/>
        <v>0.19138459564656088</v>
      </c>
    </row>
    <row r="58" spans="2:7" ht="15.75" customHeight="1">
      <c r="B58" s="1336" t="s">
        <v>1197</v>
      </c>
      <c r="C58" s="813">
        <v>8686</v>
      </c>
      <c r="D58" s="1337">
        <f t="shared" si="8"/>
        <v>0.6199325681575103</v>
      </c>
      <c r="E58" s="1338">
        <f t="shared" si="9"/>
        <v>2.4376812261380468E-3</v>
      </c>
      <c r="F58" s="1339">
        <f t="shared" si="10"/>
        <v>1.3842546962712478E-3</v>
      </c>
      <c r="G58" s="1293">
        <f t="shared" si="11"/>
        <v>0.62375450407991961</v>
      </c>
    </row>
    <row r="59" spans="2:7" ht="15.75" customHeight="1">
      <c r="B59" s="1336" t="s">
        <v>531</v>
      </c>
      <c r="C59" s="813">
        <v>33</v>
      </c>
      <c r="D59" s="1337">
        <f t="shared" si="8"/>
        <v>2.4765471423550001E-3</v>
      </c>
      <c r="E59" s="1338">
        <f t="shared" si="9"/>
        <v>9.2612802742983597E-6</v>
      </c>
      <c r="F59" s="1339">
        <f t="shared" si="10"/>
        <v>5.2590841557622818E-6</v>
      </c>
      <c r="G59" s="1293">
        <f t="shared" si="11"/>
        <v>2.491067506785061E-3</v>
      </c>
    </row>
    <row r="60" spans="2:7" ht="15.75" customHeight="1">
      <c r="B60" s="1336" t="s">
        <v>456</v>
      </c>
      <c r="C60" s="813">
        <v>75700</v>
      </c>
      <c r="D60" s="1337">
        <f t="shared" si="8"/>
        <v>4.0174122083883335</v>
      </c>
      <c r="E60" s="1338">
        <f t="shared" si="9"/>
        <v>1.0063333733460083E-2</v>
      </c>
      <c r="F60" s="1339">
        <f t="shared" si="10"/>
        <v>1.9048453138335165E-3</v>
      </c>
      <c r="G60" s="1293">
        <f t="shared" si="11"/>
        <v>4.0293803874356273</v>
      </c>
    </row>
    <row r="61" spans="2:7" ht="15.75" customHeight="1">
      <c r="B61" s="1336" t="s">
        <v>743</v>
      </c>
      <c r="C61" s="813">
        <v>1301</v>
      </c>
      <c r="D61" s="381">
        <v>0</v>
      </c>
      <c r="E61" s="1338">
        <f t="shared" si="9"/>
        <v>1.0377065141795169E-2</v>
      </c>
      <c r="F61" s="1339">
        <f t="shared" si="10"/>
        <v>1.3094867917027237E-3</v>
      </c>
      <c r="G61" s="1340">
        <f t="shared" si="11"/>
        <v>1.1686551933497893E-2</v>
      </c>
    </row>
    <row r="62" spans="2:7" ht="15.75" customHeight="1">
      <c r="B62" s="1341"/>
      <c r="C62" s="1342"/>
      <c r="D62" s="1342"/>
      <c r="E62" s="1342"/>
      <c r="F62" s="1343" t="s">
        <v>88</v>
      </c>
      <c r="G62" s="1344">
        <f>SUM(G54:G61)</f>
        <v>5.2761694751810149</v>
      </c>
    </row>
    <row r="63" spans="2:7" ht="15.75" customHeight="1"/>
    <row r="64" spans="2: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K4:L4"/>
  </mergeCells>
  <pageMargins left="0.17" right="0.3" top="1" bottom="1" header="0" footer="0"/>
  <pageSetup orientation="portrait"/>
  <colBreaks count="1" manualBreakCount="1">
    <brk id="7" man="1"/>
  </colBreaks>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heetViews>
  <sheetFormatPr defaultColWidth="16.85546875" defaultRowHeight="15" customHeight="1"/>
  <cols>
    <col min="1" max="1" width="5" customWidth="1"/>
    <col min="2" max="2" width="36.85546875" customWidth="1"/>
    <col min="3" max="3" width="13.28515625" customWidth="1"/>
    <col min="4" max="4" width="15.7109375" customWidth="1"/>
    <col min="5" max="5" width="13.7109375" customWidth="1"/>
    <col min="6" max="6" width="22" customWidth="1"/>
    <col min="7" max="7" width="17.85546875" customWidth="1"/>
    <col min="8" max="8" width="20.28515625" customWidth="1"/>
    <col min="9" max="9" width="15.140625" customWidth="1"/>
    <col min="10" max="10" width="19.28515625" customWidth="1"/>
    <col min="11" max="11" width="17.140625" customWidth="1"/>
    <col min="12" max="17" width="9.28515625" customWidth="1"/>
    <col min="18" max="26" width="8.85546875" customWidth="1"/>
  </cols>
  <sheetData>
    <row r="1" spans="1:26" ht="36" customHeight="1">
      <c r="A1" s="286" t="s">
        <v>1213</v>
      </c>
      <c r="B1" s="286"/>
      <c r="C1" s="136"/>
      <c r="D1" s="136"/>
      <c r="E1" s="136"/>
      <c r="F1" s="136"/>
      <c r="G1" s="1345"/>
      <c r="H1" s="136"/>
      <c r="I1" s="136"/>
      <c r="J1" s="136"/>
      <c r="K1" s="136"/>
      <c r="L1" s="136"/>
      <c r="M1" s="136"/>
      <c r="N1" s="136"/>
      <c r="O1" s="136"/>
      <c r="P1" s="136"/>
      <c r="Q1" s="136"/>
      <c r="R1" s="136"/>
      <c r="S1" s="136"/>
      <c r="T1" s="136"/>
      <c r="U1" s="136"/>
      <c r="V1" s="136"/>
      <c r="W1" s="136"/>
      <c r="X1" s="136"/>
      <c r="Y1" s="136"/>
      <c r="Z1" s="136"/>
    </row>
    <row r="2" spans="1:26" ht="80.25" customHeight="1">
      <c r="A2" s="2871"/>
      <c r="B2" s="2863"/>
      <c r="C2" s="2863"/>
      <c r="D2" s="2863"/>
      <c r="E2" s="2863"/>
      <c r="F2" s="2863"/>
      <c r="G2" s="2863"/>
      <c r="H2" s="2863"/>
      <c r="I2" s="2863"/>
      <c r="J2" s="2863"/>
      <c r="K2" s="2863"/>
      <c r="L2" s="136"/>
      <c r="M2" s="136"/>
      <c r="N2" s="136"/>
      <c r="O2" s="136"/>
      <c r="P2" s="136"/>
      <c r="Q2" s="136"/>
      <c r="R2" s="136"/>
      <c r="S2" s="136"/>
      <c r="T2" s="136"/>
      <c r="U2" s="136"/>
      <c r="V2" s="136"/>
      <c r="W2" s="136"/>
      <c r="X2" s="136"/>
      <c r="Y2" s="136"/>
      <c r="Z2" s="136"/>
    </row>
    <row r="3" spans="1:26" ht="11.25" customHeight="1">
      <c r="A3" s="1"/>
      <c r="B3" s="1"/>
      <c r="C3" s="1"/>
      <c r="D3" s="1"/>
      <c r="E3" s="1"/>
      <c r="F3" s="1"/>
      <c r="G3" s="1"/>
      <c r="H3" s="1"/>
      <c r="I3" s="1"/>
      <c r="J3" s="1"/>
      <c r="K3" s="1"/>
      <c r="L3" s="1"/>
      <c r="M3" s="1"/>
      <c r="N3" s="1"/>
      <c r="O3" s="1"/>
      <c r="P3" s="1"/>
      <c r="Q3" s="1"/>
      <c r="R3" s="1"/>
      <c r="S3" s="1"/>
      <c r="T3" s="1"/>
      <c r="U3" s="1"/>
      <c r="V3" s="1"/>
      <c r="W3" s="1"/>
      <c r="X3" s="1"/>
      <c r="Y3" s="1"/>
      <c r="Z3" s="1"/>
    </row>
    <row r="4" spans="1:26" ht="11.25" customHeight="1">
      <c r="A4" s="1"/>
      <c r="B4" s="1346" t="s">
        <v>1214</v>
      </c>
      <c r="C4" s="1347"/>
      <c r="D4" s="1347"/>
      <c r="E4" s="1346">
        <v>2017</v>
      </c>
      <c r="F4" s="136"/>
      <c r="G4" s="136"/>
      <c r="H4" s="136"/>
      <c r="I4" s="136"/>
      <c r="J4" s="136"/>
      <c r="K4" s="136"/>
      <c r="L4" s="136"/>
      <c r="M4" s="136"/>
      <c r="N4" s="136"/>
      <c r="O4" s="136"/>
      <c r="P4" s="136"/>
      <c r="Q4" s="1"/>
      <c r="R4" s="1"/>
      <c r="S4" s="1"/>
      <c r="T4" s="1"/>
      <c r="U4" s="1"/>
      <c r="V4" s="1"/>
      <c r="W4" s="1"/>
      <c r="X4" s="1"/>
      <c r="Y4" s="1"/>
      <c r="Z4" s="1"/>
    </row>
    <row r="5" spans="1:26" ht="11.25" customHeight="1">
      <c r="A5" s="1"/>
      <c r="B5" s="1348"/>
      <c r="C5" s="1349" t="s">
        <v>562</v>
      </c>
      <c r="D5" s="1349" t="s">
        <v>1215</v>
      </c>
      <c r="E5" s="1349" t="s">
        <v>1159</v>
      </c>
      <c r="F5" s="1350"/>
      <c r="G5" s="1349" t="s">
        <v>1160</v>
      </c>
      <c r="H5" s="1350"/>
      <c r="I5" s="1350"/>
      <c r="J5" s="1350"/>
      <c r="K5" s="1351"/>
      <c r="L5" s="136"/>
      <c r="M5" s="136"/>
      <c r="N5" s="136"/>
      <c r="O5" s="136"/>
      <c r="P5" s="136"/>
      <c r="Q5" s="1"/>
      <c r="R5" s="1"/>
      <c r="S5" s="1"/>
      <c r="T5" s="1"/>
      <c r="U5" s="1"/>
      <c r="V5" s="1"/>
      <c r="W5" s="1"/>
      <c r="X5" s="1"/>
      <c r="Y5" s="1"/>
      <c r="Z5" s="1"/>
    </row>
    <row r="6" spans="1:26" ht="11.25" customHeight="1">
      <c r="A6" s="1"/>
      <c r="B6" s="1352"/>
      <c r="C6" s="1353" t="s">
        <v>519</v>
      </c>
      <c r="D6" s="1353" t="s">
        <v>1216</v>
      </c>
      <c r="E6" s="1353" t="s">
        <v>519</v>
      </c>
      <c r="F6" s="1354"/>
      <c r="G6" s="1353" t="s">
        <v>519</v>
      </c>
      <c r="H6" s="1353" t="s">
        <v>1124</v>
      </c>
      <c r="I6" s="1353" t="s">
        <v>1125</v>
      </c>
      <c r="J6" s="1355" t="s">
        <v>536</v>
      </c>
      <c r="K6" s="1356" t="s">
        <v>536</v>
      </c>
      <c r="L6" s="136"/>
      <c r="M6" s="1"/>
      <c r="N6" s="136"/>
      <c r="O6" s="1357"/>
      <c r="P6" s="136"/>
      <c r="Q6" s="1"/>
      <c r="R6" s="1"/>
      <c r="S6" s="1"/>
      <c r="T6" s="1"/>
      <c r="U6" s="1"/>
      <c r="V6" s="1"/>
      <c r="W6" s="1"/>
      <c r="X6" s="1"/>
      <c r="Y6" s="1"/>
      <c r="Z6" s="1"/>
    </row>
    <row r="7" spans="1:26" ht="11.25" customHeight="1">
      <c r="A7" s="1"/>
      <c r="B7" s="1358" t="s">
        <v>177</v>
      </c>
      <c r="C7" s="1359" t="s">
        <v>538</v>
      </c>
      <c r="D7" s="1359" t="s">
        <v>1217</v>
      </c>
      <c r="E7" s="1359" t="s">
        <v>538</v>
      </c>
      <c r="F7" s="1359" t="s">
        <v>1161</v>
      </c>
      <c r="G7" s="1359" t="s">
        <v>538</v>
      </c>
      <c r="H7" s="1359" t="s">
        <v>1126</v>
      </c>
      <c r="I7" s="1359" t="s">
        <v>1127</v>
      </c>
      <c r="J7" s="1359" t="s">
        <v>1128</v>
      </c>
      <c r="K7" s="1360" t="s">
        <v>1218</v>
      </c>
      <c r="L7" s="1361"/>
      <c r="M7" s="1"/>
      <c r="N7" s="136"/>
      <c r="O7" s="1361"/>
      <c r="P7" s="136"/>
      <c r="Q7" s="1"/>
      <c r="R7" s="1"/>
      <c r="S7" s="1"/>
      <c r="T7" s="1"/>
      <c r="U7" s="1"/>
      <c r="V7" s="1"/>
      <c r="W7" s="1"/>
      <c r="X7" s="1"/>
      <c r="Y7" s="1"/>
      <c r="Z7" s="1"/>
    </row>
    <row r="8" spans="1:26" ht="11.25" customHeight="1">
      <c r="A8" s="1"/>
      <c r="B8" s="1362" t="s">
        <v>1219</v>
      </c>
      <c r="C8" s="1363">
        <v>0</v>
      </c>
      <c r="D8" s="1364"/>
      <c r="E8" s="1365">
        <v>0</v>
      </c>
      <c r="F8" s="1366">
        <v>0.1</v>
      </c>
      <c r="G8" s="1365">
        <f t="shared" ref="G8:G29" si="0">C8-(E8*F8)</f>
        <v>0</v>
      </c>
      <c r="H8" s="1367">
        <v>56.195454545454538</v>
      </c>
      <c r="I8" s="1368">
        <v>1</v>
      </c>
      <c r="J8" s="1369">
        <f t="shared" ref="J8:J10" si="1">(G8*1000*H8*I8)/2000</f>
        <v>0</v>
      </c>
      <c r="K8" s="1370">
        <f>J8*(44/12)*0.90718/1000000</f>
        <v>0</v>
      </c>
      <c r="L8" s="1371"/>
      <c r="M8" s="1"/>
      <c r="N8" s="1372"/>
      <c r="O8" s="1190"/>
      <c r="P8" s="1372"/>
      <c r="Q8" s="1"/>
      <c r="R8" s="1"/>
      <c r="S8" s="1"/>
      <c r="T8" s="1"/>
      <c r="U8" s="1"/>
      <c r="V8" s="1"/>
      <c r="W8" s="1"/>
      <c r="X8" s="1"/>
      <c r="Y8" s="1"/>
      <c r="Z8" s="1"/>
    </row>
    <row r="9" spans="1:26" ht="11.25" customHeight="1">
      <c r="A9" s="1"/>
      <c r="B9" s="1373" t="s">
        <v>1220</v>
      </c>
      <c r="C9" s="1374">
        <v>12275</v>
      </c>
      <c r="D9" s="1375">
        <v>1.6386862395834579E-2</v>
      </c>
      <c r="E9" s="1376">
        <f t="shared" ref="E9:E10" si="2">C9*D9</f>
        <v>201.14873590886947</v>
      </c>
      <c r="F9" s="1377">
        <v>0</v>
      </c>
      <c r="G9" s="1376">
        <f t="shared" si="0"/>
        <v>12275</v>
      </c>
      <c r="H9" s="1378">
        <v>56.852727272727272</v>
      </c>
      <c r="I9" s="1379">
        <v>1</v>
      </c>
      <c r="J9" s="1380">
        <f t="shared" si="1"/>
        <v>348933.61363636365</v>
      </c>
      <c r="K9" s="1381">
        <f t="shared" ref="K9:K29" si="3">J9*(44/12)*0.907441/1000000</f>
        <v>1.1610011134032501</v>
      </c>
      <c r="L9" s="1371"/>
      <c r="M9" s="1"/>
      <c r="N9" s="1372"/>
      <c r="O9" s="1190"/>
      <c r="P9" s="1372"/>
      <c r="Q9" s="1"/>
      <c r="R9" s="1"/>
      <c r="S9" s="1"/>
      <c r="T9" s="1"/>
      <c r="U9" s="1"/>
      <c r="V9" s="1"/>
      <c r="W9" s="1"/>
      <c r="X9" s="1"/>
      <c r="Y9" s="1"/>
      <c r="Z9" s="1"/>
    </row>
    <row r="10" spans="1:26" ht="11.25" customHeight="1">
      <c r="A10" s="1"/>
      <c r="B10" s="1373" t="s">
        <v>1221</v>
      </c>
      <c r="C10" s="1374">
        <v>16869</v>
      </c>
      <c r="D10" s="1375">
        <v>1</v>
      </c>
      <c r="E10" s="1376">
        <f t="shared" si="2"/>
        <v>16869</v>
      </c>
      <c r="F10" s="1377">
        <v>1</v>
      </c>
      <c r="G10" s="1376">
        <f t="shared" si="0"/>
        <v>0</v>
      </c>
      <c r="H10" s="1378">
        <v>45.31</v>
      </c>
      <c r="I10" s="1379">
        <v>1</v>
      </c>
      <c r="J10" s="1380">
        <f t="shared" si="1"/>
        <v>0</v>
      </c>
      <c r="K10" s="1381">
        <f t="shared" si="3"/>
        <v>0</v>
      </c>
      <c r="L10" s="1371"/>
      <c r="M10" s="1"/>
      <c r="N10" s="1372"/>
      <c r="O10" s="1190"/>
      <c r="P10" s="2858" t="s">
        <v>0</v>
      </c>
      <c r="Q10" s="2859"/>
      <c r="R10" s="1"/>
      <c r="S10" s="1"/>
      <c r="T10" s="1"/>
      <c r="U10" s="1"/>
      <c r="V10" s="1"/>
      <c r="W10" s="1"/>
      <c r="X10" s="1"/>
      <c r="Y10" s="1"/>
      <c r="Z10" s="1"/>
    </row>
    <row r="11" spans="1:26" ht="13.5" customHeight="1">
      <c r="A11" s="1"/>
      <c r="B11" s="1382" t="s">
        <v>1222</v>
      </c>
      <c r="C11" s="1383">
        <v>0</v>
      </c>
      <c r="D11" s="1364"/>
      <c r="E11" s="1376">
        <v>0</v>
      </c>
      <c r="F11" s="1377">
        <v>0</v>
      </c>
      <c r="G11" s="1376">
        <f t="shared" si="0"/>
        <v>0</v>
      </c>
      <c r="H11" s="1378">
        <v>41.57</v>
      </c>
      <c r="I11" s="1379">
        <v>1</v>
      </c>
      <c r="J11" s="1380">
        <f t="shared" ref="J11:J12" si="4">G11*H11*I11/2000</f>
        <v>0</v>
      </c>
      <c r="K11" s="1384">
        <f t="shared" si="3"/>
        <v>0</v>
      </c>
      <c r="L11" s="1371"/>
      <c r="M11" s="1"/>
      <c r="N11" s="1372"/>
      <c r="O11" s="1190"/>
      <c r="P11" s="240"/>
      <c r="Q11" s="241"/>
      <c r="R11" s="1"/>
      <c r="S11" s="1"/>
      <c r="T11" s="1"/>
      <c r="U11" s="1"/>
      <c r="V11" s="1"/>
      <c r="W11" s="1"/>
      <c r="X11" s="1"/>
      <c r="Y11" s="1"/>
      <c r="Z11" s="1"/>
    </row>
    <row r="12" spans="1:26" ht="11.25" customHeight="1">
      <c r="A12" s="1"/>
      <c r="B12" s="1382" t="s">
        <v>1223</v>
      </c>
      <c r="C12" s="1383">
        <v>0</v>
      </c>
      <c r="D12" s="1364"/>
      <c r="E12" s="1376">
        <v>0</v>
      </c>
      <c r="F12" s="1377">
        <v>0</v>
      </c>
      <c r="G12" s="1376">
        <f t="shared" si="0"/>
        <v>0</v>
      </c>
      <c r="H12" s="1385">
        <v>44.77366188659483</v>
      </c>
      <c r="I12" s="1379">
        <v>1</v>
      </c>
      <c r="J12" s="1380">
        <f t="shared" si="4"/>
        <v>0</v>
      </c>
      <c r="K12" s="1384">
        <f t="shared" si="3"/>
        <v>0</v>
      </c>
      <c r="L12" s="1371"/>
      <c r="M12" s="1"/>
      <c r="N12" s="1372"/>
      <c r="O12" s="1190"/>
      <c r="P12" s="240" t="s">
        <v>528</v>
      </c>
      <c r="Q12" s="247">
        <f>Summary!$E4</f>
        <v>1</v>
      </c>
      <c r="R12" s="1"/>
      <c r="S12" s="1"/>
      <c r="T12" s="1"/>
      <c r="U12" s="1"/>
      <c r="V12" s="1"/>
      <c r="W12" s="1"/>
      <c r="X12" s="1"/>
      <c r="Y12" s="1"/>
      <c r="Z12" s="1"/>
    </row>
    <row r="13" spans="1:26" ht="11.25" customHeight="1">
      <c r="A13" s="1"/>
      <c r="B13" s="1373" t="s">
        <v>529</v>
      </c>
      <c r="C13" s="1374">
        <v>5309</v>
      </c>
      <c r="D13" s="1375">
        <v>5.9993813799243175E-3</v>
      </c>
      <c r="E13" s="1376">
        <f>C13*D13</f>
        <v>31.850715746018203</v>
      </c>
      <c r="F13" s="1377">
        <v>0.5</v>
      </c>
      <c r="G13" s="1376">
        <f t="shared" si="0"/>
        <v>5293.0746421269905</v>
      </c>
      <c r="H13" s="1378">
        <v>44.47</v>
      </c>
      <c r="I13" s="1379">
        <v>1</v>
      </c>
      <c r="J13" s="1380">
        <f t="shared" ref="J13:J19" si="5">(G13*1000*H13*I13)/2000</f>
        <v>117691.51466769363</v>
      </c>
      <c r="K13" s="1381">
        <f t="shared" si="3"/>
        <v>0.39159305445907744</v>
      </c>
      <c r="L13" s="1371"/>
      <c r="M13" s="1"/>
      <c r="N13" s="1372"/>
      <c r="O13" s="1190"/>
      <c r="P13" s="240" t="s">
        <v>530</v>
      </c>
      <c r="Q13" s="247">
        <f>Summary!$E5</f>
        <v>28</v>
      </c>
      <c r="R13" s="1"/>
      <c r="S13" s="1"/>
      <c r="T13" s="1"/>
      <c r="U13" s="1"/>
      <c r="V13" s="1"/>
      <c r="W13" s="1"/>
      <c r="X13" s="1"/>
      <c r="Y13" s="1"/>
      <c r="Z13" s="1"/>
    </row>
    <row r="14" spans="1:26" ht="14.25" customHeight="1">
      <c r="A14" s="1"/>
      <c r="B14" s="1382" t="s">
        <v>1224</v>
      </c>
      <c r="C14" s="1386">
        <v>0</v>
      </c>
      <c r="D14" s="1364"/>
      <c r="E14" s="1376"/>
      <c r="F14" s="1377">
        <v>0.61918625610433442</v>
      </c>
      <c r="G14" s="1376">
        <f t="shared" si="0"/>
        <v>0</v>
      </c>
      <c r="H14" s="1378">
        <v>40.86</v>
      </c>
      <c r="I14" s="1379">
        <v>1</v>
      </c>
      <c r="J14" s="1380">
        <f t="shared" si="5"/>
        <v>0</v>
      </c>
      <c r="K14" s="1384">
        <f t="shared" si="3"/>
        <v>0</v>
      </c>
      <c r="L14" s="1371"/>
      <c r="M14" s="1"/>
      <c r="N14" s="1372"/>
      <c r="O14" s="1190"/>
      <c r="P14" s="240" t="s">
        <v>532</v>
      </c>
      <c r="Q14" s="247">
        <f>Summary!$E6</f>
        <v>265</v>
      </c>
      <c r="R14" s="1"/>
      <c r="S14" s="1"/>
      <c r="T14" s="1"/>
      <c r="U14" s="1"/>
      <c r="V14" s="1"/>
      <c r="W14" s="1"/>
      <c r="X14" s="1"/>
      <c r="Y14" s="1"/>
      <c r="Z14" s="1"/>
    </row>
    <row r="15" spans="1:26" ht="13.5" customHeight="1">
      <c r="A15" s="1"/>
      <c r="B15" s="1382" t="s">
        <v>1225</v>
      </c>
      <c r="C15" s="1386">
        <v>0</v>
      </c>
      <c r="D15" s="1364"/>
      <c r="E15" s="1376"/>
      <c r="F15" s="1377">
        <v>0.61918625610433442</v>
      </c>
      <c r="G15" s="1376">
        <f t="shared" si="0"/>
        <v>0</v>
      </c>
      <c r="H15" s="1378">
        <v>44.43</v>
      </c>
      <c r="I15" s="1379">
        <v>1</v>
      </c>
      <c r="J15" s="1380">
        <f t="shared" si="5"/>
        <v>0</v>
      </c>
      <c r="K15" s="1384">
        <f t="shared" si="3"/>
        <v>0</v>
      </c>
      <c r="L15" s="1371"/>
      <c r="M15" s="1"/>
      <c r="N15" s="1372"/>
      <c r="O15" s="1190"/>
      <c r="P15" s="240" t="s">
        <v>533</v>
      </c>
      <c r="Q15" s="247">
        <f>Summary!$E7</f>
        <v>23500</v>
      </c>
      <c r="R15" s="1"/>
      <c r="S15" s="1"/>
      <c r="T15" s="1"/>
      <c r="U15" s="1"/>
      <c r="V15" s="1"/>
      <c r="W15" s="1"/>
      <c r="X15" s="1"/>
      <c r="Y15" s="1"/>
      <c r="Z15" s="1"/>
    </row>
    <row r="16" spans="1:26" ht="11.25" customHeight="1">
      <c r="A16" s="1"/>
      <c r="B16" s="1373" t="s">
        <v>661</v>
      </c>
      <c r="C16" s="1374">
        <v>7</v>
      </c>
      <c r="D16" s="1375">
        <v>1</v>
      </c>
      <c r="E16" s="1376">
        <f t="shared" ref="E16:E19" si="6">C16*D16</f>
        <v>7</v>
      </c>
      <c r="F16" s="1377">
        <v>0</v>
      </c>
      <c r="G16" s="1376">
        <f t="shared" si="0"/>
        <v>7</v>
      </c>
      <c r="H16" s="1378">
        <v>43.97</v>
      </c>
      <c r="I16" s="1379">
        <v>1</v>
      </c>
      <c r="J16" s="1380">
        <f t="shared" si="5"/>
        <v>153.89500000000001</v>
      </c>
      <c r="K16" s="1381">
        <f t="shared" si="3"/>
        <v>5.1205231988166666E-4</v>
      </c>
      <c r="L16" s="1371"/>
      <c r="M16" s="1"/>
      <c r="N16" s="1372"/>
      <c r="O16" s="1190"/>
      <c r="P16" s="259"/>
      <c r="Q16" s="247"/>
      <c r="R16" s="1"/>
      <c r="S16" s="1"/>
      <c r="T16" s="1"/>
      <c r="U16" s="1"/>
      <c r="V16" s="1"/>
      <c r="W16" s="1"/>
      <c r="X16" s="1"/>
      <c r="Y16" s="1"/>
      <c r="Z16" s="1"/>
    </row>
    <row r="17" spans="1:26" ht="11.25" customHeight="1">
      <c r="A17" s="1"/>
      <c r="B17" s="1373" t="s">
        <v>944</v>
      </c>
      <c r="C17" s="1374">
        <v>1486</v>
      </c>
      <c r="D17" s="1375">
        <v>0.82377689762912898</v>
      </c>
      <c r="E17" s="1376">
        <f t="shared" si="6"/>
        <v>1224.1324698768856</v>
      </c>
      <c r="F17" s="1377">
        <v>0.61918625610433442</v>
      </c>
      <c r="G17" s="1376">
        <f t="shared" si="0"/>
        <v>728.03399900117927</v>
      </c>
      <c r="H17" s="1385">
        <v>37.11</v>
      </c>
      <c r="I17" s="1379">
        <v>1</v>
      </c>
      <c r="J17" s="1380">
        <f t="shared" si="5"/>
        <v>13508.670851466881</v>
      </c>
      <c r="K17" s="1381">
        <f t="shared" si="3"/>
        <v>4.4947179882461843E-2</v>
      </c>
      <c r="L17" s="1371"/>
      <c r="M17" s="1"/>
      <c r="N17" s="1372"/>
      <c r="O17" s="1190"/>
      <c r="P17" s="1372"/>
      <c r="Q17" s="1"/>
      <c r="R17" s="1"/>
      <c r="S17" s="1"/>
      <c r="T17" s="1"/>
      <c r="U17" s="1"/>
      <c r="V17" s="1"/>
      <c r="W17" s="1"/>
      <c r="X17" s="1"/>
      <c r="Y17" s="1"/>
      <c r="Z17" s="1"/>
    </row>
    <row r="18" spans="1:26" ht="11.25" customHeight="1">
      <c r="A18" s="1"/>
      <c r="B18" s="1373" t="s">
        <v>1163</v>
      </c>
      <c r="C18" s="1374">
        <v>946</v>
      </c>
      <c r="D18" s="1375">
        <v>1</v>
      </c>
      <c r="E18" s="1376">
        <f t="shared" si="6"/>
        <v>946</v>
      </c>
      <c r="F18" s="1377">
        <v>9.2393732597307904E-2</v>
      </c>
      <c r="G18" s="1376">
        <f t="shared" si="0"/>
        <v>858.59552896294667</v>
      </c>
      <c r="H18" s="1378">
        <v>43.53</v>
      </c>
      <c r="I18" s="1379">
        <v>1</v>
      </c>
      <c r="J18" s="1380">
        <f t="shared" si="5"/>
        <v>18687.331687878534</v>
      </c>
      <c r="K18" s="1381">
        <f t="shared" si="3"/>
        <v>6.2178053498660672E-2</v>
      </c>
      <c r="L18" s="1371"/>
      <c r="M18" s="1"/>
      <c r="N18" s="1372"/>
      <c r="O18" s="1190"/>
      <c r="P18" s="1372"/>
      <c r="Q18" s="1"/>
      <c r="R18" s="1"/>
      <c r="S18" s="1"/>
      <c r="T18" s="1"/>
      <c r="U18" s="1"/>
      <c r="V18" s="1"/>
      <c r="W18" s="1"/>
      <c r="X18" s="1"/>
      <c r="Y18" s="1"/>
      <c r="Z18" s="1"/>
    </row>
    <row r="19" spans="1:26" ht="11.25" customHeight="1">
      <c r="A19" s="1"/>
      <c r="B19" s="1373" t="s">
        <v>1197</v>
      </c>
      <c r="C19" s="1374">
        <v>2865</v>
      </c>
      <c r="D19" s="1375">
        <v>1</v>
      </c>
      <c r="E19" s="1376">
        <f t="shared" si="6"/>
        <v>2865</v>
      </c>
      <c r="F19" s="1377">
        <v>0</v>
      </c>
      <c r="G19" s="1376">
        <f t="shared" si="0"/>
        <v>2865</v>
      </c>
      <c r="H19" s="1385">
        <v>42.900741155457617</v>
      </c>
      <c r="I19" s="1379">
        <v>1</v>
      </c>
      <c r="J19" s="1380">
        <f t="shared" si="5"/>
        <v>61455.311705193039</v>
      </c>
      <c r="K19" s="1381">
        <f t="shared" si="3"/>
        <v>0.20447925486659763</v>
      </c>
      <c r="L19" s="1371"/>
      <c r="M19" s="1"/>
      <c r="N19" s="1372"/>
      <c r="O19" s="1190"/>
      <c r="P19" s="1372"/>
      <c r="Q19" s="1"/>
      <c r="R19" s="1"/>
      <c r="S19" s="1"/>
      <c r="T19" s="1"/>
      <c r="U19" s="1"/>
      <c r="V19" s="1"/>
      <c r="W19" s="1"/>
      <c r="X19" s="1"/>
      <c r="Y19" s="1"/>
      <c r="Z19" s="1"/>
    </row>
    <row r="20" spans="1:26" ht="16.5" customHeight="1">
      <c r="A20" s="1"/>
      <c r="B20" s="1382" t="s">
        <v>1226</v>
      </c>
      <c r="C20" s="1383">
        <v>0</v>
      </c>
      <c r="D20" s="1364"/>
      <c r="E20" s="1376">
        <v>0</v>
      </c>
      <c r="F20" s="1377">
        <v>0</v>
      </c>
      <c r="G20" s="1376">
        <f t="shared" si="0"/>
        <v>0</v>
      </c>
      <c r="H20" s="1385">
        <v>42.900741155457617</v>
      </c>
      <c r="I20" s="1379">
        <v>1</v>
      </c>
      <c r="J20" s="1380">
        <f>G20*H20*I20/2000</f>
        <v>0</v>
      </c>
      <c r="K20" s="1384">
        <f t="shared" si="3"/>
        <v>0</v>
      </c>
      <c r="L20" s="1371"/>
      <c r="M20" s="1"/>
      <c r="N20" s="1372"/>
      <c r="O20" s="1190"/>
      <c r="P20" s="1372"/>
      <c r="Q20" s="1"/>
      <c r="R20" s="1"/>
      <c r="S20" s="1"/>
      <c r="T20" s="1"/>
      <c r="U20" s="1"/>
      <c r="V20" s="1"/>
      <c r="W20" s="1"/>
      <c r="X20" s="1"/>
      <c r="Y20" s="1"/>
      <c r="Z20" s="1"/>
    </row>
    <row r="21" spans="1:26" ht="11.25" customHeight="1">
      <c r="A21" s="1"/>
      <c r="B21" s="1373" t="s">
        <v>1227</v>
      </c>
      <c r="C21" s="1374">
        <v>293</v>
      </c>
      <c r="D21" s="1375">
        <v>1</v>
      </c>
      <c r="E21" s="1376">
        <f>C21*D21</f>
        <v>293</v>
      </c>
      <c r="F21" s="1377">
        <v>0</v>
      </c>
      <c r="G21" s="1376">
        <f t="shared" si="0"/>
        <v>293</v>
      </c>
      <c r="H21" s="1385">
        <v>44.77366188659483</v>
      </c>
      <c r="I21" s="1379">
        <v>1</v>
      </c>
      <c r="J21" s="1380">
        <f>(G21*1000*H21*I21)/2000</f>
        <v>6559.3414663861422</v>
      </c>
      <c r="K21" s="1381">
        <f t="shared" si="3"/>
        <v>2.1824789725195994E-2</v>
      </c>
      <c r="L21" s="1371"/>
      <c r="M21" s="1"/>
      <c r="N21" s="1372"/>
      <c r="O21" s="1190"/>
      <c r="P21" s="1372"/>
      <c r="Q21" s="1"/>
      <c r="R21" s="1"/>
      <c r="S21" s="1"/>
      <c r="T21" s="1"/>
      <c r="U21" s="1"/>
      <c r="V21" s="1"/>
      <c r="W21" s="1"/>
      <c r="X21" s="1"/>
      <c r="Y21" s="1"/>
      <c r="Z21" s="1"/>
    </row>
    <row r="22" spans="1:26" ht="11.25" customHeight="1">
      <c r="A22" s="1"/>
      <c r="B22" s="1373" t="s">
        <v>1228</v>
      </c>
      <c r="C22" s="1383">
        <v>0</v>
      </c>
      <c r="D22" s="1364"/>
      <c r="E22" s="1376">
        <v>0</v>
      </c>
      <c r="F22" s="1377">
        <v>0.3</v>
      </c>
      <c r="G22" s="1376">
        <f t="shared" si="0"/>
        <v>0</v>
      </c>
      <c r="H22" s="1378">
        <v>61.34</v>
      </c>
      <c r="I22" s="1379">
        <v>1</v>
      </c>
      <c r="J22" s="1380">
        <f>G22*H22*I22/2000</f>
        <v>0</v>
      </c>
      <c r="K22" s="1384">
        <f t="shared" si="3"/>
        <v>0</v>
      </c>
      <c r="L22" s="1371"/>
      <c r="M22" s="1"/>
      <c r="N22" s="1372"/>
      <c r="O22" s="1190"/>
      <c r="P22" s="1372"/>
      <c r="Q22" s="1"/>
      <c r="R22" s="1"/>
      <c r="S22" s="1"/>
      <c r="T22" s="1"/>
      <c r="U22" s="1"/>
      <c r="V22" s="1"/>
      <c r="W22" s="1"/>
      <c r="X22" s="1"/>
      <c r="Y22" s="1"/>
      <c r="Z22" s="1"/>
    </row>
    <row r="23" spans="1:26" ht="11.25" customHeight="1">
      <c r="A23" s="1"/>
      <c r="B23" s="1373" t="s">
        <v>1229</v>
      </c>
      <c r="C23" s="1387"/>
      <c r="D23" s="1364"/>
      <c r="E23" s="1376"/>
      <c r="F23" s="1377">
        <v>0.61918625610433442</v>
      </c>
      <c r="G23" s="1376">
        <f t="shared" si="0"/>
        <v>0</v>
      </c>
      <c r="H23" s="1378">
        <v>42.06</v>
      </c>
      <c r="I23" s="1379">
        <v>1</v>
      </c>
      <c r="J23" s="1380">
        <f t="shared" ref="J23:J24" si="7">(G23*1000*H23*I23)/2000</f>
        <v>0</v>
      </c>
      <c r="K23" s="1384">
        <f t="shared" si="3"/>
        <v>0</v>
      </c>
      <c r="L23" s="1371"/>
      <c r="M23" s="1"/>
      <c r="N23" s="1372"/>
      <c r="O23" s="1190"/>
      <c r="P23" s="1372"/>
      <c r="Q23" s="1"/>
      <c r="R23" s="1"/>
      <c r="S23" s="1"/>
      <c r="T23" s="1"/>
      <c r="U23" s="1"/>
      <c r="V23" s="1"/>
      <c r="W23" s="1"/>
      <c r="X23" s="1"/>
      <c r="Y23" s="1"/>
      <c r="Z23" s="1"/>
    </row>
    <row r="24" spans="1:26" ht="11.25" customHeight="1">
      <c r="A24" s="1"/>
      <c r="B24" s="1373" t="s">
        <v>531</v>
      </c>
      <c r="C24" s="1374">
        <v>91</v>
      </c>
      <c r="D24" s="1375">
        <v>1</v>
      </c>
      <c r="E24" s="1376">
        <f>C24*D24</f>
        <v>91</v>
      </c>
      <c r="F24" s="1377">
        <v>0.5</v>
      </c>
      <c r="G24" s="1376">
        <f t="shared" si="0"/>
        <v>45.5</v>
      </c>
      <c r="H24" s="1378">
        <v>45.15</v>
      </c>
      <c r="I24" s="1379">
        <v>1</v>
      </c>
      <c r="J24" s="1380">
        <f t="shared" si="7"/>
        <v>1027.1624999999999</v>
      </c>
      <c r="K24" s="1381">
        <f t="shared" si="3"/>
        <v>3.4176610092624998E-3</v>
      </c>
      <c r="L24" s="1371"/>
      <c r="M24" s="1"/>
      <c r="N24" s="1372"/>
      <c r="O24" s="1190"/>
      <c r="P24" s="1372"/>
      <c r="Q24" s="1"/>
      <c r="R24" s="1"/>
      <c r="S24" s="1"/>
      <c r="T24" s="1"/>
      <c r="U24" s="1"/>
      <c r="V24" s="1"/>
      <c r="W24" s="1"/>
      <c r="X24" s="1"/>
      <c r="Y24" s="1"/>
      <c r="Z24" s="1"/>
    </row>
    <row r="25" spans="1:26" ht="11.25" customHeight="1">
      <c r="A25" s="1"/>
      <c r="B25" s="1373" t="s">
        <v>1230</v>
      </c>
      <c r="C25" s="1383">
        <v>0</v>
      </c>
      <c r="D25" s="1364"/>
      <c r="E25" s="1376">
        <v>0</v>
      </c>
      <c r="F25" s="1377">
        <v>0.7</v>
      </c>
      <c r="G25" s="1376">
        <f t="shared" si="0"/>
        <v>0</v>
      </c>
      <c r="H25" s="1378">
        <v>40.11</v>
      </c>
      <c r="I25" s="1379">
        <v>1</v>
      </c>
      <c r="J25" s="1380">
        <f>G25*H25*I25/2000</f>
        <v>0</v>
      </c>
      <c r="K25" s="1384">
        <f t="shared" si="3"/>
        <v>0</v>
      </c>
      <c r="L25" s="1371"/>
      <c r="M25" s="1"/>
      <c r="N25" s="1372"/>
      <c r="O25" s="1190"/>
      <c r="P25" s="1372"/>
      <c r="Q25" s="1"/>
      <c r="R25" s="1"/>
      <c r="S25" s="1"/>
      <c r="T25" s="1"/>
      <c r="U25" s="1"/>
      <c r="V25" s="1"/>
      <c r="W25" s="1"/>
      <c r="X25" s="1"/>
      <c r="Y25" s="1"/>
      <c r="Z25" s="1"/>
    </row>
    <row r="26" spans="1:26" ht="11.25" customHeight="1">
      <c r="A26" s="1"/>
      <c r="B26" s="1373" t="s">
        <v>1231</v>
      </c>
      <c r="C26" s="1374">
        <v>2795</v>
      </c>
      <c r="D26" s="1375">
        <v>0.94768328836537974</v>
      </c>
      <c r="E26" s="1376">
        <f>C26*D26</f>
        <v>2648.7747909812365</v>
      </c>
      <c r="F26" s="1377">
        <v>0</v>
      </c>
      <c r="G26" s="1376">
        <f t="shared" si="0"/>
        <v>2795</v>
      </c>
      <c r="H26" s="1378">
        <v>43.51</v>
      </c>
      <c r="I26" s="1379">
        <v>1</v>
      </c>
      <c r="J26" s="1380">
        <f>(G26*1000*H26*I26)/2000</f>
        <v>60805.224999999999</v>
      </c>
      <c r="K26" s="1381">
        <f t="shared" si="3"/>
        <v>0.20231623199049165</v>
      </c>
      <c r="L26" s="1371"/>
      <c r="M26" s="1"/>
      <c r="N26" s="1372"/>
      <c r="O26" s="1190"/>
      <c r="P26" s="1372"/>
      <c r="Q26" s="1"/>
      <c r="R26" s="1"/>
      <c r="S26" s="1"/>
      <c r="T26" s="1"/>
      <c r="U26" s="1"/>
      <c r="V26" s="1"/>
      <c r="W26" s="1"/>
      <c r="X26" s="1"/>
      <c r="Y26" s="1"/>
      <c r="Z26" s="1"/>
    </row>
    <row r="27" spans="1:26" ht="11.25" customHeight="1">
      <c r="A27" s="1"/>
      <c r="B27" s="1373" t="s">
        <v>1232</v>
      </c>
      <c r="C27" s="1383">
        <v>0</v>
      </c>
      <c r="D27" s="1364"/>
      <c r="E27" s="1376">
        <v>0</v>
      </c>
      <c r="F27" s="1377">
        <v>0</v>
      </c>
      <c r="G27" s="1376">
        <f t="shared" si="0"/>
        <v>0</v>
      </c>
      <c r="H27" s="1385">
        <v>44.77366188659483</v>
      </c>
      <c r="I27" s="1379">
        <v>1</v>
      </c>
      <c r="J27" s="1380">
        <f>G27*H27*I27/2000</f>
        <v>0</v>
      </c>
      <c r="K27" s="1384">
        <f t="shared" si="3"/>
        <v>0</v>
      </c>
      <c r="L27" s="1371"/>
      <c r="M27" s="1"/>
      <c r="N27" s="1372"/>
      <c r="O27" s="1190"/>
      <c r="P27" s="1372"/>
      <c r="Q27" s="1"/>
      <c r="R27" s="1"/>
      <c r="S27" s="1"/>
      <c r="T27" s="1"/>
      <c r="U27" s="1"/>
      <c r="V27" s="1"/>
      <c r="W27" s="1"/>
      <c r="X27" s="1"/>
      <c r="Y27" s="1"/>
      <c r="Z27" s="1"/>
    </row>
    <row r="28" spans="1:26" ht="11.25" customHeight="1">
      <c r="A28" s="1"/>
      <c r="B28" s="1373" t="s">
        <v>1233</v>
      </c>
      <c r="C28" s="1374">
        <v>100</v>
      </c>
      <c r="D28" s="1375">
        <v>1</v>
      </c>
      <c r="E28" s="1376">
        <f t="shared" ref="E28:E29" si="8">C28*D28</f>
        <v>100</v>
      </c>
      <c r="F28" s="1377">
        <v>0.57999999999999996</v>
      </c>
      <c r="G28" s="1376">
        <f t="shared" si="0"/>
        <v>42.000000000000007</v>
      </c>
      <c r="H28" s="1378">
        <v>43.64</v>
      </c>
      <c r="I28" s="1379">
        <v>1</v>
      </c>
      <c r="J28" s="1380">
        <f t="shared" ref="J28:J29" si="9">(G28*1000*H28*I28)/2000</f>
        <v>916.44000000000017</v>
      </c>
      <c r="K28" s="1381">
        <f t="shared" si="3"/>
        <v>3.0492558434800005E-3</v>
      </c>
      <c r="L28" s="1371"/>
      <c r="M28" s="1"/>
      <c r="N28" s="1372"/>
      <c r="O28" s="1190"/>
      <c r="P28" s="1372"/>
      <c r="Q28" s="1"/>
      <c r="R28" s="1"/>
      <c r="S28" s="1"/>
      <c r="T28" s="1"/>
      <c r="U28" s="1"/>
      <c r="V28" s="1"/>
      <c r="W28" s="1"/>
      <c r="X28" s="1"/>
      <c r="Y28" s="1"/>
      <c r="Z28" s="1"/>
    </row>
    <row r="29" spans="1:26" ht="11.25" customHeight="1">
      <c r="A29" s="1"/>
      <c r="B29" s="1373" t="s">
        <v>456</v>
      </c>
      <c r="C29" s="1374">
        <v>16489</v>
      </c>
      <c r="D29" s="1375">
        <v>3.1036474108728018E-2</v>
      </c>
      <c r="E29" s="1376">
        <f t="shared" si="8"/>
        <v>511.76042157881631</v>
      </c>
      <c r="F29" s="1377">
        <v>0.61918625610433442</v>
      </c>
      <c r="G29" s="1376">
        <f t="shared" si="0"/>
        <v>16172.124980540237</v>
      </c>
      <c r="H29" s="1378">
        <v>31.9</v>
      </c>
      <c r="I29" s="1379">
        <v>1</v>
      </c>
      <c r="J29" s="1380">
        <f t="shared" si="9"/>
        <v>257945.39343961678</v>
      </c>
      <c r="K29" s="1381">
        <f t="shared" si="3"/>
        <v>0.85825749448354405</v>
      </c>
      <c r="L29" s="1371"/>
      <c r="M29" s="1"/>
      <c r="N29" s="1372"/>
      <c r="O29" s="1190"/>
      <c r="P29" s="1372"/>
      <c r="Q29" s="1"/>
      <c r="R29" s="1"/>
      <c r="S29" s="1"/>
      <c r="T29" s="1"/>
      <c r="U29" s="1"/>
      <c r="V29" s="1"/>
      <c r="W29" s="1"/>
      <c r="X29" s="1"/>
      <c r="Y29" s="1"/>
      <c r="Z29" s="1"/>
    </row>
    <row r="30" spans="1:26" ht="11.25" customHeight="1">
      <c r="A30" s="1"/>
      <c r="B30" s="1217" t="s">
        <v>743</v>
      </c>
      <c r="C30" s="1374"/>
      <c r="D30" s="1364"/>
      <c r="E30" s="1387"/>
      <c r="F30" s="1377"/>
      <c r="G30" s="1388"/>
      <c r="H30" s="1378"/>
      <c r="I30" s="1389"/>
      <c r="J30" s="340"/>
      <c r="K30" s="1390"/>
      <c r="L30" s="1371"/>
      <c r="M30" s="1"/>
      <c r="N30" s="1372"/>
      <c r="O30" s="1190"/>
      <c r="P30" s="1372"/>
      <c r="Q30" s="1"/>
      <c r="R30" s="1"/>
      <c r="S30" s="1"/>
      <c r="T30" s="1"/>
      <c r="U30" s="1"/>
      <c r="V30" s="1"/>
      <c r="W30" s="1"/>
      <c r="X30" s="1"/>
      <c r="Y30" s="1"/>
      <c r="Z30" s="1"/>
    </row>
    <row r="31" spans="1:26" ht="11.25" customHeight="1">
      <c r="A31" s="1"/>
      <c r="B31" s="1391"/>
      <c r="C31" s="856"/>
      <c r="D31" s="1392"/>
      <c r="E31" s="856"/>
      <c r="F31" s="856"/>
      <c r="G31" s="856"/>
      <c r="H31" s="856"/>
      <c r="I31" s="1393" t="s">
        <v>88</v>
      </c>
      <c r="J31" s="1394">
        <f t="shared" ref="J31:K31" si="10">SUM(J8:J29)</f>
        <v>887683.89995459851</v>
      </c>
      <c r="K31" s="1395">
        <f t="shared" si="10"/>
        <v>2.9535761414819035</v>
      </c>
      <c r="L31" s="136"/>
      <c r="M31" s="136"/>
      <c r="N31" s="136"/>
      <c r="O31" s="136"/>
      <c r="P31" s="136"/>
      <c r="Q31" s="1"/>
      <c r="R31" s="1"/>
      <c r="S31" s="1"/>
      <c r="T31" s="1"/>
      <c r="U31" s="1"/>
      <c r="V31" s="1"/>
      <c r="W31" s="1"/>
      <c r="X31" s="1"/>
      <c r="Y31" s="1"/>
      <c r="Z31" s="1"/>
    </row>
    <row r="32" spans="1:26" ht="11.25" customHeight="1">
      <c r="A32" s="1"/>
      <c r="B32" s="582"/>
      <c r="C32" s="583"/>
      <c r="D32" s="412"/>
      <c r="E32" s="583"/>
      <c r="F32" s="583"/>
      <c r="G32" s="583"/>
      <c r="H32" s="583"/>
      <c r="I32" s="412"/>
      <c r="J32" s="412"/>
      <c r="K32" s="413"/>
      <c r="L32" s="1"/>
      <c r="M32" s="1"/>
      <c r="N32" s="1"/>
      <c r="O32" s="1"/>
      <c r="P32" s="1"/>
      <c r="Q32" s="1"/>
      <c r="R32" s="1"/>
      <c r="S32" s="1"/>
      <c r="T32" s="1"/>
      <c r="U32" s="1"/>
      <c r="V32" s="1"/>
      <c r="W32" s="1"/>
      <c r="X32" s="1"/>
      <c r="Y32" s="1"/>
      <c r="Z32" s="1"/>
    </row>
    <row r="33" spans="1:26" ht="11.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1.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1.25" customHeight="1">
      <c r="A35" s="1"/>
      <c r="B35" s="1396" t="s">
        <v>1234</v>
      </c>
      <c r="C35" s="1347"/>
      <c r="D35" s="1347"/>
      <c r="E35" s="1346">
        <v>2017</v>
      </c>
      <c r="F35" s="136"/>
      <c r="G35" s="136"/>
      <c r="H35" s="136"/>
      <c r="I35" s="136"/>
      <c r="J35" s="136"/>
      <c r="K35" s="136"/>
      <c r="L35" s="136"/>
      <c r="M35" s="136"/>
      <c r="N35" s="136"/>
      <c r="O35" s="1"/>
      <c r="P35" s="1"/>
      <c r="Q35" s="1"/>
      <c r="R35" s="1"/>
      <c r="S35" s="1"/>
      <c r="T35" s="1"/>
      <c r="U35" s="1"/>
      <c r="V35" s="1"/>
      <c r="W35" s="1"/>
      <c r="X35" s="1"/>
      <c r="Y35" s="1"/>
      <c r="Z35" s="1"/>
    </row>
    <row r="36" spans="1:26" ht="11.25" customHeight="1">
      <c r="A36" s="1"/>
      <c r="B36" s="1397"/>
      <c r="C36" s="1349" t="s">
        <v>562</v>
      </c>
      <c r="D36" s="1349" t="s">
        <v>1215</v>
      </c>
      <c r="E36" s="1349" t="s">
        <v>1159</v>
      </c>
      <c r="F36" s="1350"/>
      <c r="G36" s="1350"/>
      <c r="H36" s="1350"/>
      <c r="I36" s="1351"/>
      <c r="J36" s="136"/>
      <c r="K36" s="136"/>
      <c r="L36" s="136"/>
      <c r="M36" s="136"/>
      <c r="N36" s="136"/>
      <c r="O36" s="1"/>
      <c r="P36" s="1"/>
      <c r="Q36" s="1"/>
      <c r="R36" s="1"/>
      <c r="S36" s="1"/>
      <c r="T36" s="1"/>
      <c r="U36" s="1"/>
      <c r="V36" s="1"/>
      <c r="W36" s="1"/>
      <c r="X36" s="1"/>
      <c r="Y36" s="1"/>
      <c r="Z36" s="1"/>
    </row>
    <row r="37" spans="1:26" ht="11.25" customHeight="1">
      <c r="A37" s="1"/>
      <c r="B37" s="1398"/>
      <c r="C37" s="1353" t="s">
        <v>519</v>
      </c>
      <c r="D37" s="1353" t="s">
        <v>1216</v>
      </c>
      <c r="E37" s="1353" t="s">
        <v>519</v>
      </c>
      <c r="F37" s="1355" t="s">
        <v>1124</v>
      </c>
      <c r="G37" s="1355" t="s">
        <v>545</v>
      </c>
      <c r="H37" s="1353" t="s">
        <v>537</v>
      </c>
      <c r="I37" s="1356" t="s">
        <v>536</v>
      </c>
      <c r="J37" s="136"/>
      <c r="K37" s="1357"/>
      <c r="L37" s="136"/>
      <c r="M37" s="1357"/>
      <c r="N37" s="136"/>
      <c r="O37" s="1"/>
      <c r="P37" s="1"/>
      <c r="Q37" s="1"/>
      <c r="R37" s="1"/>
      <c r="S37" s="1"/>
      <c r="T37" s="1"/>
      <c r="U37" s="1"/>
      <c r="V37" s="1"/>
      <c r="W37" s="1"/>
      <c r="X37" s="1"/>
      <c r="Y37" s="1"/>
      <c r="Z37" s="1"/>
    </row>
    <row r="38" spans="1:26" ht="11.25" customHeight="1">
      <c r="A38" s="1"/>
      <c r="B38" s="1399" t="s">
        <v>177</v>
      </c>
      <c r="C38" s="1359" t="s">
        <v>538</v>
      </c>
      <c r="D38" s="1359" t="s">
        <v>1217</v>
      </c>
      <c r="E38" s="1359" t="s">
        <v>538</v>
      </c>
      <c r="F38" s="1400" t="s">
        <v>1235</v>
      </c>
      <c r="G38" s="1400" t="s">
        <v>1236</v>
      </c>
      <c r="H38" s="1359"/>
      <c r="I38" s="1360" t="s">
        <v>1237</v>
      </c>
      <c r="J38" s="136"/>
      <c r="K38" s="1361"/>
      <c r="L38" s="136"/>
      <c r="M38" s="1357"/>
      <c r="N38" s="136"/>
      <c r="O38" s="1"/>
      <c r="P38" s="1"/>
      <c r="Q38" s="1"/>
      <c r="R38" s="1"/>
      <c r="S38" s="1"/>
      <c r="T38" s="1"/>
      <c r="U38" s="1"/>
      <c r="V38" s="1"/>
      <c r="W38" s="1"/>
      <c r="X38" s="1"/>
      <c r="Y38" s="1"/>
      <c r="Z38" s="1"/>
    </row>
    <row r="39" spans="1:26" ht="11.25" customHeight="1">
      <c r="A39" s="1"/>
      <c r="B39" s="1362" t="s">
        <v>1219</v>
      </c>
      <c r="C39" s="1363">
        <v>0</v>
      </c>
      <c r="D39" s="1364"/>
      <c r="E39" s="1401">
        <v>0</v>
      </c>
      <c r="F39" s="1402">
        <v>1.5034545899835E-3</v>
      </c>
      <c r="G39" s="1403">
        <f t="shared" ref="G39:G60" si="11">(C39-E39)*F39</f>
        <v>0</v>
      </c>
      <c r="H39" s="1404">
        <f t="shared" ref="H39:H61" si="12">$Q$14</f>
        <v>265</v>
      </c>
      <c r="I39" s="1405">
        <f t="shared" ref="I39:I61" si="13">G39*H39/1000000</f>
        <v>0</v>
      </c>
      <c r="J39" s="1372"/>
      <c r="K39" s="1190"/>
      <c r="L39" s="1372"/>
      <c r="M39" s="1190"/>
      <c r="N39" s="136"/>
      <c r="O39" s="1"/>
      <c r="P39" s="1"/>
      <c r="Q39" s="1"/>
      <c r="R39" s="1"/>
      <c r="S39" s="1"/>
      <c r="T39" s="1"/>
      <c r="U39" s="1"/>
      <c r="V39" s="1"/>
      <c r="W39" s="1"/>
      <c r="X39" s="1"/>
      <c r="Y39" s="1"/>
      <c r="Z39" s="1"/>
    </row>
    <row r="40" spans="1:26" ht="11.25" customHeight="1">
      <c r="A40" s="1"/>
      <c r="B40" s="1373" t="s">
        <v>1220</v>
      </c>
      <c r="C40" s="1374">
        <v>12275</v>
      </c>
      <c r="D40" s="1375">
        <v>1.6386862395834579E-2</v>
      </c>
      <c r="E40" s="1406">
        <f t="shared" ref="E40:E41" si="14">C40*D40</f>
        <v>201.14873590886947</v>
      </c>
      <c r="F40" s="1407">
        <v>1.5034545899835E-3</v>
      </c>
      <c r="G40" s="1408">
        <f t="shared" si="11"/>
        <v>18.152487101775893</v>
      </c>
      <c r="H40" s="1387">
        <f t="shared" si="12"/>
        <v>265</v>
      </c>
      <c r="I40" s="1409">
        <f t="shared" si="13"/>
        <v>4.8104090819706116E-3</v>
      </c>
      <c r="J40" s="1372"/>
      <c r="K40" s="1190"/>
      <c r="L40" s="1372"/>
      <c r="M40" s="1190"/>
      <c r="N40" s="136"/>
      <c r="O40" s="1"/>
      <c r="P40" s="1"/>
      <c r="Q40" s="1"/>
      <c r="R40" s="1"/>
      <c r="S40" s="1"/>
      <c r="T40" s="1"/>
      <c r="U40" s="1"/>
      <c r="V40" s="1"/>
      <c r="W40" s="1"/>
      <c r="X40" s="1"/>
      <c r="Y40" s="1"/>
      <c r="Z40" s="1"/>
    </row>
    <row r="41" spans="1:26" ht="11.25" customHeight="1">
      <c r="A41" s="1"/>
      <c r="B41" s="1373" t="s">
        <v>1221</v>
      </c>
      <c r="C41" s="1374">
        <v>16869</v>
      </c>
      <c r="D41" s="1375">
        <v>1</v>
      </c>
      <c r="E41" s="1406">
        <f t="shared" si="14"/>
        <v>16869</v>
      </c>
      <c r="F41" s="1407">
        <v>6.0138183599339984E-4</v>
      </c>
      <c r="G41" s="1408">
        <f t="shared" si="11"/>
        <v>0</v>
      </c>
      <c r="H41" s="1387">
        <f t="shared" si="12"/>
        <v>265</v>
      </c>
      <c r="I41" s="1409">
        <f t="shared" si="13"/>
        <v>0</v>
      </c>
      <c r="J41" s="1372"/>
      <c r="K41" s="1190"/>
      <c r="L41" s="1372"/>
      <c r="M41" s="1190"/>
      <c r="N41" s="136"/>
      <c r="O41" s="1"/>
      <c r="P41" s="1"/>
      <c r="Q41" s="1"/>
      <c r="R41" s="1"/>
      <c r="S41" s="1"/>
      <c r="T41" s="1"/>
      <c r="U41" s="1"/>
      <c r="V41" s="1"/>
      <c r="W41" s="1"/>
      <c r="X41" s="1"/>
      <c r="Y41" s="1"/>
      <c r="Z41" s="1"/>
    </row>
    <row r="42" spans="1:26" ht="11.25" customHeight="1">
      <c r="A42" s="1"/>
      <c r="B42" s="1382" t="s">
        <v>1222</v>
      </c>
      <c r="C42" s="1383">
        <v>0</v>
      </c>
      <c r="D42" s="1364"/>
      <c r="E42" s="1406">
        <v>0</v>
      </c>
      <c r="F42" s="1407">
        <v>6.0138183599339984E-4</v>
      </c>
      <c r="G42" s="1408">
        <f t="shared" si="11"/>
        <v>0</v>
      </c>
      <c r="H42" s="1387">
        <f t="shared" si="12"/>
        <v>265</v>
      </c>
      <c r="I42" s="1409">
        <f t="shared" si="13"/>
        <v>0</v>
      </c>
      <c r="J42" s="1372"/>
      <c r="K42" s="1190"/>
      <c r="L42" s="1372"/>
      <c r="M42" s="1190"/>
      <c r="N42" s="136"/>
      <c r="O42" s="1"/>
      <c r="P42" s="1"/>
      <c r="Q42" s="1"/>
      <c r="R42" s="1"/>
      <c r="S42" s="1"/>
      <c r="T42" s="1"/>
      <c r="U42" s="1"/>
      <c r="V42" s="1"/>
      <c r="W42" s="1"/>
      <c r="X42" s="1"/>
      <c r="Y42" s="1"/>
      <c r="Z42" s="1"/>
    </row>
    <row r="43" spans="1:26" ht="11.25" customHeight="1">
      <c r="A43" s="1"/>
      <c r="B43" s="1382" t="s">
        <v>1223</v>
      </c>
      <c r="C43" s="1383">
        <v>0</v>
      </c>
      <c r="D43" s="1364"/>
      <c r="E43" s="1406">
        <v>0</v>
      </c>
      <c r="F43" s="1407">
        <v>6.0138183599339984E-4</v>
      </c>
      <c r="G43" s="1408">
        <f t="shared" si="11"/>
        <v>0</v>
      </c>
      <c r="H43" s="1387">
        <f t="shared" si="12"/>
        <v>265</v>
      </c>
      <c r="I43" s="1409">
        <f t="shared" si="13"/>
        <v>0</v>
      </c>
      <c r="J43" s="1372"/>
      <c r="K43" s="1190"/>
      <c r="L43" s="1372"/>
      <c r="M43" s="1190"/>
      <c r="N43" s="136"/>
      <c r="O43" s="1"/>
      <c r="P43" s="1"/>
      <c r="Q43" s="1"/>
      <c r="R43" s="1"/>
      <c r="S43" s="1"/>
      <c r="T43" s="1"/>
      <c r="U43" s="1"/>
      <c r="V43" s="1"/>
      <c r="W43" s="1"/>
      <c r="X43" s="1"/>
      <c r="Y43" s="1"/>
      <c r="Z43" s="1"/>
    </row>
    <row r="44" spans="1:26" ht="11.25" customHeight="1">
      <c r="A44" s="1"/>
      <c r="B44" s="1373" t="s">
        <v>529</v>
      </c>
      <c r="C44" s="1374">
        <v>5309</v>
      </c>
      <c r="D44" s="1375">
        <v>5.9993813799243175E-3</v>
      </c>
      <c r="E44" s="1406">
        <f>C44*D44</f>
        <v>31.850715746018203</v>
      </c>
      <c r="F44" s="1407">
        <v>6.0138183599339984E-4</v>
      </c>
      <c r="G44" s="1408">
        <f t="shared" si="11"/>
        <v>3.1735817253759153</v>
      </c>
      <c r="H44" s="1387">
        <f t="shared" si="12"/>
        <v>265</v>
      </c>
      <c r="I44" s="1409">
        <f t="shared" si="13"/>
        <v>8.4099915722461748E-4</v>
      </c>
      <c r="J44" s="1372"/>
      <c r="K44" s="1190"/>
      <c r="L44" s="1372"/>
      <c r="M44" s="1190"/>
      <c r="N44" s="136"/>
      <c r="O44" s="1"/>
      <c r="P44" s="1"/>
      <c r="Q44" s="1"/>
      <c r="R44" s="1"/>
      <c r="S44" s="1"/>
      <c r="T44" s="1"/>
      <c r="U44" s="1"/>
      <c r="V44" s="1"/>
      <c r="W44" s="1"/>
      <c r="X44" s="1"/>
      <c r="Y44" s="1"/>
      <c r="Z44" s="1"/>
    </row>
    <row r="45" spans="1:26" ht="11.25" customHeight="1">
      <c r="A45" s="1"/>
      <c r="B45" s="1382" t="s">
        <v>1224</v>
      </c>
      <c r="C45" s="1386">
        <v>0</v>
      </c>
      <c r="D45" s="1364"/>
      <c r="E45" s="1406"/>
      <c r="F45" s="1407">
        <v>6.0138183599339984E-4</v>
      </c>
      <c r="G45" s="1408">
        <f t="shared" si="11"/>
        <v>0</v>
      </c>
      <c r="H45" s="1387">
        <f t="shared" si="12"/>
        <v>265</v>
      </c>
      <c r="I45" s="1409">
        <f t="shared" si="13"/>
        <v>0</v>
      </c>
      <c r="J45" s="1372"/>
      <c r="K45" s="1190"/>
      <c r="L45" s="1372"/>
      <c r="M45" s="1190"/>
      <c r="N45" s="136"/>
      <c r="O45" s="1"/>
      <c r="P45" s="1"/>
      <c r="Q45" s="1"/>
      <c r="R45" s="1"/>
      <c r="S45" s="1"/>
      <c r="T45" s="1"/>
      <c r="U45" s="1"/>
      <c r="V45" s="1"/>
      <c r="W45" s="1"/>
      <c r="X45" s="1"/>
      <c r="Y45" s="1"/>
      <c r="Z45" s="1"/>
    </row>
    <row r="46" spans="1:26" ht="15.75" customHeight="1">
      <c r="A46" s="1"/>
      <c r="B46" s="1382" t="s">
        <v>1225</v>
      </c>
      <c r="C46" s="1386">
        <v>0</v>
      </c>
      <c r="D46" s="1364"/>
      <c r="E46" s="1406"/>
      <c r="F46" s="1407">
        <v>6.0138183599339984E-4</v>
      </c>
      <c r="G46" s="1408">
        <f t="shared" si="11"/>
        <v>0</v>
      </c>
      <c r="H46" s="1387">
        <f t="shared" si="12"/>
        <v>265</v>
      </c>
      <c r="I46" s="1409">
        <f t="shared" si="13"/>
        <v>0</v>
      </c>
      <c r="J46" s="1372"/>
      <c r="K46" s="1190"/>
      <c r="L46" s="1372"/>
      <c r="M46" s="1190"/>
      <c r="N46" s="136"/>
      <c r="O46" s="1"/>
      <c r="P46" s="1"/>
      <c r="Q46" s="1"/>
      <c r="R46" s="1"/>
      <c r="S46" s="1"/>
      <c r="T46" s="1"/>
      <c r="U46" s="1"/>
      <c r="V46" s="1"/>
      <c r="W46" s="1"/>
      <c r="X46" s="1"/>
      <c r="Y46" s="1"/>
      <c r="Z46" s="1"/>
    </row>
    <row r="47" spans="1:26" ht="11.25" customHeight="1">
      <c r="A47" s="1"/>
      <c r="B47" s="1373" t="s">
        <v>661</v>
      </c>
      <c r="C47" s="1374">
        <v>7</v>
      </c>
      <c r="D47" s="1375">
        <v>1</v>
      </c>
      <c r="E47" s="1406">
        <f t="shared" ref="E47:E50" si="15">C47*D47</f>
        <v>7</v>
      </c>
      <c r="F47" s="1407">
        <v>6.0138183599339984E-4</v>
      </c>
      <c r="G47" s="1408">
        <f t="shared" si="11"/>
        <v>0</v>
      </c>
      <c r="H47" s="1387">
        <f t="shared" si="12"/>
        <v>265</v>
      </c>
      <c r="I47" s="1409">
        <f t="shared" si="13"/>
        <v>0</v>
      </c>
      <c r="J47" s="1372"/>
      <c r="K47" s="1190"/>
      <c r="L47" s="1372"/>
      <c r="M47" s="1190"/>
      <c r="N47" s="136"/>
      <c r="O47" s="1"/>
      <c r="P47" s="1"/>
      <c r="Q47" s="1"/>
      <c r="R47" s="1"/>
      <c r="S47" s="1"/>
      <c r="T47" s="1"/>
      <c r="U47" s="1"/>
      <c r="V47" s="1"/>
      <c r="W47" s="1"/>
      <c r="X47" s="1"/>
      <c r="Y47" s="1"/>
      <c r="Z47" s="1"/>
    </row>
    <row r="48" spans="1:26" ht="11.25" customHeight="1">
      <c r="A48" s="1"/>
      <c r="B48" s="1373" t="s">
        <v>944</v>
      </c>
      <c r="C48" s="1374">
        <v>1486</v>
      </c>
      <c r="D48" s="1375">
        <v>0.82377689762912898</v>
      </c>
      <c r="E48" s="1406">
        <f t="shared" si="15"/>
        <v>1224.1324698768856</v>
      </c>
      <c r="F48" s="1407">
        <v>6.0138183599339984E-4</v>
      </c>
      <c r="G48" s="1408">
        <f t="shared" si="11"/>
        <v>0.15748237605249549</v>
      </c>
      <c r="H48" s="1387">
        <f t="shared" si="12"/>
        <v>265</v>
      </c>
      <c r="I48" s="1409">
        <f t="shared" si="13"/>
        <v>4.1732829653911299E-5</v>
      </c>
      <c r="J48" s="1372"/>
      <c r="K48" s="1190"/>
      <c r="L48" s="1372"/>
      <c r="M48" s="1190"/>
      <c r="N48" s="136"/>
      <c r="O48" s="1"/>
      <c r="P48" s="1"/>
      <c r="Q48" s="1"/>
      <c r="R48" s="1"/>
      <c r="S48" s="1"/>
      <c r="T48" s="1"/>
      <c r="U48" s="1"/>
      <c r="V48" s="1"/>
      <c r="W48" s="1"/>
      <c r="X48" s="1"/>
      <c r="Y48" s="1"/>
      <c r="Z48" s="1"/>
    </row>
    <row r="49" spans="1:26" ht="11.25" customHeight="1">
      <c r="A49" s="1"/>
      <c r="B49" s="1373" t="s">
        <v>1163</v>
      </c>
      <c r="C49" s="1374">
        <v>946</v>
      </c>
      <c r="D49" s="1375">
        <v>1</v>
      </c>
      <c r="E49" s="1406">
        <f t="shared" si="15"/>
        <v>946</v>
      </c>
      <c r="F49" s="1407">
        <v>6.0138183599339984E-4</v>
      </c>
      <c r="G49" s="1408">
        <f t="shared" si="11"/>
        <v>0</v>
      </c>
      <c r="H49" s="1387">
        <f t="shared" si="12"/>
        <v>265</v>
      </c>
      <c r="I49" s="1409">
        <f t="shared" si="13"/>
        <v>0</v>
      </c>
      <c r="J49" s="1372"/>
      <c r="K49" s="1190"/>
      <c r="L49" s="1372"/>
      <c r="M49" s="1190"/>
      <c r="N49" s="136"/>
      <c r="O49" s="1"/>
      <c r="P49" s="1"/>
      <c r="Q49" s="1"/>
      <c r="R49" s="1"/>
      <c r="S49" s="1"/>
      <c r="T49" s="1"/>
      <c r="U49" s="1"/>
      <c r="V49" s="1"/>
      <c r="W49" s="1"/>
      <c r="X49" s="1"/>
      <c r="Y49" s="1"/>
      <c r="Z49" s="1"/>
    </row>
    <row r="50" spans="1:26" ht="11.25" customHeight="1">
      <c r="A50" s="1"/>
      <c r="B50" s="1373" t="s">
        <v>1197</v>
      </c>
      <c r="C50" s="1374">
        <v>2865</v>
      </c>
      <c r="D50" s="1375">
        <v>1</v>
      </c>
      <c r="E50" s="1406">
        <f t="shared" si="15"/>
        <v>2865</v>
      </c>
      <c r="F50" s="1407">
        <v>6.0138183599339984E-4</v>
      </c>
      <c r="G50" s="1408">
        <f t="shared" si="11"/>
        <v>0</v>
      </c>
      <c r="H50" s="1387">
        <f t="shared" si="12"/>
        <v>265</v>
      </c>
      <c r="I50" s="1409">
        <f t="shared" si="13"/>
        <v>0</v>
      </c>
      <c r="J50" s="1372"/>
      <c r="K50" s="1190"/>
      <c r="L50" s="1372"/>
      <c r="M50" s="1190"/>
      <c r="N50" s="136"/>
      <c r="O50" s="1"/>
      <c r="P50" s="1"/>
      <c r="Q50" s="1"/>
      <c r="R50" s="1"/>
      <c r="S50" s="1"/>
      <c r="T50" s="1"/>
      <c r="U50" s="1"/>
      <c r="V50" s="1"/>
      <c r="W50" s="1"/>
      <c r="X50" s="1"/>
      <c r="Y50" s="1"/>
      <c r="Z50" s="1"/>
    </row>
    <row r="51" spans="1:26" ht="11.25" customHeight="1">
      <c r="A51" s="1"/>
      <c r="B51" s="1382" t="s">
        <v>1226</v>
      </c>
      <c r="C51" s="1383">
        <v>0</v>
      </c>
      <c r="D51" s="1364"/>
      <c r="E51" s="1406">
        <v>0</v>
      </c>
      <c r="F51" s="1407">
        <v>6.0138183599339984E-4</v>
      </c>
      <c r="G51" s="1408">
        <f t="shared" si="11"/>
        <v>0</v>
      </c>
      <c r="H51" s="1387">
        <f t="shared" si="12"/>
        <v>265</v>
      </c>
      <c r="I51" s="1409">
        <f t="shared" si="13"/>
        <v>0</v>
      </c>
      <c r="J51" s="1372"/>
      <c r="K51" s="1190"/>
      <c r="L51" s="1372"/>
      <c r="M51" s="1190"/>
      <c r="N51" s="136"/>
      <c r="O51" s="1"/>
      <c r="P51" s="1"/>
      <c r="Q51" s="1"/>
      <c r="R51" s="1"/>
      <c r="S51" s="1"/>
      <c r="T51" s="1"/>
      <c r="U51" s="1"/>
      <c r="V51" s="1"/>
      <c r="W51" s="1"/>
      <c r="X51" s="1"/>
      <c r="Y51" s="1"/>
      <c r="Z51" s="1"/>
    </row>
    <row r="52" spans="1:26" ht="11.25" customHeight="1">
      <c r="A52" s="1"/>
      <c r="B52" s="1373" t="s">
        <v>1227</v>
      </c>
      <c r="C52" s="1374">
        <v>293</v>
      </c>
      <c r="D52" s="1375">
        <v>1</v>
      </c>
      <c r="E52" s="1406">
        <f>C52*D52</f>
        <v>293</v>
      </c>
      <c r="F52" s="1407">
        <v>6.0138183599339984E-4</v>
      </c>
      <c r="G52" s="1408">
        <f t="shared" si="11"/>
        <v>0</v>
      </c>
      <c r="H52" s="1387">
        <f t="shared" si="12"/>
        <v>265</v>
      </c>
      <c r="I52" s="1409">
        <f t="shared" si="13"/>
        <v>0</v>
      </c>
      <c r="J52" s="1372"/>
      <c r="K52" s="1190"/>
      <c r="L52" s="1372"/>
      <c r="M52" s="1190"/>
      <c r="N52" s="136"/>
      <c r="O52" s="1"/>
      <c r="P52" s="1"/>
      <c r="Q52" s="1"/>
      <c r="R52" s="1"/>
      <c r="S52" s="1"/>
      <c r="T52" s="1"/>
      <c r="U52" s="1"/>
      <c r="V52" s="1"/>
      <c r="W52" s="1"/>
      <c r="X52" s="1"/>
      <c r="Y52" s="1"/>
      <c r="Z52" s="1"/>
    </row>
    <row r="53" spans="1:26" ht="11.25" customHeight="1">
      <c r="A53" s="1"/>
      <c r="B53" s="1373" t="s">
        <v>1228</v>
      </c>
      <c r="C53" s="1383">
        <v>0</v>
      </c>
      <c r="D53" s="1364"/>
      <c r="E53" s="1406">
        <v>0</v>
      </c>
      <c r="F53" s="1407">
        <v>6.0138183599339984E-4</v>
      </c>
      <c r="G53" s="1408">
        <f t="shared" si="11"/>
        <v>0</v>
      </c>
      <c r="H53" s="1387">
        <f t="shared" si="12"/>
        <v>265</v>
      </c>
      <c r="I53" s="1409">
        <f t="shared" si="13"/>
        <v>0</v>
      </c>
      <c r="J53" s="1372"/>
      <c r="K53" s="1190"/>
      <c r="L53" s="1372"/>
      <c r="M53" s="1190"/>
      <c r="N53" s="136"/>
      <c r="O53" s="1"/>
      <c r="P53" s="1"/>
      <c r="Q53" s="1"/>
      <c r="R53" s="1"/>
      <c r="S53" s="1"/>
      <c r="T53" s="1"/>
      <c r="U53" s="1"/>
      <c r="V53" s="1"/>
      <c r="W53" s="1"/>
      <c r="X53" s="1"/>
      <c r="Y53" s="1"/>
      <c r="Z53" s="1"/>
    </row>
    <row r="54" spans="1:26" ht="11.25" customHeight="1">
      <c r="A54" s="1"/>
      <c r="B54" s="1373" t="s">
        <v>1229</v>
      </c>
      <c r="C54" s="1387"/>
      <c r="D54" s="1364"/>
      <c r="E54" s="1406"/>
      <c r="F54" s="1407">
        <v>6.0138183599339984E-4</v>
      </c>
      <c r="G54" s="1408">
        <f t="shared" si="11"/>
        <v>0</v>
      </c>
      <c r="H54" s="1387">
        <f t="shared" si="12"/>
        <v>265</v>
      </c>
      <c r="I54" s="1409">
        <f t="shared" si="13"/>
        <v>0</v>
      </c>
      <c r="J54" s="1372"/>
      <c r="K54" s="1190"/>
      <c r="L54" s="1372"/>
      <c r="M54" s="1190"/>
      <c r="N54" s="136"/>
      <c r="O54" s="1"/>
      <c r="P54" s="1"/>
      <c r="Q54" s="1"/>
      <c r="R54" s="1"/>
      <c r="S54" s="1"/>
      <c r="T54" s="1"/>
      <c r="U54" s="1"/>
      <c r="V54" s="1"/>
      <c r="W54" s="1"/>
      <c r="X54" s="1"/>
      <c r="Y54" s="1"/>
      <c r="Z54" s="1"/>
    </row>
    <row r="55" spans="1:26" ht="11.25" customHeight="1">
      <c r="A55" s="1"/>
      <c r="B55" s="1373" t="s">
        <v>531</v>
      </c>
      <c r="C55" s="1374">
        <v>91</v>
      </c>
      <c r="D55" s="1375">
        <v>1</v>
      </c>
      <c r="E55" s="1406">
        <f>C55*D55</f>
        <v>91</v>
      </c>
      <c r="F55" s="1407">
        <v>6.0138183599339984E-4</v>
      </c>
      <c r="G55" s="1408">
        <f t="shared" si="11"/>
        <v>0</v>
      </c>
      <c r="H55" s="1387">
        <f t="shared" si="12"/>
        <v>265</v>
      </c>
      <c r="I55" s="1409">
        <f t="shared" si="13"/>
        <v>0</v>
      </c>
      <c r="J55" s="1372"/>
      <c r="K55" s="1190"/>
      <c r="L55" s="1372"/>
      <c r="M55" s="1190"/>
      <c r="N55" s="136"/>
      <c r="O55" s="1"/>
      <c r="P55" s="1"/>
      <c r="Q55" s="1"/>
      <c r="R55" s="1"/>
      <c r="S55" s="1"/>
      <c r="T55" s="1"/>
      <c r="U55" s="1"/>
      <c r="V55" s="1"/>
      <c r="W55" s="1"/>
      <c r="X55" s="1"/>
      <c r="Y55" s="1"/>
      <c r="Z55" s="1"/>
    </row>
    <row r="56" spans="1:26" ht="11.25" customHeight="1">
      <c r="A56" s="1"/>
      <c r="B56" s="1373" t="s">
        <v>1230</v>
      </c>
      <c r="C56" s="1383">
        <v>0</v>
      </c>
      <c r="D56" s="1364"/>
      <c r="E56" s="1406">
        <v>0</v>
      </c>
      <c r="F56" s="1407">
        <v>6.0138183599339984E-4</v>
      </c>
      <c r="G56" s="1408">
        <f t="shared" si="11"/>
        <v>0</v>
      </c>
      <c r="H56" s="1387">
        <f t="shared" si="12"/>
        <v>265</v>
      </c>
      <c r="I56" s="1409">
        <f t="shared" si="13"/>
        <v>0</v>
      </c>
      <c r="J56" s="1372"/>
      <c r="K56" s="1190"/>
      <c r="L56" s="1372"/>
      <c r="M56" s="1190"/>
      <c r="N56" s="136"/>
      <c r="O56" s="1"/>
      <c r="P56" s="1"/>
      <c r="Q56" s="1"/>
      <c r="R56" s="1"/>
      <c r="S56" s="1"/>
      <c r="T56" s="1"/>
      <c r="U56" s="1"/>
      <c r="V56" s="1"/>
      <c r="W56" s="1"/>
      <c r="X56" s="1"/>
      <c r="Y56" s="1"/>
      <c r="Z56" s="1"/>
    </row>
    <row r="57" spans="1:26" ht="11.25" customHeight="1">
      <c r="A57" s="1"/>
      <c r="B57" s="1373" t="s">
        <v>1231</v>
      </c>
      <c r="C57" s="1374">
        <v>2795</v>
      </c>
      <c r="D57" s="1375">
        <v>0.94768328836537974</v>
      </c>
      <c r="E57" s="1406">
        <f>C57*D57</f>
        <v>2648.7747909812365</v>
      </c>
      <c r="F57" s="1407">
        <v>6.0138183599339984E-4</v>
      </c>
      <c r="G57" s="1408">
        <f t="shared" si="11"/>
        <v>8.7937184668222645E-2</v>
      </c>
      <c r="H57" s="1387">
        <f t="shared" si="12"/>
        <v>265</v>
      </c>
      <c r="I57" s="1409">
        <f t="shared" si="13"/>
        <v>2.3303353937079003E-5</v>
      </c>
      <c r="J57" s="1372"/>
      <c r="K57" s="1190"/>
      <c r="L57" s="1372"/>
      <c r="M57" s="1190"/>
      <c r="N57" s="136"/>
      <c r="O57" s="1"/>
      <c r="P57" s="1"/>
      <c r="Q57" s="1"/>
      <c r="R57" s="1"/>
      <c r="S57" s="1"/>
      <c r="T57" s="1"/>
      <c r="U57" s="1"/>
      <c r="V57" s="1"/>
      <c r="W57" s="1"/>
      <c r="X57" s="1"/>
      <c r="Y57" s="1"/>
      <c r="Z57" s="1"/>
    </row>
    <row r="58" spans="1:26" ht="11.25" customHeight="1">
      <c r="A58" s="1"/>
      <c r="B58" s="1373" t="s">
        <v>1232</v>
      </c>
      <c r="C58" s="1383">
        <v>0</v>
      </c>
      <c r="D58" s="1364"/>
      <c r="E58" s="1406">
        <v>0</v>
      </c>
      <c r="F58" s="1407">
        <v>6.0138183599339984E-4</v>
      </c>
      <c r="G58" s="1408">
        <f t="shared" si="11"/>
        <v>0</v>
      </c>
      <c r="H58" s="1387">
        <f t="shared" si="12"/>
        <v>265</v>
      </c>
      <c r="I58" s="1409">
        <f t="shared" si="13"/>
        <v>0</v>
      </c>
      <c r="J58" s="1372"/>
      <c r="K58" s="1190"/>
      <c r="L58" s="1372"/>
      <c r="M58" s="1190"/>
      <c r="N58" s="136"/>
      <c r="O58" s="1"/>
      <c r="P58" s="1"/>
      <c r="Q58" s="1"/>
      <c r="R58" s="1"/>
      <c r="S58" s="1"/>
      <c r="T58" s="1"/>
      <c r="U58" s="1"/>
      <c r="V58" s="1"/>
      <c r="W58" s="1"/>
      <c r="X58" s="1"/>
      <c r="Y58" s="1"/>
      <c r="Z58" s="1"/>
    </row>
    <row r="59" spans="1:26" ht="11.25" customHeight="1">
      <c r="A59" s="1"/>
      <c r="B59" s="1373" t="s">
        <v>1233</v>
      </c>
      <c r="C59" s="1374">
        <v>100</v>
      </c>
      <c r="D59" s="1375">
        <v>1</v>
      </c>
      <c r="E59" s="1406">
        <f t="shared" ref="E59:E60" si="16">C59*D59</f>
        <v>100</v>
      </c>
      <c r="F59" s="1407">
        <v>6.0138183599339984E-4</v>
      </c>
      <c r="G59" s="1408">
        <f t="shared" si="11"/>
        <v>0</v>
      </c>
      <c r="H59" s="1387">
        <f t="shared" si="12"/>
        <v>265</v>
      </c>
      <c r="I59" s="1409">
        <f t="shared" si="13"/>
        <v>0</v>
      </c>
      <c r="J59" s="1372"/>
      <c r="K59" s="1190"/>
      <c r="L59" s="1372"/>
      <c r="M59" s="1190"/>
      <c r="N59" s="136"/>
      <c r="O59" s="1"/>
      <c r="P59" s="1"/>
      <c r="Q59" s="1"/>
      <c r="R59" s="1"/>
      <c r="S59" s="1"/>
      <c r="T59" s="1"/>
      <c r="U59" s="1"/>
      <c r="V59" s="1"/>
      <c r="W59" s="1"/>
      <c r="X59" s="1"/>
      <c r="Y59" s="1"/>
      <c r="Z59" s="1"/>
    </row>
    <row r="60" spans="1:26" ht="11.25" customHeight="1">
      <c r="A60" s="1"/>
      <c r="B60" s="1373" t="s">
        <v>456</v>
      </c>
      <c r="C60" s="1374">
        <v>16489</v>
      </c>
      <c r="D60" s="1375">
        <v>3.1036474108728018E-2</v>
      </c>
      <c r="E60" s="1406">
        <f t="shared" si="16"/>
        <v>511.76042157881631</v>
      </c>
      <c r="F60" s="1407">
        <v>9.4955026735800017E-5</v>
      </c>
      <c r="G60" s="1408">
        <f t="shared" si="11"/>
        <v>1.5171192113332657</v>
      </c>
      <c r="H60" s="1387">
        <f t="shared" si="12"/>
        <v>265</v>
      </c>
      <c r="I60" s="1409">
        <f t="shared" si="13"/>
        <v>4.0203659100331539E-4</v>
      </c>
      <c r="J60" s="1372"/>
      <c r="K60" s="1190"/>
      <c r="L60" s="1372"/>
      <c r="M60" s="1190"/>
      <c r="N60" s="136"/>
      <c r="O60" s="1"/>
      <c r="P60" s="1"/>
      <c r="Q60" s="1"/>
      <c r="R60" s="1"/>
      <c r="S60" s="1"/>
      <c r="T60" s="1"/>
      <c r="U60" s="1"/>
      <c r="V60" s="1"/>
      <c r="W60" s="1"/>
      <c r="X60" s="1"/>
      <c r="Y60" s="1"/>
      <c r="Z60" s="1"/>
    </row>
    <row r="61" spans="1:26" ht="11.25" customHeight="1">
      <c r="A61" s="1"/>
      <c r="B61" s="1217" t="s">
        <v>743</v>
      </c>
      <c r="C61" s="1387">
        <v>6971</v>
      </c>
      <c r="D61" s="1364"/>
      <c r="E61" s="1388" t="s">
        <v>1238</v>
      </c>
      <c r="F61" s="1407">
        <v>3.7982010694320003E-3</v>
      </c>
      <c r="G61" s="1408">
        <f>C61*F61</f>
        <v>26.477259655010474</v>
      </c>
      <c r="H61" s="1387">
        <f t="shared" si="12"/>
        <v>265</v>
      </c>
      <c r="I61" s="1409">
        <f t="shared" si="13"/>
        <v>7.0164738085777755E-3</v>
      </c>
      <c r="J61" s="1372"/>
      <c r="K61" s="1190"/>
      <c r="L61" s="1372"/>
      <c r="M61" s="1190"/>
      <c r="N61" s="136"/>
      <c r="O61" s="1"/>
      <c r="P61" s="1"/>
      <c r="Q61" s="1"/>
      <c r="R61" s="1"/>
      <c r="S61" s="1"/>
      <c r="T61" s="1"/>
      <c r="U61" s="1"/>
      <c r="V61" s="1"/>
      <c r="W61" s="1"/>
      <c r="X61" s="1"/>
      <c r="Y61" s="1"/>
      <c r="Z61" s="1"/>
    </row>
    <row r="62" spans="1:26" ht="11.25" customHeight="1">
      <c r="A62" s="1"/>
      <c r="B62" s="1410"/>
      <c r="C62" s="856"/>
      <c r="D62" s="856"/>
      <c r="E62" s="856"/>
      <c r="F62" s="856"/>
      <c r="G62" s="856"/>
      <c r="H62" s="1411" t="s">
        <v>88</v>
      </c>
      <c r="I62" s="1412">
        <f>SUM(I39:I61)</f>
        <v>1.313495482236731E-2</v>
      </c>
      <c r="J62" s="749"/>
      <c r="K62" s="1413"/>
      <c r="L62" s="749"/>
      <c r="M62" s="1413"/>
      <c r="N62" s="136"/>
      <c r="O62" s="1"/>
      <c r="P62" s="1"/>
      <c r="Q62" s="1"/>
      <c r="R62" s="1"/>
      <c r="S62" s="1"/>
      <c r="T62" s="1"/>
      <c r="U62" s="1"/>
      <c r="V62" s="1"/>
      <c r="W62" s="1"/>
      <c r="X62" s="1"/>
      <c r="Y62" s="1"/>
      <c r="Z62" s="1"/>
    </row>
    <row r="63" spans="1:26" ht="11.25" customHeight="1">
      <c r="A63" s="1"/>
      <c r="B63" s="582"/>
      <c r="C63" s="583"/>
      <c r="D63" s="583"/>
      <c r="E63" s="583"/>
      <c r="F63" s="583"/>
      <c r="G63" s="583"/>
      <c r="H63" s="583"/>
      <c r="I63" s="584"/>
      <c r="J63" s="1"/>
      <c r="K63" s="1"/>
      <c r="L63" s="1"/>
      <c r="M63" s="1"/>
      <c r="N63" s="1"/>
      <c r="O63" s="1"/>
      <c r="P63" s="1"/>
      <c r="Q63" s="1"/>
      <c r="R63" s="1"/>
      <c r="S63" s="1"/>
      <c r="T63" s="1"/>
      <c r="U63" s="1"/>
      <c r="V63" s="1"/>
      <c r="W63" s="1"/>
      <c r="X63" s="1"/>
      <c r="Y63" s="1"/>
      <c r="Z63" s="1"/>
    </row>
    <row r="64" spans="1:26" ht="11.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1.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1.25" customHeight="1">
      <c r="A66" s="1"/>
      <c r="B66" s="1346" t="s">
        <v>1239</v>
      </c>
      <c r="C66" s="1347"/>
      <c r="D66" s="1347"/>
      <c r="E66" s="1346">
        <v>2017</v>
      </c>
      <c r="F66" s="136"/>
      <c r="G66" s="136"/>
      <c r="H66" s="136"/>
      <c r="I66" s="136"/>
      <c r="J66" s="136"/>
      <c r="K66" s="136"/>
      <c r="L66" s="136"/>
      <c r="M66" s="136"/>
      <c r="N66" s="136"/>
      <c r="O66" s="1"/>
      <c r="P66" s="1"/>
      <c r="Q66" s="1"/>
      <c r="R66" s="1"/>
      <c r="S66" s="1"/>
      <c r="T66" s="1"/>
      <c r="U66" s="1"/>
      <c r="V66" s="1"/>
      <c r="W66" s="1"/>
      <c r="X66" s="1"/>
      <c r="Y66" s="1"/>
      <c r="Z66" s="1"/>
    </row>
    <row r="67" spans="1:26" ht="11.25" customHeight="1">
      <c r="A67" s="1"/>
      <c r="B67" s="1348"/>
      <c r="C67" s="1349" t="s">
        <v>562</v>
      </c>
      <c r="D67" s="1349" t="s">
        <v>1215</v>
      </c>
      <c r="E67" s="1349" t="s">
        <v>1159</v>
      </c>
      <c r="F67" s="1350"/>
      <c r="G67" s="1350"/>
      <c r="H67" s="1350"/>
      <c r="I67" s="1351"/>
      <c r="J67" s="136"/>
      <c r="K67" s="136"/>
      <c r="L67" s="136"/>
      <c r="M67" s="136"/>
      <c r="N67" s="136"/>
      <c r="O67" s="1"/>
      <c r="P67" s="1"/>
      <c r="Q67" s="1"/>
      <c r="R67" s="1"/>
      <c r="S67" s="1"/>
      <c r="T67" s="1"/>
      <c r="U67" s="1"/>
      <c r="V67" s="1"/>
      <c r="W67" s="1"/>
      <c r="X67" s="1"/>
      <c r="Y67" s="1"/>
      <c r="Z67" s="1"/>
    </row>
    <row r="68" spans="1:26" ht="11.25" customHeight="1">
      <c r="A68" s="1"/>
      <c r="B68" s="1352"/>
      <c r="C68" s="1353" t="s">
        <v>519</v>
      </c>
      <c r="D68" s="1353" t="s">
        <v>1216</v>
      </c>
      <c r="E68" s="1353" t="s">
        <v>519</v>
      </c>
      <c r="F68" s="1355" t="s">
        <v>1124</v>
      </c>
      <c r="G68" s="1355" t="s">
        <v>536</v>
      </c>
      <c r="H68" s="1353" t="s">
        <v>537</v>
      </c>
      <c r="I68" s="1356" t="s">
        <v>536</v>
      </c>
      <c r="J68" s="136"/>
      <c r="K68" s="1357"/>
      <c r="L68" s="136"/>
      <c r="M68" s="1357"/>
      <c r="N68" s="136"/>
      <c r="O68" s="1"/>
      <c r="P68" s="1"/>
      <c r="Q68" s="1"/>
      <c r="R68" s="1"/>
      <c r="S68" s="1"/>
      <c r="T68" s="1"/>
      <c r="U68" s="1"/>
      <c r="V68" s="1"/>
      <c r="W68" s="1"/>
      <c r="X68" s="1"/>
      <c r="Y68" s="1"/>
      <c r="Z68" s="1"/>
    </row>
    <row r="69" spans="1:26" ht="11.25" customHeight="1">
      <c r="A69" s="1"/>
      <c r="B69" s="1358" t="s">
        <v>177</v>
      </c>
      <c r="C69" s="1359" t="s">
        <v>538</v>
      </c>
      <c r="D69" s="1359" t="s">
        <v>1217</v>
      </c>
      <c r="E69" s="1359" t="s">
        <v>538</v>
      </c>
      <c r="F69" s="1400" t="s">
        <v>1183</v>
      </c>
      <c r="G69" s="1400" t="s">
        <v>1240</v>
      </c>
      <c r="H69" s="1359"/>
      <c r="I69" s="1360" t="s">
        <v>1185</v>
      </c>
      <c r="J69" s="136"/>
      <c r="K69" s="1361"/>
      <c r="L69" s="136"/>
      <c r="M69" s="1357"/>
      <c r="N69" s="136"/>
      <c r="O69" s="1"/>
      <c r="P69" s="1"/>
      <c r="Q69" s="1"/>
      <c r="R69" s="1"/>
      <c r="S69" s="1"/>
      <c r="T69" s="1"/>
      <c r="U69" s="1"/>
      <c r="V69" s="1"/>
      <c r="W69" s="1"/>
      <c r="X69" s="1"/>
      <c r="Y69" s="1"/>
      <c r="Z69" s="1"/>
    </row>
    <row r="70" spans="1:26" ht="11.25" customHeight="1">
      <c r="A70" s="1"/>
      <c r="B70" s="1414" t="s">
        <v>1219</v>
      </c>
      <c r="C70" s="1383">
        <v>0</v>
      </c>
      <c r="D70" s="1364"/>
      <c r="E70" s="1415">
        <v>0</v>
      </c>
      <c r="F70" s="1416">
        <v>1.0023030599889999E-2</v>
      </c>
      <c r="G70" s="1417">
        <f t="shared" ref="G70:G91" si="17">(C70-E70)*F70</f>
        <v>0</v>
      </c>
      <c r="H70" s="1418">
        <f t="shared" ref="H70:H92" si="18">$Q$13</f>
        <v>28</v>
      </c>
      <c r="I70" s="1419">
        <f t="shared" ref="I70:I92" si="19">G70*H70/1000000</f>
        <v>0</v>
      </c>
      <c r="J70" s="1372"/>
      <c r="K70" s="1190"/>
      <c r="L70" s="1372"/>
      <c r="M70" s="1190"/>
      <c r="N70" s="136"/>
      <c r="O70" s="1"/>
      <c r="P70" s="1"/>
      <c r="Q70" s="1"/>
      <c r="R70" s="1"/>
      <c r="S70" s="1"/>
      <c r="T70" s="1"/>
      <c r="U70" s="1"/>
      <c r="V70" s="1"/>
      <c r="W70" s="1"/>
      <c r="X70" s="1"/>
      <c r="Y70" s="1"/>
      <c r="Z70" s="1"/>
    </row>
    <row r="71" spans="1:26" ht="11.25" customHeight="1">
      <c r="A71" s="1"/>
      <c r="B71" s="1420" t="s">
        <v>1220</v>
      </c>
      <c r="C71" s="1374">
        <v>12275</v>
      </c>
      <c r="D71" s="1375">
        <v>1.6386862395834579E-2</v>
      </c>
      <c r="E71" s="1421">
        <f t="shared" ref="E71:E72" si="20">C71*D71</f>
        <v>201.14873590886947</v>
      </c>
      <c r="F71" s="1407">
        <v>1.0023030599889999E-2</v>
      </c>
      <c r="G71" s="1422">
        <f t="shared" si="17"/>
        <v>121.01658067850595</v>
      </c>
      <c r="H71" s="1387">
        <f t="shared" si="18"/>
        <v>28</v>
      </c>
      <c r="I71" s="1255">
        <f t="shared" si="19"/>
        <v>3.3884642589981661E-3</v>
      </c>
      <c r="J71" s="1372"/>
      <c r="K71" s="1190"/>
      <c r="L71" s="1372"/>
      <c r="M71" s="1190"/>
      <c r="N71" s="136"/>
      <c r="O71" s="1"/>
      <c r="P71" s="1"/>
      <c r="Q71" s="1"/>
      <c r="R71" s="1"/>
      <c r="S71" s="1"/>
      <c r="T71" s="1"/>
      <c r="U71" s="1"/>
      <c r="V71" s="1"/>
      <c r="W71" s="1"/>
      <c r="X71" s="1"/>
      <c r="Y71" s="1"/>
      <c r="Z71" s="1"/>
    </row>
    <row r="72" spans="1:26" ht="11.25" customHeight="1">
      <c r="A72" s="1"/>
      <c r="B72" s="1420" t="s">
        <v>1221</v>
      </c>
      <c r="C72" s="1374">
        <v>16869</v>
      </c>
      <c r="D72" s="1375">
        <v>1</v>
      </c>
      <c r="E72" s="1421">
        <f t="shared" si="20"/>
        <v>16869</v>
      </c>
      <c r="F72" s="1407">
        <v>3.006909179967E-3</v>
      </c>
      <c r="G72" s="1422">
        <f t="shared" si="17"/>
        <v>0</v>
      </c>
      <c r="H72" s="1387">
        <f t="shared" si="18"/>
        <v>28</v>
      </c>
      <c r="I72" s="1255">
        <f t="shared" si="19"/>
        <v>0</v>
      </c>
      <c r="J72" s="1372"/>
      <c r="K72" s="1190"/>
      <c r="L72" s="1372"/>
      <c r="M72" s="1190"/>
      <c r="N72" s="136"/>
      <c r="O72" s="1"/>
      <c r="P72" s="1"/>
      <c r="Q72" s="1"/>
      <c r="R72" s="1"/>
      <c r="S72" s="1"/>
      <c r="T72" s="1"/>
      <c r="U72" s="1"/>
      <c r="V72" s="1"/>
      <c r="W72" s="1"/>
      <c r="X72" s="1"/>
      <c r="Y72" s="1"/>
      <c r="Z72" s="1"/>
    </row>
    <row r="73" spans="1:26" ht="15.75" customHeight="1">
      <c r="A73" s="1"/>
      <c r="B73" s="1423" t="s">
        <v>1222</v>
      </c>
      <c r="C73" s="1383">
        <v>0</v>
      </c>
      <c r="D73" s="1364"/>
      <c r="E73" s="1421">
        <v>0</v>
      </c>
      <c r="F73" s="1407">
        <v>3.006909179967E-3</v>
      </c>
      <c r="G73" s="1422">
        <f t="shared" si="17"/>
        <v>0</v>
      </c>
      <c r="H73" s="1387">
        <f t="shared" si="18"/>
        <v>28</v>
      </c>
      <c r="I73" s="1424">
        <f t="shared" si="19"/>
        <v>0</v>
      </c>
      <c r="J73" s="1372"/>
      <c r="K73" s="1190"/>
      <c r="L73" s="1372"/>
      <c r="M73" s="1190"/>
      <c r="N73" s="136"/>
      <c r="O73" s="1"/>
      <c r="P73" s="1"/>
      <c r="Q73" s="1"/>
      <c r="R73" s="1"/>
      <c r="S73" s="1"/>
      <c r="T73" s="1"/>
      <c r="U73" s="1"/>
      <c r="V73" s="1"/>
      <c r="W73" s="1"/>
      <c r="X73" s="1"/>
      <c r="Y73" s="1"/>
      <c r="Z73" s="1"/>
    </row>
    <row r="74" spans="1:26" ht="11.25" customHeight="1">
      <c r="A74" s="1"/>
      <c r="B74" s="1423" t="s">
        <v>1223</v>
      </c>
      <c r="C74" s="1383">
        <v>0</v>
      </c>
      <c r="D74" s="1364"/>
      <c r="E74" s="1421">
        <v>0</v>
      </c>
      <c r="F74" s="1407">
        <v>3.006909179967E-3</v>
      </c>
      <c r="G74" s="1422">
        <f t="shared" si="17"/>
        <v>0</v>
      </c>
      <c r="H74" s="1387">
        <f t="shared" si="18"/>
        <v>28</v>
      </c>
      <c r="I74" s="1424">
        <f t="shared" si="19"/>
        <v>0</v>
      </c>
      <c r="J74" s="1372"/>
      <c r="K74" s="1190"/>
      <c r="L74" s="1372"/>
      <c r="M74" s="1190"/>
      <c r="N74" s="136"/>
      <c r="O74" s="1"/>
      <c r="P74" s="1"/>
      <c r="Q74" s="1"/>
      <c r="R74" s="1"/>
      <c r="S74" s="1"/>
      <c r="T74" s="1"/>
      <c r="U74" s="1"/>
      <c r="V74" s="1"/>
      <c r="W74" s="1"/>
      <c r="X74" s="1"/>
      <c r="Y74" s="1"/>
      <c r="Z74" s="1"/>
    </row>
    <row r="75" spans="1:26" ht="11.25" customHeight="1">
      <c r="A75" s="1"/>
      <c r="B75" s="1420" t="s">
        <v>529</v>
      </c>
      <c r="C75" s="1374">
        <v>5309</v>
      </c>
      <c r="D75" s="1375">
        <v>5.9993813799243175E-3</v>
      </c>
      <c r="E75" s="1421">
        <f>C75*D75</f>
        <v>31.850715746018203</v>
      </c>
      <c r="F75" s="1407">
        <v>3.006909179967E-3</v>
      </c>
      <c r="G75" s="1422">
        <f t="shared" si="17"/>
        <v>15.867908626879581</v>
      </c>
      <c r="H75" s="1387">
        <f t="shared" si="18"/>
        <v>28</v>
      </c>
      <c r="I75" s="1255">
        <f t="shared" si="19"/>
        <v>4.4430144155262826E-4</v>
      </c>
      <c r="J75" s="1372"/>
      <c r="K75" s="1190"/>
      <c r="L75" s="1372"/>
      <c r="M75" s="1190"/>
      <c r="N75" s="136"/>
      <c r="O75" s="1"/>
      <c r="P75" s="1"/>
      <c r="Q75" s="1"/>
      <c r="R75" s="1"/>
      <c r="S75" s="1"/>
      <c r="T75" s="1"/>
      <c r="U75" s="1"/>
      <c r="V75" s="1"/>
      <c r="W75" s="1"/>
      <c r="X75" s="1"/>
      <c r="Y75" s="1"/>
      <c r="Z75" s="1"/>
    </row>
    <row r="76" spans="1:26" ht="12.75" customHeight="1">
      <c r="A76" s="1"/>
      <c r="B76" s="1423" t="s">
        <v>1224</v>
      </c>
      <c r="C76" s="1386">
        <v>0</v>
      </c>
      <c r="D76" s="1364"/>
      <c r="E76" s="1421"/>
      <c r="F76" s="1407">
        <v>3.006909179967E-3</v>
      </c>
      <c r="G76" s="1422">
        <f t="shared" si="17"/>
        <v>0</v>
      </c>
      <c r="H76" s="1387">
        <f t="shared" si="18"/>
        <v>28</v>
      </c>
      <c r="I76" s="1424">
        <f t="shared" si="19"/>
        <v>0</v>
      </c>
      <c r="J76" s="1372"/>
      <c r="K76" s="1190"/>
      <c r="L76" s="1372"/>
      <c r="M76" s="1190"/>
      <c r="N76" s="136"/>
      <c r="O76" s="1"/>
      <c r="P76" s="1"/>
      <c r="Q76" s="1"/>
      <c r="R76" s="1"/>
      <c r="S76" s="1"/>
      <c r="T76" s="1"/>
      <c r="U76" s="1"/>
      <c r="V76" s="1"/>
      <c r="W76" s="1"/>
      <c r="X76" s="1"/>
      <c r="Y76" s="1"/>
      <c r="Z76" s="1"/>
    </row>
    <row r="77" spans="1:26" ht="14.25" customHeight="1">
      <c r="A77" s="1"/>
      <c r="B77" s="1423" t="s">
        <v>1225</v>
      </c>
      <c r="C77" s="1386">
        <v>0</v>
      </c>
      <c r="D77" s="1364"/>
      <c r="E77" s="1421"/>
      <c r="F77" s="1407">
        <v>3.006909179967E-3</v>
      </c>
      <c r="G77" s="1422">
        <f t="shared" si="17"/>
        <v>0</v>
      </c>
      <c r="H77" s="1387">
        <f t="shared" si="18"/>
        <v>28</v>
      </c>
      <c r="I77" s="1424">
        <f t="shared" si="19"/>
        <v>0</v>
      </c>
      <c r="J77" s="1372"/>
      <c r="K77" s="1190"/>
      <c r="L77" s="1372"/>
      <c r="M77" s="1190"/>
      <c r="N77" s="136"/>
      <c r="O77" s="1"/>
      <c r="P77" s="1"/>
      <c r="Q77" s="1"/>
      <c r="R77" s="1"/>
      <c r="S77" s="1"/>
      <c r="T77" s="1"/>
      <c r="U77" s="1"/>
      <c r="V77" s="1"/>
      <c r="W77" s="1"/>
      <c r="X77" s="1"/>
      <c r="Y77" s="1"/>
      <c r="Z77" s="1"/>
    </row>
    <row r="78" spans="1:26" ht="11.25" customHeight="1">
      <c r="A78" s="1"/>
      <c r="B78" s="1420" t="s">
        <v>661</v>
      </c>
      <c r="C78" s="1374">
        <v>7</v>
      </c>
      <c r="D78" s="1375">
        <v>1</v>
      </c>
      <c r="E78" s="1421">
        <f t="shared" ref="E78:E81" si="21">C78*D78</f>
        <v>7</v>
      </c>
      <c r="F78" s="1407">
        <v>3.006909179967E-3</v>
      </c>
      <c r="G78" s="1422">
        <f t="shared" si="17"/>
        <v>0</v>
      </c>
      <c r="H78" s="1387">
        <f t="shared" si="18"/>
        <v>28</v>
      </c>
      <c r="I78" s="1255">
        <f t="shared" si="19"/>
        <v>0</v>
      </c>
      <c r="J78" s="1372"/>
      <c r="K78" s="1190"/>
      <c r="L78" s="1372"/>
      <c r="M78" s="1190"/>
      <c r="N78" s="136"/>
      <c r="O78" s="1"/>
      <c r="P78" s="1"/>
      <c r="Q78" s="1"/>
      <c r="R78" s="1"/>
      <c r="S78" s="1"/>
      <c r="T78" s="1"/>
      <c r="U78" s="1"/>
      <c r="V78" s="1"/>
      <c r="W78" s="1"/>
      <c r="X78" s="1"/>
      <c r="Y78" s="1"/>
      <c r="Z78" s="1"/>
    </row>
    <row r="79" spans="1:26" ht="11.25" customHeight="1">
      <c r="A79" s="1"/>
      <c r="B79" s="1420" t="s">
        <v>944</v>
      </c>
      <c r="C79" s="1374">
        <v>1486</v>
      </c>
      <c r="D79" s="1375">
        <v>0.82377689762912898</v>
      </c>
      <c r="E79" s="1421">
        <f t="shared" si="21"/>
        <v>1224.1324698768856</v>
      </c>
      <c r="F79" s="1407">
        <v>3.006909179967E-3</v>
      </c>
      <c r="G79" s="1422">
        <f t="shared" si="17"/>
        <v>0.78741188026247766</v>
      </c>
      <c r="H79" s="1387">
        <f t="shared" si="18"/>
        <v>28</v>
      </c>
      <c r="I79" s="1255">
        <f t="shared" si="19"/>
        <v>2.2047532647349375E-5</v>
      </c>
      <c r="J79" s="1372"/>
      <c r="K79" s="1190"/>
      <c r="L79" s="1372"/>
      <c r="M79" s="1190"/>
      <c r="N79" s="136"/>
      <c r="O79" s="1"/>
      <c r="P79" s="1"/>
      <c r="Q79" s="1"/>
      <c r="R79" s="1"/>
      <c r="S79" s="1"/>
      <c r="T79" s="1"/>
      <c r="U79" s="1"/>
      <c r="V79" s="1"/>
      <c r="W79" s="1"/>
      <c r="X79" s="1"/>
      <c r="Y79" s="1"/>
      <c r="Z79" s="1"/>
    </row>
    <row r="80" spans="1:26" ht="11.25" customHeight="1">
      <c r="A80" s="1"/>
      <c r="B80" s="1420" t="s">
        <v>1163</v>
      </c>
      <c r="C80" s="1374">
        <v>946</v>
      </c>
      <c r="D80" s="1375">
        <v>1</v>
      </c>
      <c r="E80" s="1421">
        <f t="shared" si="21"/>
        <v>946</v>
      </c>
      <c r="F80" s="1407">
        <v>3.006909179967E-3</v>
      </c>
      <c r="G80" s="1422">
        <f t="shared" si="17"/>
        <v>0</v>
      </c>
      <c r="H80" s="1387">
        <f t="shared" si="18"/>
        <v>28</v>
      </c>
      <c r="I80" s="1255">
        <f t="shared" si="19"/>
        <v>0</v>
      </c>
      <c r="J80" s="1372"/>
      <c r="K80" s="1190"/>
      <c r="L80" s="1372"/>
      <c r="M80" s="1190"/>
      <c r="N80" s="136"/>
      <c r="O80" s="1"/>
      <c r="P80" s="1"/>
      <c r="Q80" s="1"/>
      <c r="R80" s="1"/>
      <c r="S80" s="1"/>
      <c r="T80" s="1"/>
      <c r="U80" s="1"/>
      <c r="V80" s="1"/>
      <c r="W80" s="1"/>
      <c r="X80" s="1"/>
      <c r="Y80" s="1"/>
      <c r="Z80" s="1"/>
    </row>
    <row r="81" spans="1:26" ht="11.25" customHeight="1">
      <c r="A81" s="1"/>
      <c r="B81" s="1420" t="s">
        <v>1197</v>
      </c>
      <c r="C81" s="1374">
        <v>2865</v>
      </c>
      <c r="D81" s="1375">
        <v>1</v>
      </c>
      <c r="E81" s="1421">
        <f t="shared" si="21"/>
        <v>2865</v>
      </c>
      <c r="F81" s="1407">
        <v>3.006909179967E-3</v>
      </c>
      <c r="G81" s="1422">
        <f t="shared" si="17"/>
        <v>0</v>
      </c>
      <c r="H81" s="1387">
        <f t="shared" si="18"/>
        <v>28</v>
      </c>
      <c r="I81" s="1255">
        <f t="shared" si="19"/>
        <v>0</v>
      </c>
      <c r="J81" s="1372"/>
      <c r="K81" s="1190"/>
      <c r="L81" s="1372"/>
      <c r="M81" s="1190"/>
      <c r="N81" s="136"/>
      <c r="O81" s="1"/>
      <c r="P81" s="1"/>
      <c r="Q81" s="1"/>
      <c r="R81" s="1"/>
      <c r="S81" s="1"/>
      <c r="T81" s="1"/>
      <c r="U81" s="1"/>
      <c r="V81" s="1"/>
      <c r="W81" s="1"/>
      <c r="X81" s="1"/>
      <c r="Y81" s="1"/>
      <c r="Z81" s="1"/>
    </row>
    <row r="82" spans="1:26" ht="16.5" customHeight="1">
      <c r="A82" s="1"/>
      <c r="B82" s="1423" t="s">
        <v>1226</v>
      </c>
      <c r="C82" s="1383">
        <v>0</v>
      </c>
      <c r="D82" s="1364"/>
      <c r="E82" s="1421">
        <v>0</v>
      </c>
      <c r="F82" s="1407">
        <v>3.006909179967E-3</v>
      </c>
      <c r="G82" s="1422">
        <f t="shared" si="17"/>
        <v>0</v>
      </c>
      <c r="H82" s="1387">
        <f t="shared" si="18"/>
        <v>28</v>
      </c>
      <c r="I82" s="1424">
        <f t="shared" si="19"/>
        <v>0</v>
      </c>
      <c r="J82" s="1372"/>
      <c r="K82" s="1190"/>
      <c r="L82" s="1372"/>
      <c r="M82" s="1190"/>
      <c r="N82" s="136"/>
      <c r="O82" s="1"/>
      <c r="P82" s="1"/>
      <c r="Q82" s="1"/>
      <c r="R82" s="1"/>
      <c r="S82" s="1"/>
      <c r="T82" s="1"/>
      <c r="U82" s="1"/>
      <c r="V82" s="1"/>
      <c r="W82" s="1"/>
      <c r="X82" s="1"/>
      <c r="Y82" s="1"/>
      <c r="Z82" s="1"/>
    </row>
    <row r="83" spans="1:26" ht="11.25" customHeight="1">
      <c r="A83" s="1"/>
      <c r="B83" s="1420" t="s">
        <v>1227</v>
      </c>
      <c r="C83" s="1374">
        <v>293</v>
      </c>
      <c r="D83" s="1375">
        <v>1</v>
      </c>
      <c r="E83" s="1421">
        <f>C83*D83</f>
        <v>293</v>
      </c>
      <c r="F83" s="1407">
        <v>3.006909179967E-3</v>
      </c>
      <c r="G83" s="1422">
        <f t="shared" si="17"/>
        <v>0</v>
      </c>
      <c r="H83" s="1387">
        <f t="shared" si="18"/>
        <v>28</v>
      </c>
      <c r="I83" s="1255">
        <f t="shared" si="19"/>
        <v>0</v>
      </c>
      <c r="J83" s="1372"/>
      <c r="K83" s="1190"/>
      <c r="L83" s="1372"/>
      <c r="M83" s="1190"/>
      <c r="N83" s="136"/>
      <c r="O83" s="1"/>
      <c r="P83" s="1"/>
      <c r="Q83" s="1"/>
      <c r="R83" s="1"/>
      <c r="S83" s="1"/>
      <c r="T83" s="1"/>
      <c r="U83" s="1"/>
      <c r="V83" s="1"/>
      <c r="W83" s="1"/>
      <c r="X83" s="1"/>
      <c r="Y83" s="1"/>
      <c r="Z83" s="1"/>
    </row>
    <row r="84" spans="1:26" ht="11.25" customHeight="1">
      <c r="A84" s="1"/>
      <c r="B84" s="1420" t="s">
        <v>1228</v>
      </c>
      <c r="C84" s="1383">
        <v>0</v>
      </c>
      <c r="D84" s="1364"/>
      <c r="E84" s="1421">
        <v>0</v>
      </c>
      <c r="F84" s="1407">
        <v>3.006909179967E-3</v>
      </c>
      <c r="G84" s="1422">
        <f t="shared" si="17"/>
        <v>0</v>
      </c>
      <c r="H84" s="1387">
        <f t="shared" si="18"/>
        <v>28</v>
      </c>
      <c r="I84" s="1424">
        <f t="shared" si="19"/>
        <v>0</v>
      </c>
      <c r="J84" s="1372"/>
      <c r="K84" s="1190"/>
      <c r="L84" s="1372"/>
      <c r="M84" s="1190"/>
      <c r="N84" s="136"/>
      <c r="O84" s="1"/>
      <c r="P84" s="1"/>
      <c r="Q84" s="1"/>
      <c r="R84" s="1"/>
      <c r="S84" s="1"/>
      <c r="T84" s="1"/>
      <c r="U84" s="1"/>
      <c r="V84" s="1"/>
      <c r="W84" s="1"/>
      <c r="X84" s="1"/>
      <c r="Y84" s="1"/>
      <c r="Z84" s="1"/>
    </row>
    <row r="85" spans="1:26" ht="11.25" customHeight="1">
      <c r="A85" s="1"/>
      <c r="B85" s="1420" t="s">
        <v>1229</v>
      </c>
      <c r="C85" s="1387"/>
      <c r="D85" s="1364"/>
      <c r="E85" s="1421"/>
      <c r="F85" s="1407">
        <v>3.006909179967E-3</v>
      </c>
      <c r="G85" s="1422">
        <f t="shared" si="17"/>
        <v>0</v>
      </c>
      <c r="H85" s="1387">
        <f t="shared" si="18"/>
        <v>28</v>
      </c>
      <c r="I85" s="1424">
        <f t="shared" si="19"/>
        <v>0</v>
      </c>
      <c r="J85" s="1372"/>
      <c r="K85" s="1190"/>
      <c r="L85" s="1372"/>
      <c r="M85" s="1190"/>
      <c r="N85" s="136"/>
      <c r="O85" s="1"/>
      <c r="P85" s="1"/>
      <c r="Q85" s="1"/>
      <c r="R85" s="1"/>
      <c r="S85" s="1"/>
      <c r="T85" s="1"/>
      <c r="U85" s="1"/>
      <c r="V85" s="1"/>
      <c r="W85" s="1"/>
      <c r="X85" s="1"/>
      <c r="Y85" s="1"/>
      <c r="Z85" s="1"/>
    </row>
    <row r="86" spans="1:26" ht="11.25" customHeight="1">
      <c r="A86" s="1"/>
      <c r="B86" s="1420" t="s">
        <v>531</v>
      </c>
      <c r="C86" s="1374">
        <v>91</v>
      </c>
      <c r="D86" s="1375">
        <v>1</v>
      </c>
      <c r="E86" s="1421">
        <f>C86*D86</f>
        <v>91</v>
      </c>
      <c r="F86" s="1407">
        <v>3.006909179967E-3</v>
      </c>
      <c r="G86" s="1422">
        <f t="shared" si="17"/>
        <v>0</v>
      </c>
      <c r="H86" s="1387">
        <f t="shared" si="18"/>
        <v>28</v>
      </c>
      <c r="I86" s="1255">
        <f t="shared" si="19"/>
        <v>0</v>
      </c>
      <c r="J86" s="1372"/>
      <c r="K86" s="1190"/>
      <c r="L86" s="1372"/>
      <c r="M86" s="1190"/>
      <c r="N86" s="136"/>
      <c r="O86" s="1"/>
      <c r="P86" s="1"/>
      <c r="Q86" s="1"/>
      <c r="R86" s="1"/>
      <c r="S86" s="1"/>
      <c r="T86" s="1"/>
      <c r="U86" s="1"/>
      <c r="V86" s="1"/>
      <c r="W86" s="1"/>
      <c r="X86" s="1"/>
      <c r="Y86" s="1"/>
      <c r="Z86" s="1"/>
    </row>
    <row r="87" spans="1:26" ht="11.25" customHeight="1">
      <c r="A87" s="1"/>
      <c r="B87" s="1420" t="s">
        <v>1230</v>
      </c>
      <c r="C87" s="1383">
        <v>0</v>
      </c>
      <c r="D87" s="1364"/>
      <c r="E87" s="1421">
        <v>0</v>
      </c>
      <c r="F87" s="1407">
        <v>3.006909179967E-3</v>
      </c>
      <c r="G87" s="1422">
        <f t="shared" si="17"/>
        <v>0</v>
      </c>
      <c r="H87" s="1387">
        <f t="shared" si="18"/>
        <v>28</v>
      </c>
      <c r="I87" s="1424">
        <f t="shared" si="19"/>
        <v>0</v>
      </c>
      <c r="J87" s="1372"/>
      <c r="K87" s="1190"/>
      <c r="L87" s="1372"/>
      <c r="M87" s="1190"/>
      <c r="N87" s="136"/>
      <c r="O87" s="1"/>
      <c r="P87" s="1"/>
      <c r="Q87" s="1"/>
      <c r="R87" s="1"/>
      <c r="S87" s="1"/>
      <c r="T87" s="1"/>
      <c r="U87" s="1"/>
      <c r="V87" s="1"/>
      <c r="W87" s="1"/>
      <c r="X87" s="1"/>
      <c r="Y87" s="1"/>
      <c r="Z87" s="1"/>
    </row>
    <row r="88" spans="1:26" ht="11.25" customHeight="1">
      <c r="A88" s="1"/>
      <c r="B88" s="1420" t="s">
        <v>1231</v>
      </c>
      <c r="C88" s="1374">
        <v>2795</v>
      </c>
      <c r="D88" s="1375">
        <v>0.94768328836537974</v>
      </c>
      <c r="E88" s="1421">
        <f>C88*D88</f>
        <v>2648.7747909812365</v>
      </c>
      <c r="F88" s="1407">
        <v>3.006909179967E-3</v>
      </c>
      <c r="G88" s="1422">
        <f t="shared" si="17"/>
        <v>0.43968592334111334</v>
      </c>
      <c r="H88" s="1387">
        <f t="shared" si="18"/>
        <v>28</v>
      </c>
      <c r="I88" s="1255">
        <f t="shared" si="19"/>
        <v>1.2311205853551174E-5</v>
      </c>
      <c r="J88" s="1372"/>
      <c r="K88" s="1190"/>
      <c r="L88" s="1372"/>
      <c r="M88" s="1190"/>
      <c r="N88" s="136"/>
      <c r="O88" s="1"/>
      <c r="P88" s="1"/>
      <c r="Q88" s="1"/>
      <c r="R88" s="1"/>
      <c r="S88" s="1"/>
      <c r="T88" s="1"/>
      <c r="U88" s="1"/>
      <c r="V88" s="1"/>
      <c r="W88" s="1"/>
      <c r="X88" s="1"/>
      <c r="Y88" s="1"/>
      <c r="Z88" s="1"/>
    </row>
    <row r="89" spans="1:26" ht="11.25" customHeight="1">
      <c r="A89" s="1"/>
      <c r="B89" s="1420" t="s">
        <v>1232</v>
      </c>
      <c r="C89" s="1383">
        <v>0</v>
      </c>
      <c r="D89" s="1364"/>
      <c r="E89" s="1421">
        <v>0</v>
      </c>
      <c r="F89" s="1407">
        <v>3.006909179967E-3</v>
      </c>
      <c r="G89" s="1422">
        <f t="shared" si="17"/>
        <v>0</v>
      </c>
      <c r="H89" s="1387">
        <f t="shared" si="18"/>
        <v>28</v>
      </c>
      <c r="I89" s="1424">
        <f t="shared" si="19"/>
        <v>0</v>
      </c>
      <c r="J89" s="1372"/>
      <c r="K89" s="1190"/>
      <c r="L89" s="1372"/>
      <c r="M89" s="1190"/>
      <c r="N89" s="136"/>
      <c r="O89" s="1"/>
      <c r="P89" s="1"/>
      <c r="Q89" s="1"/>
      <c r="R89" s="1"/>
      <c r="S89" s="1"/>
      <c r="T89" s="1"/>
      <c r="U89" s="1"/>
      <c r="V89" s="1"/>
      <c r="W89" s="1"/>
      <c r="X89" s="1"/>
      <c r="Y89" s="1"/>
      <c r="Z89" s="1"/>
    </row>
    <row r="90" spans="1:26" ht="11.25" customHeight="1">
      <c r="A90" s="1"/>
      <c r="B90" s="1420" t="s">
        <v>1233</v>
      </c>
      <c r="C90" s="1374">
        <v>100</v>
      </c>
      <c r="D90" s="1375">
        <v>1</v>
      </c>
      <c r="E90" s="1421">
        <f t="shared" ref="E90:E91" si="22">C90*D90</f>
        <v>100</v>
      </c>
      <c r="F90" s="1407">
        <v>3.006909179967E-3</v>
      </c>
      <c r="G90" s="1422">
        <f t="shared" si="17"/>
        <v>0</v>
      </c>
      <c r="H90" s="1387">
        <f t="shared" si="18"/>
        <v>28</v>
      </c>
      <c r="I90" s="1255">
        <f t="shared" si="19"/>
        <v>0</v>
      </c>
      <c r="J90" s="1372"/>
      <c r="K90" s="1190"/>
      <c r="L90" s="1372"/>
      <c r="M90" s="1190"/>
      <c r="N90" s="136"/>
      <c r="O90" s="1"/>
      <c r="P90" s="1"/>
      <c r="Q90" s="1"/>
      <c r="R90" s="1"/>
      <c r="S90" s="1"/>
      <c r="T90" s="1"/>
      <c r="U90" s="1"/>
      <c r="V90" s="1"/>
      <c r="W90" s="1"/>
      <c r="X90" s="1"/>
      <c r="Y90" s="1"/>
      <c r="Z90" s="1"/>
    </row>
    <row r="91" spans="1:26" ht="11.25" customHeight="1">
      <c r="A91" s="1"/>
      <c r="B91" s="1420" t="s">
        <v>456</v>
      </c>
      <c r="C91" s="1374">
        <v>16489</v>
      </c>
      <c r="D91" s="1375">
        <v>3.1036474108728018E-2</v>
      </c>
      <c r="E91" s="1421">
        <f t="shared" si="22"/>
        <v>511.76042157881631</v>
      </c>
      <c r="F91" s="1407">
        <v>9.4955026735800007E-4</v>
      </c>
      <c r="G91" s="1422">
        <f t="shared" si="17"/>
        <v>15.171192113332655</v>
      </c>
      <c r="H91" s="1387">
        <f t="shared" si="18"/>
        <v>28</v>
      </c>
      <c r="I91" s="1255">
        <f t="shared" si="19"/>
        <v>4.2479337917331435E-4</v>
      </c>
      <c r="J91" s="1372"/>
      <c r="K91" s="1190"/>
      <c r="L91" s="1372"/>
      <c r="M91" s="1190"/>
      <c r="N91" s="136"/>
      <c r="O91" s="1"/>
      <c r="P91" s="1"/>
      <c r="Q91" s="1"/>
      <c r="R91" s="1"/>
      <c r="S91" s="1"/>
      <c r="T91" s="1"/>
      <c r="U91" s="1"/>
      <c r="V91" s="1"/>
      <c r="W91" s="1"/>
      <c r="X91" s="1"/>
      <c r="Y91" s="1"/>
      <c r="Z91" s="1"/>
    </row>
    <row r="92" spans="1:26" ht="11.25" customHeight="1">
      <c r="A92" s="1"/>
      <c r="B92" s="1336" t="s">
        <v>743</v>
      </c>
      <c r="C92" s="1387">
        <v>6971</v>
      </c>
      <c r="D92" s="1364"/>
      <c r="E92" s="1425" t="s">
        <v>1238</v>
      </c>
      <c r="F92" s="1407">
        <v>2.8486508020740004E-2</v>
      </c>
      <c r="G92" s="1422">
        <f>C92*F92</f>
        <v>198.57944741257856</v>
      </c>
      <c r="H92" s="1387">
        <f t="shared" si="18"/>
        <v>28</v>
      </c>
      <c r="I92" s="1255">
        <f t="shared" si="19"/>
        <v>5.5602245275521997E-3</v>
      </c>
      <c r="J92" s="1372"/>
      <c r="K92" s="1190"/>
      <c r="L92" s="1372"/>
      <c r="M92" s="1190"/>
      <c r="N92" s="136"/>
      <c r="O92" s="1"/>
      <c r="P92" s="1"/>
      <c r="Q92" s="1"/>
      <c r="R92" s="1"/>
      <c r="S92" s="1"/>
      <c r="T92" s="1"/>
      <c r="U92" s="1"/>
      <c r="V92" s="1"/>
      <c r="W92" s="1"/>
      <c r="X92" s="1"/>
      <c r="Y92" s="1"/>
      <c r="Z92" s="1"/>
    </row>
    <row r="93" spans="1:26" ht="11.25" customHeight="1">
      <c r="A93" s="1"/>
      <c r="B93" s="1426"/>
      <c r="C93" s="856"/>
      <c r="D93" s="1083"/>
      <c r="E93" s="1083"/>
      <c r="F93" s="1083"/>
      <c r="G93" s="1083"/>
      <c r="H93" s="1427" t="s">
        <v>88</v>
      </c>
      <c r="I93" s="1428">
        <f>SUM(I70:I92)</f>
        <v>9.8521423457772102E-3</v>
      </c>
      <c r="J93" s="749"/>
      <c r="K93" s="1413"/>
      <c r="L93" s="749"/>
      <c r="M93" s="1413"/>
      <c r="N93" s="136"/>
      <c r="O93" s="1"/>
      <c r="P93" s="1"/>
      <c r="Q93" s="1"/>
      <c r="R93" s="1"/>
      <c r="S93" s="1"/>
      <c r="T93" s="1"/>
      <c r="U93" s="1"/>
      <c r="V93" s="1"/>
      <c r="W93" s="1"/>
      <c r="X93" s="1"/>
      <c r="Y93" s="1"/>
      <c r="Z93" s="1"/>
    </row>
    <row r="94" spans="1:26" ht="11.25" customHeight="1">
      <c r="A94" s="1"/>
      <c r="B94" s="1429"/>
      <c r="C94" s="1430"/>
      <c r="D94" s="1430"/>
      <c r="E94" s="1430"/>
      <c r="F94" s="1430"/>
      <c r="G94" s="1430"/>
      <c r="H94" s="1430"/>
      <c r="I94" s="1431"/>
      <c r="J94" s="136"/>
      <c r="K94" s="136"/>
      <c r="L94" s="136"/>
      <c r="M94" s="136"/>
      <c r="N94" s="136"/>
      <c r="O94" s="1"/>
      <c r="P94" s="1"/>
      <c r="Q94" s="1"/>
      <c r="R94" s="1"/>
      <c r="S94" s="1"/>
      <c r="T94" s="1"/>
      <c r="U94" s="1"/>
      <c r="V94" s="1"/>
      <c r="W94" s="1"/>
      <c r="X94" s="1"/>
      <c r="Y94" s="1"/>
      <c r="Z94" s="1"/>
    </row>
    <row r="95" spans="1:26" ht="11.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1.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1.25" customHeight="1">
      <c r="A97" s="1"/>
      <c r="B97" s="1432" t="s">
        <v>1241</v>
      </c>
      <c r="C97" s="1433"/>
      <c r="D97" s="1433"/>
      <c r="E97" s="1432">
        <v>2017</v>
      </c>
      <c r="F97" s="136"/>
      <c r="G97" s="136"/>
      <c r="H97" s="136"/>
      <c r="I97" s="136"/>
      <c r="J97" s="1"/>
      <c r="K97" s="1"/>
      <c r="L97" s="1"/>
      <c r="M97" s="1"/>
      <c r="N97" s="1"/>
      <c r="O97" s="1"/>
      <c r="P97" s="1"/>
      <c r="Q97" s="1"/>
      <c r="R97" s="1"/>
      <c r="S97" s="1"/>
      <c r="T97" s="1"/>
      <c r="U97" s="1"/>
      <c r="V97" s="1"/>
      <c r="W97" s="1"/>
      <c r="X97" s="1"/>
      <c r="Y97" s="1"/>
      <c r="Z97" s="1"/>
    </row>
    <row r="98" spans="1:26" ht="11.25" customHeight="1">
      <c r="A98" s="1"/>
      <c r="B98" s="1434"/>
      <c r="C98" s="1435" t="s">
        <v>562</v>
      </c>
      <c r="D98" s="1349" t="s">
        <v>1215</v>
      </c>
      <c r="E98" s="1435" t="s">
        <v>1159</v>
      </c>
      <c r="F98" s="1436" t="s">
        <v>1242</v>
      </c>
      <c r="G98" s="1436" t="s">
        <v>1243</v>
      </c>
      <c r="H98" s="1436" t="s">
        <v>1244</v>
      </c>
      <c r="I98" s="1437" t="s">
        <v>697</v>
      </c>
      <c r="J98" s="1"/>
      <c r="K98" s="1"/>
      <c r="L98" s="1"/>
      <c r="M98" s="1"/>
      <c r="N98" s="1"/>
      <c r="O98" s="1"/>
      <c r="P98" s="1"/>
      <c r="Q98" s="1"/>
      <c r="R98" s="1"/>
      <c r="S98" s="1"/>
      <c r="T98" s="1"/>
      <c r="U98" s="1"/>
      <c r="V98" s="1"/>
      <c r="W98" s="1"/>
      <c r="X98" s="1"/>
      <c r="Y98" s="1"/>
      <c r="Z98" s="1"/>
    </row>
    <row r="99" spans="1:26" ht="11.25" customHeight="1">
      <c r="A99" s="1"/>
      <c r="B99" s="1438"/>
      <c r="C99" s="1439" t="s">
        <v>519</v>
      </c>
      <c r="D99" s="1353" t="s">
        <v>1216</v>
      </c>
      <c r="E99" s="1439" t="s">
        <v>519</v>
      </c>
      <c r="F99" s="1411" t="s">
        <v>536</v>
      </c>
      <c r="G99" s="1411" t="s">
        <v>536</v>
      </c>
      <c r="H99" s="1411" t="s">
        <v>536</v>
      </c>
      <c r="I99" s="1440" t="s">
        <v>536</v>
      </c>
      <c r="J99" s="1"/>
      <c r="K99" s="1"/>
      <c r="L99" s="1"/>
      <c r="M99" s="1"/>
      <c r="N99" s="1"/>
      <c r="O99" s="1"/>
      <c r="P99" s="1"/>
      <c r="Q99" s="1"/>
      <c r="R99" s="1"/>
      <c r="S99" s="1"/>
      <c r="T99" s="1"/>
      <c r="U99" s="1"/>
      <c r="V99" s="1"/>
      <c r="W99" s="1"/>
      <c r="X99" s="1"/>
      <c r="Y99" s="1"/>
      <c r="Z99" s="1"/>
    </row>
    <row r="100" spans="1:26" ht="11.25" customHeight="1">
      <c r="A100" s="1"/>
      <c r="B100" s="1441" t="s">
        <v>177</v>
      </c>
      <c r="C100" s="1439" t="s">
        <v>538</v>
      </c>
      <c r="D100" s="1359" t="s">
        <v>1217</v>
      </c>
      <c r="E100" s="1439" t="s">
        <v>538</v>
      </c>
      <c r="F100" s="1411" t="s">
        <v>1245</v>
      </c>
      <c r="G100" s="1411" t="s">
        <v>1246</v>
      </c>
      <c r="H100" s="1411" t="s">
        <v>1247</v>
      </c>
      <c r="I100" s="1440" t="s">
        <v>1248</v>
      </c>
      <c r="J100" s="1"/>
      <c r="K100" s="1"/>
      <c r="L100" s="1"/>
      <c r="M100" s="1"/>
      <c r="N100" s="1"/>
      <c r="O100" s="1"/>
      <c r="P100" s="1"/>
      <c r="Q100" s="1"/>
      <c r="R100" s="1"/>
      <c r="S100" s="1"/>
      <c r="T100" s="1"/>
      <c r="U100" s="1"/>
      <c r="V100" s="1"/>
      <c r="W100" s="1"/>
      <c r="X100" s="1"/>
      <c r="Y100" s="1"/>
      <c r="Z100" s="1"/>
    </row>
    <row r="101" spans="1:26" ht="11.25" customHeight="1">
      <c r="A101" s="1"/>
      <c r="B101" s="1373" t="s">
        <v>1219</v>
      </c>
      <c r="C101" s="1383">
        <v>0</v>
      </c>
      <c r="D101" s="1364"/>
      <c r="E101" s="1442">
        <v>0</v>
      </c>
      <c r="F101" s="1443">
        <f t="shared" ref="F101:F123" si="23">K8</f>
        <v>0</v>
      </c>
      <c r="G101" s="1443">
        <f t="shared" ref="G101:G123" si="24">I70</f>
        <v>0</v>
      </c>
      <c r="H101" s="1444">
        <f t="shared" ref="H101:H123" si="25">I39</f>
        <v>0</v>
      </c>
      <c r="I101" s="1384">
        <f t="shared" ref="I101:I124" si="26">SUM(F101:H101)</f>
        <v>0</v>
      </c>
      <c r="J101" s="1"/>
      <c r="K101" s="1"/>
      <c r="L101" s="1"/>
      <c r="M101" s="1"/>
      <c r="N101" s="1"/>
      <c r="O101" s="1"/>
      <c r="P101" s="1"/>
      <c r="Q101" s="1"/>
      <c r="R101" s="1"/>
      <c r="S101" s="1"/>
      <c r="T101" s="1"/>
      <c r="U101" s="1"/>
      <c r="V101" s="1"/>
      <c r="W101" s="1"/>
      <c r="X101" s="1"/>
      <c r="Y101" s="1"/>
      <c r="Z101" s="1"/>
    </row>
    <row r="102" spans="1:26" ht="11.25" customHeight="1">
      <c r="A102" s="1"/>
      <c r="B102" s="1373" t="s">
        <v>1220</v>
      </c>
      <c r="C102" s="1374">
        <v>12275</v>
      </c>
      <c r="D102" s="1375">
        <v>1.6386862395834579E-2</v>
      </c>
      <c r="E102" s="1442">
        <f t="shared" ref="E102:E103" si="27">C102*D102</f>
        <v>201.14873590886947</v>
      </c>
      <c r="F102" s="1443">
        <f t="shared" si="23"/>
        <v>1.1610011134032501</v>
      </c>
      <c r="G102" s="1443">
        <f t="shared" si="24"/>
        <v>3.3884642589981661E-3</v>
      </c>
      <c r="H102" s="1444">
        <f t="shared" si="25"/>
        <v>4.8104090819706116E-3</v>
      </c>
      <c r="I102" s="1384">
        <f t="shared" si="26"/>
        <v>1.1691999867442187</v>
      </c>
      <c r="J102" s="1"/>
      <c r="K102" s="1"/>
      <c r="L102" s="1"/>
      <c r="M102" s="1"/>
      <c r="N102" s="1"/>
      <c r="O102" s="1"/>
      <c r="P102" s="1"/>
      <c r="Q102" s="1"/>
      <c r="R102" s="1"/>
      <c r="S102" s="1"/>
      <c r="T102" s="1"/>
      <c r="U102" s="1"/>
      <c r="V102" s="1"/>
      <c r="W102" s="1"/>
      <c r="X102" s="1"/>
      <c r="Y102" s="1"/>
      <c r="Z102" s="1"/>
    </row>
    <row r="103" spans="1:26" ht="11.25" customHeight="1">
      <c r="A103" s="1"/>
      <c r="B103" s="1373" t="s">
        <v>1221</v>
      </c>
      <c r="C103" s="1374">
        <v>16869</v>
      </c>
      <c r="D103" s="1375">
        <v>1</v>
      </c>
      <c r="E103" s="1442">
        <f t="shared" si="27"/>
        <v>16869</v>
      </c>
      <c r="F103" s="1443">
        <f t="shared" si="23"/>
        <v>0</v>
      </c>
      <c r="G103" s="1443">
        <f t="shared" si="24"/>
        <v>0</v>
      </c>
      <c r="H103" s="1444">
        <f t="shared" si="25"/>
        <v>0</v>
      </c>
      <c r="I103" s="1384">
        <f t="shared" si="26"/>
        <v>0</v>
      </c>
      <c r="J103" s="1"/>
      <c r="K103" s="1"/>
      <c r="L103" s="1"/>
      <c r="M103" s="1"/>
      <c r="N103" s="1"/>
      <c r="O103" s="1"/>
      <c r="P103" s="1"/>
      <c r="Q103" s="1"/>
      <c r="R103" s="1"/>
      <c r="S103" s="1"/>
      <c r="T103" s="1"/>
      <c r="U103" s="1"/>
      <c r="V103" s="1"/>
      <c r="W103" s="1"/>
      <c r="X103" s="1"/>
      <c r="Y103" s="1"/>
      <c r="Z103" s="1"/>
    </row>
    <row r="104" spans="1:26" ht="11.25" customHeight="1">
      <c r="A104" s="1"/>
      <c r="B104" s="1382" t="s">
        <v>1222</v>
      </c>
      <c r="C104" s="1387">
        <v>0</v>
      </c>
      <c r="D104" s="1364"/>
      <c r="E104" s="1442">
        <v>0</v>
      </c>
      <c r="F104" s="1443">
        <f t="shared" si="23"/>
        <v>0</v>
      </c>
      <c r="G104" s="1443">
        <f t="shared" si="24"/>
        <v>0</v>
      </c>
      <c r="H104" s="1444">
        <f t="shared" si="25"/>
        <v>0</v>
      </c>
      <c r="I104" s="1384">
        <f t="shared" si="26"/>
        <v>0</v>
      </c>
      <c r="J104" s="1"/>
      <c r="K104" s="1"/>
      <c r="L104" s="1"/>
      <c r="M104" s="1"/>
      <c r="N104" s="1"/>
      <c r="O104" s="1"/>
      <c r="P104" s="1"/>
      <c r="Q104" s="1"/>
      <c r="R104" s="1"/>
      <c r="S104" s="1"/>
      <c r="T104" s="1"/>
      <c r="U104" s="1"/>
      <c r="V104" s="1"/>
      <c r="W104" s="1"/>
      <c r="X104" s="1"/>
      <c r="Y104" s="1"/>
      <c r="Z104" s="1"/>
    </row>
    <row r="105" spans="1:26" ht="11.25" customHeight="1">
      <c r="A105" s="1"/>
      <c r="B105" s="1382" t="s">
        <v>1223</v>
      </c>
      <c r="C105" s="1387">
        <v>0</v>
      </c>
      <c r="D105" s="1364"/>
      <c r="E105" s="1442">
        <v>0</v>
      </c>
      <c r="F105" s="1443">
        <f t="shared" si="23"/>
        <v>0</v>
      </c>
      <c r="G105" s="1443">
        <f t="shared" si="24"/>
        <v>0</v>
      </c>
      <c r="H105" s="1444">
        <f t="shared" si="25"/>
        <v>0</v>
      </c>
      <c r="I105" s="1384">
        <f t="shared" si="26"/>
        <v>0</v>
      </c>
      <c r="J105" s="1"/>
      <c r="K105" s="1"/>
      <c r="L105" s="1"/>
      <c r="M105" s="1"/>
      <c r="N105" s="1"/>
      <c r="O105" s="1"/>
      <c r="P105" s="1"/>
      <c r="Q105" s="1"/>
      <c r="R105" s="1"/>
      <c r="S105" s="1"/>
      <c r="T105" s="1"/>
      <c r="U105" s="1"/>
      <c r="V105" s="1"/>
      <c r="W105" s="1"/>
      <c r="X105" s="1"/>
      <c r="Y105" s="1"/>
      <c r="Z105" s="1"/>
    </row>
    <row r="106" spans="1:26" ht="11.25" customHeight="1">
      <c r="A106" s="1"/>
      <c r="B106" s="1373" t="s">
        <v>529</v>
      </c>
      <c r="C106" s="1374">
        <v>5309</v>
      </c>
      <c r="D106" s="1375">
        <v>5.9993813799243175E-3</v>
      </c>
      <c r="E106" s="1442">
        <f>C106*D106</f>
        <v>31.850715746018203</v>
      </c>
      <c r="F106" s="1443">
        <f t="shared" si="23"/>
        <v>0.39159305445907744</v>
      </c>
      <c r="G106" s="1443">
        <f t="shared" si="24"/>
        <v>4.4430144155262826E-4</v>
      </c>
      <c r="H106" s="1444">
        <f t="shared" si="25"/>
        <v>8.4099915722461748E-4</v>
      </c>
      <c r="I106" s="1384">
        <f t="shared" si="26"/>
        <v>0.39287835505785468</v>
      </c>
      <c r="J106" s="1"/>
      <c r="K106" s="1"/>
      <c r="L106" s="1"/>
      <c r="M106" s="1"/>
      <c r="N106" s="1"/>
      <c r="O106" s="1"/>
      <c r="P106" s="1"/>
      <c r="Q106" s="1"/>
      <c r="R106" s="1"/>
      <c r="S106" s="1"/>
      <c r="T106" s="1"/>
      <c r="U106" s="1"/>
      <c r="V106" s="1"/>
      <c r="W106" s="1"/>
      <c r="X106" s="1"/>
      <c r="Y106" s="1"/>
      <c r="Z106" s="1"/>
    </row>
    <row r="107" spans="1:26" ht="11.25" customHeight="1">
      <c r="A107" s="1"/>
      <c r="B107" s="1382" t="s">
        <v>1224</v>
      </c>
      <c r="C107" s="1445">
        <v>0</v>
      </c>
      <c r="D107" s="1364"/>
      <c r="E107" s="1442"/>
      <c r="F107" s="1443">
        <f t="shared" si="23"/>
        <v>0</v>
      </c>
      <c r="G107" s="1443">
        <f t="shared" si="24"/>
        <v>0</v>
      </c>
      <c r="H107" s="1444">
        <f t="shared" si="25"/>
        <v>0</v>
      </c>
      <c r="I107" s="1384">
        <f t="shared" si="26"/>
        <v>0</v>
      </c>
      <c r="J107" s="1"/>
      <c r="K107" s="1"/>
      <c r="L107" s="1"/>
      <c r="M107" s="1"/>
      <c r="N107" s="1"/>
      <c r="O107" s="1"/>
      <c r="P107" s="1"/>
      <c r="Q107" s="1"/>
      <c r="R107" s="1"/>
      <c r="S107" s="1"/>
      <c r="T107" s="1"/>
      <c r="U107" s="1"/>
      <c r="V107" s="1"/>
      <c r="W107" s="1"/>
      <c r="X107" s="1"/>
      <c r="Y107" s="1"/>
      <c r="Z107" s="1"/>
    </row>
    <row r="108" spans="1:26" ht="14.25" customHeight="1">
      <c r="A108" s="1"/>
      <c r="B108" s="1382" t="s">
        <v>1225</v>
      </c>
      <c r="C108" s="1445">
        <v>0</v>
      </c>
      <c r="D108" s="1364"/>
      <c r="E108" s="1442"/>
      <c r="F108" s="1443">
        <f t="shared" si="23"/>
        <v>0</v>
      </c>
      <c r="G108" s="1443">
        <f t="shared" si="24"/>
        <v>0</v>
      </c>
      <c r="H108" s="1444">
        <f t="shared" si="25"/>
        <v>0</v>
      </c>
      <c r="I108" s="1384">
        <f t="shared" si="26"/>
        <v>0</v>
      </c>
      <c r="J108" s="1"/>
      <c r="K108" s="1"/>
      <c r="L108" s="1"/>
      <c r="M108" s="1"/>
      <c r="N108" s="1"/>
      <c r="O108" s="1"/>
      <c r="P108" s="1"/>
      <c r="Q108" s="1"/>
      <c r="R108" s="1"/>
      <c r="S108" s="1"/>
      <c r="T108" s="1"/>
      <c r="U108" s="1"/>
      <c r="V108" s="1"/>
      <c r="W108" s="1"/>
      <c r="X108" s="1"/>
      <c r="Y108" s="1"/>
      <c r="Z108" s="1"/>
    </row>
    <row r="109" spans="1:26" ht="11.25" customHeight="1">
      <c r="A109" s="1"/>
      <c r="B109" s="1373" t="s">
        <v>661</v>
      </c>
      <c r="C109" s="1374">
        <v>7</v>
      </c>
      <c r="D109" s="1375">
        <v>1</v>
      </c>
      <c r="E109" s="1442">
        <f t="shared" ref="E109:E112" si="28">C109*D109</f>
        <v>7</v>
      </c>
      <c r="F109" s="1443">
        <f t="shared" si="23"/>
        <v>5.1205231988166666E-4</v>
      </c>
      <c r="G109" s="1443">
        <f t="shared" si="24"/>
        <v>0</v>
      </c>
      <c r="H109" s="1444">
        <f t="shared" si="25"/>
        <v>0</v>
      </c>
      <c r="I109" s="1384">
        <f t="shared" si="26"/>
        <v>5.1205231988166666E-4</v>
      </c>
      <c r="J109" s="1"/>
      <c r="K109" s="1"/>
      <c r="L109" s="1"/>
      <c r="M109" s="1"/>
      <c r="N109" s="1"/>
      <c r="O109" s="1"/>
      <c r="P109" s="1"/>
      <c r="Q109" s="1"/>
      <c r="R109" s="1"/>
      <c r="S109" s="1"/>
      <c r="T109" s="1"/>
      <c r="U109" s="1"/>
      <c r="V109" s="1"/>
      <c r="W109" s="1"/>
      <c r="X109" s="1"/>
      <c r="Y109" s="1"/>
      <c r="Z109" s="1"/>
    </row>
    <row r="110" spans="1:26" ht="11.25" customHeight="1">
      <c r="A110" s="1"/>
      <c r="B110" s="1373" t="s">
        <v>944</v>
      </c>
      <c r="C110" s="1374">
        <v>1486</v>
      </c>
      <c r="D110" s="1375">
        <v>0.82377689762912898</v>
      </c>
      <c r="E110" s="1442">
        <f t="shared" si="28"/>
        <v>1224.1324698768856</v>
      </c>
      <c r="F110" s="1443">
        <f t="shared" si="23"/>
        <v>4.4947179882461843E-2</v>
      </c>
      <c r="G110" s="1443">
        <f t="shared" si="24"/>
        <v>2.2047532647349375E-5</v>
      </c>
      <c r="H110" s="1444">
        <f t="shared" si="25"/>
        <v>4.1732829653911299E-5</v>
      </c>
      <c r="I110" s="1384">
        <f t="shared" si="26"/>
        <v>4.5010960244763101E-2</v>
      </c>
      <c r="J110" s="1"/>
      <c r="K110" s="1"/>
      <c r="L110" s="1"/>
      <c r="M110" s="1"/>
      <c r="N110" s="1"/>
      <c r="O110" s="1"/>
      <c r="P110" s="1"/>
      <c r="Q110" s="1"/>
      <c r="R110" s="1"/>
      <c r="S110" s="1"/>
      <c r="T110" s="1"/>
      <c r="U110" s="1"/>
      <c r="V110" s="1"/>
      <c r="W110" s="1"/>
      <c r="X110" s="1"/>
      <c r="Y110" s="1"/>
      <c r="Z110" s="1"/>
    </row>
    <row r="111" spans="1:26" ht="11.25" customHeight="1">
      <c r="A111" s="1"/>
      <c r="B111" s="1373" t="s">
        <v>1163</v>
      </c>
      <c r="C111" s="1374">
        <v>946</v>
      </c>
      <c r="D111" s="1375">
        <v>1</v>
      </c>
      <c r="E111" s="1442">
        <f t="shared" si="28"/>
        <v>946</v>
      </c>
      <c r="F111" s="1443">
        <f t="shared" si="23"/>
        <v>6.2178053498660672E-2</v>
      </c>
      <c r="G111" s="1443">
        <f t="shared" si="24"/>
        <v>0</v>
      </c>
      <c r="H111" s="1444">
        <f t="shared" si="25"/>
        <v>0</v>
      </c>
      <c r="I111" s="1384">
        <f t="shared" si="26"/>
        <v>6.2178053498660672E-2</v>
      </c>
      <c r="J111" s="1"/>
      <c r="K111" s="1"/>
      <c r="L111" s="1"/>
      <c r="M111" s="1"/>
      <c r="N111" s="1"/>
      <c r="O111" s="1"/>
      <c r="P111" s="1"/>
      <c r="Q111" s="1"/>
      <c r="R111" s="1"/>
      <c r="S111" s="1"/>
      <c r="T111" s="1"/>
      <c r="U111" s="1"/>
      <c r="V111" s="1"/>
      <c r="W111" s="1"/>
      <c r="X111" s="1"/>
      <c r="Y111" s="1"/>
      <c r="Z111" s="1"/>
    </row>
    <row r="112" spans="1:26" ht="11.25" customHeight="1">
      <c r="A112" s="1"/>
      <c r="B112" s="1373" t="s">
        <v>1197</v>
      </c>
      <c r="C112" s="1374">
        <v>2865</v>
      </c>
      <c r="D112" s="1375">
        <v>1</v>
      </c>
      <c r="E112" s="1442">
        <f t="shared" si="28"/>
        <v>2865</v>
      </c>
      <c r="F112" s="1443">
        <f t="shared" si="23"/>
        <v>0.20447925486659763</v>
      </c>
      <c r="G112" s="1443">
        <f t="shared" si="24"/>
        <v>0</v>
      </c>
      <c r="H112" s="1444">
        <f t="shared" si="25"/>
        <v>0</v>
      </c>
      <c r="I112" s="1384">
        <f t="shared" si="26"/>
        <v>0.20447925486659763</v>
      </c>
      <c r="J112" s="1"/>
      <c r="K112" s="1"/>
      <c r="L112" s="1"/>
      <c r="M112" s="1"/>
      <c r="N112" s="1"/>
      <c r="O112" s="1"/>
      <c r="P112" s="1"/>
      <c r="Q112" s="1"/>
      <c r="R112" s="1"/>
      <c r="S112" s="1"/>
      <c r="T112" s="1"/>
      <c r="U112" s="1"/>
      <c r="V112" s="1"/>
      <c r="W112" s="1"/>
      <c r="X112" s="1"/>
      <c r="Y112" s="1"/>
      <c r="Z112" s="1"/>
    </row>
    <row r="113" spans="1:26" ht="11.25" customHeight="1">
      <c r="A113" s="1"/>
      <c r="B113" s="1382" t="s">
        <v>1226</v>
      </c>
      <c r="C113" s="1387">
        <v>0</v>
      </c>
      <c r="D113" s="1364"/>
      <c r="E113" s="1442">
        <v>0</v>
      </c>
      <c r="F113" s="1443">
        <f t="shared" si="23"/>
        <v>0</v>
      </c>
      <c r="G113" s="1443">
        <f t="shared" si="24"/>
        <v>0</v>
      </c>
      <c r="H113" s="1444">
        <f t="shared" si="25"/>
        <v>0</v>
      </c>
      <c r="I113" s="1384">
        <f t="shared" si="26"/>
        <v>0</v>
      </c>
      <c r="J113" s="1"/>
      <c r="K113" s="1"/>
      <c r="L113" s="1"/>
      <c r="M113" s="1"/>
      <c r="N113" s="1"/>
      <c r="O113" s="1"/>
      <c r="P113" s="1"/>
      <c r="Q113" s="1"/>
      <c r="R113" s="1"/>
      <c r="S113" s="1"/>
      <c r="T113" s="1"/>
      <c r="U113" s="1"/>
      <c r="V113" s="1"/>
      <c r="W113" s="1"/>
      <c r="X113" s="1"/>
      <c r="Y113" s="1"/>
      <c r="Z113" s="1"/>
    </row>
    <row r="114" spans="1:26" ht="11.25" customHeight="1">
      <c r="A114" s="1"/>
      <c r="B114" s="1373" t="s">
        <v>1227</v>
      </c>
      <c r="C114" s="1374">
        <v>293</v>
      </c>
      <c r="D114" s="1375">
        <v>1</v>
      </c>
      <c r="E114" s="1442">
        <f>C114*D114</f>
        <v>293</v>
      </c>
      <c r="F114" s="1443">
        <f t="shared" si="23"/>
        <v>2.1824789725195994E-2</v>
      </c>
      <c r="G114" s="1443">
        <f t="shared" si="24"/>
        <v>0</v>
      </c>
      <c r="H114" s="1444">
        <f t="shared" si="25"/>
        <v>0</v>
      </c>
      <c r="I114" s="1384">
        <f t="shared" si="26"/>
        <v>2.1824789725195994E-2</v>
      </c>
      <c r="J114" s="1"/>
      <c r="K114" s="1"/>
      <c r="L114" s="1"/>
      <c r="M114" s="1"/>
      <c r="N114" s="1"/>
      <c r="O114" s="1"/>
      <c r="P114" s="1"/>
      <c r="Q114" s="1"/>
      <c r="R114" s="1"/>
      <c r="S114" s="1"/>
      <c r="T114" s="1"/>
      <c r="U114" s="1"/>
      <c r="V114" s="1"/>
      <c r="W114" s="1"/>
      <c r="X114" s="1"/>
      <c r="Y114" s="1"/>
      <c r="Z114" s="1"/>
    </row>
    <row r="115" spans="1:26" ht="11.25" customHeight="1">
      <c r="A115" s="1"/>
      <c r="B115" s="1373" t="s">
        <v>1228</v>
      </c>
      <c r="C115" s="1387">
        <v>0</v>
      </c>
      <c r="D115" s="1364"/>
      <c r="E115" s="1442">
        <v>0</v>
      </c>
      <c r="F115" s="1443">
        <f t="shared" si="23"/>
        <v>0</v>
      </c>
      <c r="G115" s="1443">
        <f t="shared" si="24"/>
        <v>0</v>
      </c>
      <c r="H115" s="1444">
        <f t="shared" si="25"/>
        <v>0</v>
      </c>
      <c r="I115" s="1384">
        <f t="shared" si="26"/>
        <v>0</v>
      </c>
      <c r="J115" s="1"/>
      <c r="K115" s="1"/>
      <c r="L115" s="1"/>
      <c r="M115" s="1"/>
      <c r="N115" s="1"/>
      <c r="O115" s="1"/>
      <c r="P115" s="1"/>
      <c r="Q115" s="1"/>
      <c r="R115" s="1"/>
      <c r="S115" s="1"/>
      <c r="T115" s="1"/>
      <c r="U115" s="1"/>
      <c r="V115" s="1"/>
      <c r="W115" s="1"/>
      <c r="X115" s="1"/>
      <c r="Y115" s="1"/>
      <c r="Z115" s="1"/>
    </row>
    <row r="116" spans="1:26" ht="11.25" customHeight="1">
      <c r="A116" s="1"/>
      <c r="B116" s="1373" t="s">
        <v>1229</v>
      </c>
      <c r="C116" s="1387"/>
      <c r="D116" s="1364"/>
      <c r="E116" s="1442">
        <v>122.04430006839266</v>
      </c>
      <c r="F116" s="1443">
        <f t="shared" si="23"/>
        <v>0</v>
      </c>
      <c r="G116" s="1443">
        <f t="shared" si="24"/>
        <v>0</v>
      </c>
      <c r="H116" s="1444">
        <f t="shared" si="25"/>
        <v>0</v>
      </c>
      <c r="I116" s="1384">
        <f t="shared" si="26"/>
        <v>0</v>
      </c>
      <c r="J116" s="1"/>
      <c r="K116" s="1"/>
      <c r="L116" s="1"/>
      <c r="M116" s="1"/>
      <c r="N116" s="1"/>
      <c r="O116" s="1"/>
      <c r="P116" s="1"/>
      <c r="Q116" s="1"/>
      <c r="R116" s="1"/>
      <c r="S116" s="1"/>
      <c r="T116" s="1"/>
      <c r="U116" s="1"/>
      <c r="V116" s="1"/>
      <c r="W116" s="1"/>
      <c r="X116" s="1"/>
      <c r="Y116" s="1"/>
      <c r="Z116" s="1"/>
    </row>
    <row r="117" spans="1:26" ht="11.25" customHeight="1">
      <c r="A117" s="1"/>
      <c r="B117" s="1373" t="s">
        <v>531</v>
      </c>
      <c r="C117" s="1374">
        <v>91</v>
      </c>
      <c r="D117" s="1375">
        <v>1</v>
      </c>
      <c r="E117" s="1442">
        <f>C117*D117</f>
        <v>91</v>
      </c>
      <c r="F117" s="1443">
        <f t="shared" si="23"/>
        <v>3.4176610092624998E-3</v>
      </c>
      <c r="G117" s="1443">
        <f t="shared" si="24"/>
        <v>0</v>
      </c>
      <c r="H117" s="1444">
        <f t="shared" si="25"/>
        <v>0</v>
      </c>
      <c r="I117" s="1384">
        <f t="shared" si="26"/>
        <v>3.4176610092624998E-3</v>
      </c>
      <c r="J117" s="1"/>
      <c r="K117" s="1"/>
      <c r="L117" s="1"/>
      <c r="M117" s="1"/>
      <c r="N117" s="1"/>
      <c r="O117" s="1"/>
      <c r="P117" s="1"/>
      <c r="Q117" s="1"/>
      <c r="R117" s="1"/>
      <c r="S117" s="1"/>
      <c r="T117" s="1"/>
      <c r="U117" s="1"/>
      <c r="V117" s="1"/>
      <c r="W117" s="1"/>
      <c r="X117" s="1"/>
      <c r="Y117" s="1"/>
      <c r="Z117" s="1"/>
    </row>
    <row r="118" spans="1:26" ht="11.25" customHeight="1">
      <c r="A118" s="1"/>
      <c r="B118" s="1373" t="s">
        <v>1230</v>
      </c>
      <c r="C118" s="1387">
        <v>0</v>
      </c>
      <c r="D118" s="1364"/>
      <c r="E118" s="1442">
        <v>0</v>
      </c>
      <c r="F118" s="1443">
        <f t="shared" si="23"/>
        <v>0</v>
      </c>
      <c r="G118" s="1443">
        <f t="shared" si="24"/>
        <v>0</v>
      </c>
      <c r="H118" s="1444">
        <f t="shared" si="25"/>
        <v>0</v>
      </c>
      <c r="I118" s="1384">
        <f t="shared" si="26"/>
        <v>0</v>
      </c>
      <c r="J118" s="1"/>
      <c r="K118" s="1"/>
      <c r="L118" s="1"/>
      <c r="M118" s="1"/>
      <c r="N118" s="1"/>
      <c r="O118" s="1"/>
      <c r="P118" s="1"/>
      <c r="Q118" s="1"/>
      <c r="R118" s="1"/>
      <c r="S118" s="1"/>
      <c r="T118" s="1"/>
      <c r="U118" s="1"/>
      <c r="V118" s="1"/>
      <c r="W118" s="1"/>
      <c r="X118" s="1"/>
      <c r="Y118" s="1"/>
      <c r="Z118" s="1"/>
    </row>
    <row r="119" spans="1:26" ht="11.25" customHeight="1">
      <c r="A119" s="1"/>
      <c r="B119" s="1373" t="s">
        <v>1231</v>
      </c>
      <c r="C119" s="1374">
        <v>2795</v>
      </c>
      <c r="D119" s="1375">
        <v>0.94768328836537974</v>
      </c>
      <c r="E119" s="1442">
        <f>C119*D119</f>
        <v>2648.7747909812365</v>
      </c>
      <c r="F119" s="1443">
        <f t="shared" si="23"/>
        <v>0.20231623199049165</v>
      </c>
      <c r="G119" s="1443">
        <f t="shared" si="24"/>
        <v>1.2311205853551174E-5</v>
      </c>
      <c r="H119" s="1444">
        <f t="shared" si="25"/>
        <v>2.3303353937079003E-5</v>
      </c>
      <c r="I119" s="1384">
        <f t="shared" si="26"/>
        <v>0.20235184655028227</v>
      </c>
      <c r="J119" s="1"/>
      <c r="K119" s="1"/>
      <c r="L119" s="1"/>
      <c r="M119" s="1"/>
      <c r="N119" s="1"/>
      <c r="O119" s="1"/>
      <c r="P119" s="1"/>
      <c r="Q119" s="1"/>
      <c r="R119" s="1"/>
      <c r="S119" s="1"/>
      <c r="T119" s="1"/>
      <c r="U119" s="1"/>
      <c r="V119" s="1"/>
      <c r="W119" s="1"/>
      <c r="X119" s="1"/>
      <c r="Y119" s="1"/>
      <c r="Z119" s="1"/>
    </row>
    <row r="120" spans="1:26" ht="11.25" customHeight="1">
      <c r="A120" s="1"/>
      <c r="B120" s="1373" t="s">
        <v>1232</v>
      </c>
      <c r="C120" s="1387">
        <v>0</v>
      </c>
      <c r="D120" s="1364"/>
      <c r="E120" s="1442">
        <v>0</v>
      </c>
      <c r="F120" s="1443">
        <f t="shared" si="23"/>
        <v>0</v>
      </c>
      <c r="G120" s="1443">
        <f t="shared" si="24"/>
        <v>0</v>
      </c>
      <c r="H120" s="1444">
        <f t="shared" si="25"/>
        <v>0</v>
      </c>
      <c r="I120" s="1384">
        <f t="shared" si="26"/>
        <v>0</v>
      </c>
      <c r="J120" s="1"/>
      <c r="K120" s="1"/>
      <c r="L120" s="1"/>
      <c r="M120" s="1"/>
      <c r="N120" s="1"/>
      <c r="O120" s="1"/>
      <c r="P120" s="1"/>
      <c r="Q120" s="1"/>
      <c r="R120" s="1"/>
      <c r="S120" s="1"/>
      <c r="T120" s="1"/>
      <c r="U120" s="1"/>
      <c r="V120" s="1"/>
      <c r="W120" s="1"/>
      <c r="X120" s="1"/>
      <c r="Y120" s="1"/>
      <c r="Z120" s="1"/>
    </row>
    <row r="121" spans="1:26" ht="11.25" customHeight="1">
      <c r="A121" s="1"/>
      <c r="B121" s="1373" t="s">
        <v>1233</v>
      </c>
      <c r="C121" s="1374">
        <v>100</v>
      </c>
      <c r="D121" s="1375">
        <v>1</v>
      </c>
      <c r="E121" s="1442">
        <f t="shared" ref="E121:E122" si="29">C121*D121</f>
        <v>100</v>
      </c>
      <c r="F121" s="1443">
        <f t="shared" si="23"/>
        <v>3.0492558434800005E-3</v>
      </c>
      <c r="G121" s="1443">
        <f t="shared" si="24"/>
        <v>0</v>
      </c>
      <c r="H121" s="1444">
        <f t="shared" si="25"/>
        <v>0</v>
      </c>
      <c r="I121" s="1384">
        <f t="shared" si="26"/>
        <v>3.0492558434800005E-3</v>
      </c>
      <c r="J121" s="1"/>
      <c r="K121" s="1"/>
      <c r="L121" s="1"/>
      <c r="M121" s="1"/>
      <c r="N121" s="1"/>
      <c r="O121" s="1"/>
      <c r="P121" s="1"/>
      <c r="Q121" s="1"/>
      <c r="R121" s="1"/>
      <c r="S121" s="1"/>
      <c r="T121" s="1"/>
      <c r="U121" s="1"/>
      <c r="V121" s="1"/>
      <c r="W121" s="1"/>
      <c r="X121" s="1"/>
      <c r="Y121" s="1"/>
      <c r="Z121" s="1"/>
    </row>
    <row r="122" spans="1:26" ht="11.25" customHeight="1">
      <c r="A122" s="1"/>
      <c r="B122" s="1373" t="s">
        <v>456</v>
      </c>
      <c r="C122" s="1374">
        <v>16489</v>
      </c>
      <c r="D122" s="1375">
        <v>3.1036474108728018E-2</v>
      </c>
      <c r="E122" s="1442">
        <f t="shared" si="29"/>
        <v>511.76042157881631</v>
      </c>
      <c r="F122" s="1443">
        <f t="shared" si="23"/>
        <v>0.85825749448354405</v>
      </c>
      <c r="G122" s="1443">
        <f t="shared" si="24"/>
        <v>4.2479337917331435E-4</v>
      </c>
      <c r="H122" s="1444">
        <f t="shared" si="25"/>
        <v>4.0203659100331539E-4</v>
      </c>
      <c r="I122" s="1384">
        <f t="shared" si="26"/>
        <v>0.85908432445372074</v>
      </c>
      <c r="J122" s="1"/>
      <c r="K122" s="1"/>
      <c r="L122" s="1"/>
      <c r="M122" s="1"/>
      <c r="N122" s="1"/>
      <c r="O122" s="1"/>
      <c r="P122" s="1"/>
      <c r="Q122" s="1"/>
      <c r="R122" s="1"/>
      <c r="S122" s="1"/>
      <c r="T122" s="1"/>
      <c r="U122" s="1"/>
      <c r="V122" s="1"/>
      <c r="W122" s="1"/>
      <c r="X122" s="1"/>
      <c r="Y122" s="1"/>
      <c r="Z122" s="1"/>
    </row>
    <row r="123" spans="1:26" ht="11.25" customHeight="1">
      <c r="A123" s="1"/>
      <c r="B123" s="1217" t="s">
        <v>743</v>
      </c>
      <c r="C123" s="1387">
        <v>6971</v>
      </c>
      <c r="D123" s="1364"/>
      <c r="E123" s="1425" t="s">
        <v>1238</v>
      </c>
      <c r="F123" s="1443">
        <f t="shared" si="23"/>
        <v>0</v>
      </c>
      <c r="G123" s="1443">
        <f t="shared" si="24"/>
        <v>5.5602245275521997E-3</v>
      </c>
      <c r="H123" s="1444">
        <f t="shared" si="25"/>
        <v>7.0164738085777755E-3</v>
      </c>
      <c r="I123" s="1384">
        <f t="shared" si="26"/>
        <v>1.2576698336129975E-2</v>
      </c>
      <c r="J123" s="1"/>
      <c r="K123" s="1"/>
      <c r="L123" s="1"/>
      <c r="M123" s="1"/>
      <c r="N123" s="1"/>
      <c r="O123" s="1"/>
      <c r="P123" s="1"/>
      <c r="Q123" s="1"/>
      <c r="R123" s="1"/>
      <c r="S123" s="1"/>
      <c r="T123" s="1"/>
      <c r="U123" s="1"/>
      <c r="V123" s="1"/>
      <c r="W123" s="1"/>
      <c r="X123" s="1"/>
      <c r="Y123" s="1"/>
      <c r="Z123" s="1"/>
    </row>
    <row r="124" spans="1:26" ht="11.25" customHeight="1">
      <c r="A124" s="1"/>
      <c r="B124" s="1446"/>
      <c r="C124" s="1447"/>
      <c r="D124" s="1447"/>
      <c r="E124" s="1447"/>
      <c r="F124" s="1448">
        <f t="shared" ref="F124:H124" si="30">SUM(F101:F123)</f>
        <v>2.9535761414819035</v>
      </c>
      <c r="G124" s="1449">
        <f t="shared" si="30"/>
        <v>9.8521423457772102E-3</v>
      </c>
      <c r="H124" s="1450">
        <f t="shared" si="30"/>
        <v>1.313495482236731E-2</v>
      </c>
      <c r="I124" s="1451">
        <f t="shared" si="26"/>
        <v>2.9765632386500482</v>
      </c>
      <c r="J124" s="1"/>
      <c r="K124" s="1"/>
      <c r="L124" s="1"/>
      <c r="M124" s="1"/>
      <c r="N124" s="1"/>
      <c r="O124" s="1"/>
      <c r="P124" s="1"/>
      <c r="Q124" s="1"/>
      <c r="R124" s="1"/>
      <c r="S124" s="1"/>
      <c r="T124" s="1"/>
      <c r="U124" s="1"/>
      <c r="V124" s="1"/>
      <c r="W124" s="1"/>
      <c r="X124" s="1"/>
      <c r="Y124" s="1"/>
      <c r="Z124" s="1"/>
    </row>
    <row r="125" spans="1:26" ht="11.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1.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1.25" customHeight="1">
      <c r="A127" s="1"/>
      <c r="B127" s="1" t="s">
        <v>1249</v>
      </c>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1.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1.25" customHeight="1">
      <c r="A129" s="1"/>
      <c r="B129" s="1"/>
      <c r="C129" s="1452" t="s">
        <v>1250</v>
      </c>
      <c r="D129" s="1452"/>
      <c r="E129" s="1"/>
      <c r="F129" s="1"/>
      <c r="G129" s="1"/>
      <c r="H129" s="1"/>
      <c r="I129" s="1"/>
      <c r="J129" s="1"/>
      <c r="K129" s="1"/>
      <c r="L129" s="1"/>
      <c r="M129" s="1"/>
      <c r="N129" s="1"/>
      <c r="O129" s="1"/>
      <c r="P129" s="1"/>
      <c r="Q129" s="1"/>
      <c r="R129" s="1"/>
      <c r="S129" s="1"/>
      <c r="T129" s="1"/>
      <c r="U129" s="1"/>
      <c r="V129" s="1"/>
      <c r="W129" s="1"/>
      <c r="X129" s="1"/>
      <c r="Y129" s="1"/>
      <c r="Z129" s="1"/>
    </row>
    <row r="130" spans="1:26" ht="11.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1.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1.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1.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1.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1.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1.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1.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1.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1.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1.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1.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1.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1.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1.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1.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1.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1.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1.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1.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1.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1.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1.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1.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1.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1.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1.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1.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1.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1.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1.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1.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1.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1.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1.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1.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1.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1.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1.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1.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1.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1.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1.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1.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1.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1.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1.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1.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1.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1.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1.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1.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1.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1.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1.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1.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1.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1.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1.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1.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1.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1.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1.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1.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1.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1.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1.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1.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1.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1.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1.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1.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1.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1.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1.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1.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1.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1.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1.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1.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1.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1.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1.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1.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1.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1.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1.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1.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1.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1.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1.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1.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1.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1.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1.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1.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1.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1.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1.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1.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1.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1.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1.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1.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1.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1.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1.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1.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1.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1.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1.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1.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1.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1.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1.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1.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1.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1.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1.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1.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1.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1.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1.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1.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1.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1.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1.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row r="331" spans="1:26" ht="15.75" customHeight="1"/>
    <row r="332" spans="1:26" ht="15.75" customHeight="1"/>
    <row r="333" spans="1:26" ht="15.75" customHeight="1"/>
    <row r="334" spans="1:26" ht="15.75" customHeight="1"/>
    <row r="335" spans="1:26" ht="15.75" customHeight="1"/>
    <row r="336" spans="1:2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2:K2"/>
    <mergeCell ref="P10:Q10"/>
  </mergeCells>
  <hyperlinks>
    <hyperlink ref="C129" r:id="rId1" xr:uid="{00000000-0004-0000-0C00-000000000000}"/>
  </hyperlinks>
  <printOptions gridLines="1"/>
  <pageMargins left="0.16" right="0.16" top="0.28000000000000003" bottom="0.2" header="0" footer="0"/>
  <pageSetup orientation="landscape"/>
  <colBreaks count="1" manualBreakCount="1">
    <brk id="11" man="1"/>
  </col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5E6D3471F7F04449211EBF97CCD3EEF" ma:contentTypeVersion="11" ma:contentTypeDescription="Create a new document." ma:contentTypeScope="" ma:versionID="1fa121f0f7dadc83016221ac4c0a73d5">
  <xsd:schema xmlns:xsd="http://www.w3.org/2001/XMLSchema" xmlns:xs="http://www.w3.org/2001/XMLSchema" xmlns:p="http://schemas.microsoft.com/office/2006/metadata/properties" xmlns:ns1="http://schemas.microsoft.com/sharepoint/v3" targetNamespace="http://schemas.microsoft.com/office/2006/metadata/properties" ma:root="true" ma:fieldsID="0f1c3a5fe40b69cf375f6490498fc6a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 ma:internalName="PublishingStartDate">
      <xsd:simpleType>
        <xsd:restriction base="dms:Unknown"/>
      </xsd:simpleType>
    </xsd:element>
    <xsd:element name="PublishingExpirationDate" ma:index="5" nillable="true" ma:displayName="Scheduling End Date" ma:description=""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6226BCB-8A6F-4E6C-BE65-E853D493FB0B}"/>
</file>

<file path=customXml/itemProps2.xml><?xml version="1.0" encoding="utf-8"?>
<ds:datastoreItem xmlns:ds="http://schemas.openxmlformats.org/officeDocument/2006/customXml" ds:itemID="{F56FE72E-A0B5-41B0-A55D-BDF9D5E23C94}"/>
</file>

<file path=customXml/itemProps3.xml><?xml version="1.0" encoding="utf-8"?>
<ds:datastoreItem xmlns:ds="http://schemas.openxmlformats.org/officeDocument/2006/customXml" ds:itemID="{6C396624-EC10-4FD3-9272-F319AF86A58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Summary</vt:lpstr>
      <vt:lpstr>EGU_By_Fuel_Type</vt:lpstr>
      <vt:lpstr>Severstal</vt:lpstr>
      <vt:lpstr>Luke</vt:lpstr>
      <vt:lpstr>EGU Details</vt:lpstr>
      <vt:lpstr>Imported Electricity </vt:lpstr>
      <vt:lpstr>Residential</vt:lpstr>
      <vt:lpstr>Commercial</vt:lpstr>
      <vt:lpstr>Industrial</vt:lpstr>
      <vt:lpstr>On_Road_Transportation</vt:lpstr>
      <vt:lpstr>Non_Road_Transportation</vt:lpstr>
      <vt:lpstr>Others_Transportation</vt:lpstr>
      <vt:lpstr>Natural Gas and Oil</vt:lpstr>
      <vt:lpstr>Mining</vt:lpstr>
      <vt:lpstr>Cement</vt:lpstr>
      <vt:lpstr>LimeT&amp;DSodaODS</vt:lpstr>
      <vt:lpstr>Iron And Steel</vt:lpstr>
      <vt:lpstr>Ammonia &amp; Urea Consumption</vt:lpstr>
      <vt:lpstr>Agricultural</vt:lpstr>
      <vt:lpstr>Agriculture_Liming</vt:lpstr>
      <vt:lpstr>Incinerators</vt:lpstr>
      <vt:lpstr>Landfills</vt:lpstr>
      <vt:lpstr>LFGTE</vt:lpstr>
      <vt:lpstr>Wastewater</vt:lpstr>
      <vt:lpstr>OpenBurn</vt:lpstr>
      <vt:lpstr>Land_Use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Casey</dc:creator>
  <cp:lastModifiedBy>Susan Casey</cp:lastModifiedBy>
  <dcterms:created xsi:type="dcterms:W3CDTF">2022-09-25T15:49:05Z</dcterms:created>
  <dcterms:modified xsi:type="dcterms:W3CDTF">2022-09-25T15:49:05Z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0x010100D5E6D3471F7F04449211EBF97CCD3EEF</vt:lpwstr>
  </property>
</Properties>
</file>